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1.- Bentonicos\"/>
    </mc:Choice>
  </mc:AlternateContent>
  <bookViews>
    <workbookView xWindow="-15" yWindow="5790" windowWidth="19260" windowHeight="5850" tabRatio="844" activeTab="3"/>
  </bookViews>
  <sheets>
    <sheet name="Resumen anual_" sheetId="7" r:id="rId1"/>
    <sheet name="Resumen periodo" sheetId="6" r:id="rId2"/>
    <sheet name="Control Cuota Artesanal" sheetId="1" r:id="rId3"/>
    <sheet name="Control Cuota LTP" sheetId="9" r:id="rId4"/>
    <sheet name="PESCA INVES y FA" sheetId="22" r:id="rId5"/>
    <sheet name="Movimientos-Camaronailon" sheetId="18" r:id="rId6"/>
  </sheets>
  <definedNames>
    <definedName name="_xlnm._FilterDatabase" localSheetId="5" hidden="1">'Movimientos-Camaronailon'!$A$61:$O$75</definedName>
    <definedName name="_xlnm.Print_Area" localSheetId="0">'Resumen anual_'!$A$1:$J$19</definedName>
  </definedNames>
  <calcPr calcId="152511"/>
</workbook>
</file>

<file path=xl/calcChain.xml><?xml version="1.0" encoding="utf-8"?>
<calcChain xmlns="http://schemas.openxmlformats.org/spreadsheetml/2006/main">
  <c r="AZ57" i="9" l="1"/>
  <c r="AY57" i="9"/>
  <c r="I22" i="7"/>
  <c r="I15" i="7"/>
  <c r="AX59" i="9"/>
  <c r="AL32" i="9"/>
  <c r="AF32" i="9"/>
  <c r="T22" i="9"/>
  <c r="Z32" i="9" l="1"/>
  <c r="Z22" i="9"/>
  <c r="T32" i="9"/>
  <c r="AL55" i="9" l="1"/>
  <c r="AF55" i="9"/>
  <c r="AF31" i="9"/>
  <c r="Z31" i="9"/>
  <c r="T31" i="9"/>
  <c r="N31" i="9"/>
  <c r="AL21" i="9" l="1"/>
  <c r="AF15" i="9"/>
  <c r="AF9" i="9"/>
  <c r="Z21" i="9"/>
  <c r="T21" i="9"/>
  <c r="AF57" i="9" l="1"/>
  <c r="J29" i="9" l="1"/>
  <c r="G22" i="1"/>
  <c r="G23" i="1"/>
  <c r="D70" i="9" l="1"/>
  <c r="I64" i="18" l="1"/>
  <c r="AD20" i="9" l="1"/>
  <c r="H19" i="1" l="1"/>
  <c r="L9" i="18" l="1"/>
  <c r="D31" i="18"/>
  <c r="J8" i="22" l="1"/>
  <c r="J7" i="22"/>
  <c r="AL9" i="9"/>
  <c r="T17" i="9"/>
  <c r="T9" i="9"/>
  <c r="N9" i="9"/>
  <c r="H15" i="1"/>
  <c r="C46" i="1"/>
  <c r="D9" i="22" l="1"/>
  <c r="E9" i="22"/>
  <c r="F9" i="22"/>
  <c r="H9" i="22"/>
  <c r="H69" i="9" l="1"/>
  <c r="H70" i="9"/>
  <c r="H71" i="9"/>
  <c r="H72" i="9"/>
  <c r="H73" i="9"/>
  <c r="H68" i="9"/>
  <c r="H74" i="9" l="1"/>
  <c r="H21" i="9"/>
  <c r="B11" i="9" l="1"/>
  <c r="B13" i="9"/>
  <c r="B15" i="9"/>
  <c r="B17" i="9"/>
  <c r="B19" i="9"/>
  <c r="B21" i="9"/>
  <c r="B23" i="9"/>
  <c r="B25" i="9"/>
  <c r="B27" i="9"/>
  <c r="B29" i="9"/>
  <c r="B31" i="9"/>
  <c r="B33" i="9"/>
  <c r="B35" i="9"/>
  <c r="B37" i="9"/>
  <c r="B39" i="9"/>
  <c r="B41" i="9"/>
  <c r="B43" i="9"/>
  <c r="B45" i="9"/>
  <c r="B47" i="9"/>
  <c r="B49" i="9"/>
  <c r="B51" i="9"/>
  <c r="B53" i="9"/>
  <c r="B55" i="9"/>
  <c r="B9" i="9"/>
  <c r="C52" i="1" l="1"/>
  <c r="K13" i="6"/>
  <c r="E46" i="1"/>
  <c r="H21" i="1" s="1"/>
  <c r="E49" i="1"/>
  <c r="H22" i="1" s="1"/>
  <c r="E52" i="1" l="1"/>
  <c r="F52" i="1" s="1"/>
  <c r="H65" i="18"/>
  <c r="G64" i="9" l="1"/>
  <c r="F64" i="9"/>
  <c r="E64" i="9"/>
  <c r="D64" i="9"/>
  <c r="C64" i="9"/>
  <c r="B64" i="9"/>
  <c r="H63" i="9"/>
  <c r="H61" i="9"/>
  <c r="E51" i="18"/>
  <c r="C51" i="9" s="1"/>
  <c r="AC51" i="9" s="1"/>
  <c r="E53" i="18"/>
  <c r="C53" i="9" s="1"/>
  <c r="AI53" i="9" s="1"/>
  <c r="E55" i="18"/>
  <c r="C55" i="9" s="1"/>
  <c r="E49" i="18"/>
  <c r="C49" i="9" s="1"/>
  <c r="AI49" i="9" s="1"/>
  <c r="E47" i="18"/>
  <c r="C47" i="9" s="1"/>
  <c r="AI47" i="9" s="1"/>
  <c r="E45" i="18"/>
  <c r="C45" i="9" s="1"/>
  <c r="AI45" i="9" s="1"/>
  <c r="E41" i="18"/>
  <c r="C41" i="9" s="1"/>
  <c r="AI41" i="9" s="1"/>
  <c r="E43" i="18"/>
  <c r="E39" i="18"/>
  <c r="C39" i="9" s="1"/>
  <c r="AC39" i="9" s="1"/>
  <c r="E37" i="18"/>
  <c r="C37" i="9" s="1"/>
  <c r="AI37" i="9" s="1"/>
  <c r="E35" i="18"/>
  <c r="E33" i="18"/>
  <c r="C33" i="9" s="1"/>
  <c r="E33" i="9" s="1"/>
  <c r="E29" i="18"/>
  <c r="C29" i="9" s="1"/>
  <c r="E29" i="9" s="1"/>
  <c r="E27" i="18"/>
  <c r="C27" i="9" s="1"/>
  <c r="E27" i="9" s="1"/>
  <c r="E25" i="18"/>
  <c r="C25" i="9" s="1"/>
  <c r="AI25" i="9" s="1"/>
  <c r="E23" i="18"/>
  <c r="C23" i="9" s="1"/>
  <c r="E23" i="9" s="1"/>
  <c r="E19" i="18"/>
  <c r="C19" i="9" s="1"/>
  <c r="AI20" i="9" s="1"/>
  <c r="E17" i="18"/>
  <c r="C17" i="9" s="1"/>
  <c r="AI17" i="9" s="1"/>
  <c r="E13" i="18"/>
  <c r="C13" i="9" s="1"/>
  <c r="E11" i="18"/>
  <c r="C11" i="9" s="1"/>
  <c r="AC11" i="9" s="1"/>
  <c r="D21" i="18"/>
  <c r="D15" i="18"/>
  <c r="D9" i="18"/>
  <c r="C21" i="18"/>
  <c r="C31" i="18"/>
  <c r="E31" i="18" s="1"/>
  <c r="C31" i="9" s="1"/>
  <c r="AI31" i="9" s="1"/>
  <c r="C15" i="18"/>
  <c r="C57" i="18" s="1"/>
  <c r="AL58" i="9"/>
  <c r="AF58" i="9"/>
  <c r="Z58" i="9"/>
  <c r="Z59" i="9" s="1"/>
  <c r="T58" i="9"/>
  <c r="T59" i="9" s="1"/>
  <c r="N58" i="9"/>
  <c r="H58" i="9"/>
  <c r="H57" i="9"/>
  <c r="I10" i="18"/>
  <c r="I11" i="18"/>
  <c r="I12" i="18"/>
  <c r="I13" i="18"/>
  <c r="I14" i="18"/>
  <c r="I16" i="18"/>
  <c r="I18" i="18"/>
  <c r="I19" i="18"/>
  <c r="I20" i="18"/>
  <c r="I22" i="18"/>
  <c r="I23" i="18"/>
  <c r="I24" i="18"/>
  <c r="I26" i="18"/>
  <c r="I27" i="18"/>
  <c r="I28" i="18"/>
  <c r="I29" i="18"/>
  <c r="I30" i="18"/>
  <c r="I32" i="18"/>
  <c r="I33" i="18"/>
  <c r="I34" i="18"/>
  <c r="I36" i="18"/>
  <c r="I37" i="18"/>
  <c r="I38" i="18"/>
  <c r="I39" i="18"/>
  <c r="I40" i="18"/>
  <c r="I41" i="18"/>
  <c r="I42" i="18"/>
  <c r="I44" i="18"/>
  <c r="I46" i="18"/>
  <c r="I47" i="18"/>
  <c r="I48" i="18"/>
  <c r="I50" i="18"/>
  <c r="I52" i="18"/>
  <c r="I54" i="18"/>
  <c r="I56" i="18"/>
  <c r="E21" i="18" l="1"/>
  <c r="C21" i="9" s="1"/>
  <c r="D57" i="18"/>
  <c r="E54" i="9"/>
  <c r="AC52" i="9"/>
  <c r="W27" i="9"/>
  <c r="Q28" i="9"/>
  <c r="Q52" i="9"/>
  <c r="AI32" i="9"/>
  <c r="E17" i="9"/>
  <c r="W48" i="9"/>
  <c r="AI48" i="9"/>
  <c r="E46" i="9"/>
  <c r="Q19" i="9"/>
  <c r="AC40" i="9"/>
  <c r="E30" i="9"/>
  <c r="E45" i="9"/>
  <c r="Q40" i="9"/>
  <c r="W32" i="9"/>
  <c r="AC28" i="9"/>
  <c r="AI27" i="9"/>
  <c r="AC19" i="9"/>
  <c r="W23" i="9"/>
  <c r="AI23" i="9"/>
  <c r="Q47" i="9"/>
  <c r="Q31" i="9"/>
  <c r="Q20" i="9"/>
  <c r="W51" i="9"/>
  <c r="W39" i="9"/>
  <c r="W11" i="9"/>
  <c r="AC47" i="9"/>
  <c r="AC31" i="9"/>
  <c r="AC20" i="9"/>
  <c r="AI51" i="9"/>
  <c r="AI39" i="9"/>
  <c r="AI11" i="9"/>
  <c r="E49" i="9"/>
  <c r="E37" i="9"/>
  <c r="E18" i="9"/>
  <c r="Q48" i="9"/>
  <c r="Q32" i="9"/>
  <c r="Q23" i="9"/>
  <c r="W52" i="9"/>
  <c r="W40" i="9"/>
  <c r="W28" i="9"/>
  <c r="W19" i="9"/>
  <c r="AC48" i="9"/>
  <c r="AC32" i="9"/>
  <c r="AC23" i="9"/>
  <c r="AI52" i="9"/>
  <c r="AI40" i="9"/>
  <c r="AI28" i="9"/>
  <c r="AI19" i="9"/>
  <c r="E53" i="9"/>
  <c r="E38" i="9"/>
  <c r="Q51" i="9"/>
  <c r="Q39" i="9"/>
  <c r="Q27" i="9"/>
  <c r="Q11" i="9"/>
  <c r="W47" i="9"/>
  <c r="W31" i="9"/>
  <c r="W20" i="9"/>
  <c r="AC27" i="9"/>
  <c r="K13" i="9"/>
  <c r="K14" i="9"/>
  <c r="C35" i="9"/>
  <c r="K56" i="9"/>
  <c r="K55" i="9"/>
  <c r="K11" i="9"/>
  <c r="K12" i="9"/>
  <c r="K33" i="9"/>
  <c r="K34" i="9"/>
  <c r="C43" i="9"/>
  <c r="K32" i="9"/>
  <c r="K31" i="9"/>
  <c r="K19" i="9"/>
  <c r="K20" i="9"/>
  <c r="K29" i="9"/>
  <c r="K30" i="9"/>
  <c r="K40" i="9"/>
  <c r="K39" i="9"/>
  <c r="K48" i="9"/>
  <c r="K47" i="9"/>
  <c r="K51" i="9"/>
  <c r="K52" i="9"/>
  <c r="E13" i="9"/>
  <c r="E41" i="9"/>
  <c r="AI55" i="9"/>
  <c r="E50" i="9"/>
  <c r="E42" i="9"/>
  <c r="Q56" i="9"/>
  <c r="Q24" i="9"/>
  <c r="AC56" i="9"/>
  <c r="AC24" i="9"/>
  <c r="AI56" i="9"/>
  <c r="AI24" i="9"/>
  <c r="E11" i="9"/>
  <c r="E55" i="9"/>
  <c r="E51" i="9"/>
  <c r="E47" i="9"/>
  <c r="E39" i="9"/>
  <c r="E31" i="9"/>
  <c r="E19" i="9"/>
  <c r="Q53" i="9"/>
  <c r="Q49" i="9"/>
  <c r="Q45" i="9"/>
  <c r="Q41" i="9"/>
  <c r="Q37" i="9"/>
  <c r="Q33" i="9"/>
  <c r="Q29" i="9"/>
  <c r="Q25" i="9"/>
  <c r="Q17" i="9"/>
  <c r="Q13" i="9"/>
  <c r="W53" i="9"/>
  <c r="W49" i="9"/>
  <c r="W45" i="9"/>
  <c r="W41" i="9"/>
  <c r="W37" i="9"/>
  <c r="W33" i="9"/>
  <c r="W29" i="9"/>
  <c r="W25" i="9"/>
  <c r="W17" i="9"/>
  <c r="W13" i="9"/>
  <c r="AC53" i="9"/>
  <c r="AC49" i="9"/>
  <c r="AC45" i="9"/>
  <c r="AC41" i="9"/>
  <c r="AC37" i="9"/>
  <c r="AC33" i="9"/>
  <c r="AC29" i="9"/>
  <c r="AC25" i="9"/>
  <c r="AC17" i="9"/>
  <c r="AC13" i="9"/>
  <c r="AI33" i="9"/>
  <c r="AI29" i="9"/>
  <c r="AI13" i="9"/>
  <c r="K25" i="9"/>
  <c r="K26" i="9"/>
  <c r="K41" i="9"/>
  <c r="K42" i="9"/>
  <c r="K24" i="9"/>
  <c r="K23" i="9"/>
  <c r="K49" i="9"/>
  <c r="K50" i="9"/>
  <c r="K17" i="9"/>
  <c r="K18" i="9"/>
  <c r="K28" i="9"/>
  <c r="K27" i="9"/>
  <c r="K37" i="9"/>
  <c r="K38" i="9"/>
  <c r="K45" i="9"/>
  <c r="K46" i="9"/>
  <c r="K53" i="9"/>
  <c r="K54" i="9"/>
  <c r="E25" i="9"/>
  <c r="Q55" i="9"/>
  <c r="W55" i="9"/>
  <c r="AC55" i="9"/>
  <c r="E14" i="9"/>
  <c r="E34" i="9"/>
  <c r="E26" i="9"/>
  <c r="Q12" i="9"/>
  <c r="W56" i="9"/>
  <c r="W24" i="9"/>
  <c r="W12" i="9"/>
  <c r="AC12" i="9"/>
  <c r="AI12" i="9"/>
  <c r="E12" i="9"/>
  <c r="E56" i="9"/>
  <c r="E52" i="9"/>
  <c r="E48" i="9"/>
  <c r="E40" i="9"/>
  <c r="E32" i="9"/>
  <c r="E28" i="9"/>
  <c r="E24" i="9"/>
  <c r="E20" i="9"/>
  <c r="Q54" i="9"/>
  <c r="Q50" i="9"/>
  <c r="Q46" i="9"/>
  <c r="Q42" i="9"/>
  <c r="Q38" i="9"/>
  <c r="Q34" i="9"/>
  <c r="Q30" i="9"/>
  <c r="Q26" i="9"/>
  <c r="Q18" i="9"/>
  <c r="Q14" i="9"/>
  <c r="W54" i="9"/>
  <c r="W50" i="9"/>
  <c r="W46" i="9"/>
  <c r="W42" i="9"/>
  <c r="W38" i="9"/>
  <c r="W34" i="9"/>
  <c r="W30" i="9"/>
  <c r="W26" i="9"/>
  <c r="W18" i="9"/>
  <c r="W14" i="9"/>
  <c r="AC54" i="9"/>
  <c r="AC50" i="9"/>
  <c r="AC46" i="9"/>
  <c r="AC42" i="9"/>
  <c r="AC38" i="9"/>
  <c r="AC34" i="9"/>
  <c r="AC30" i="9"/>
  <c r="AC26" i="9"/>
  <c r="AC18" i="9"/>
  <c r="AC14" i="9"/>
  <c r="AI54" i="9"/>
  <c r="AI50" i="9"/>
  <c r="AI46" i="9"/>
  <c r="AI42" i="9"/>
  <c r="AI38" i="9"/>
  <c r="AI34" i="9"/>
  <c r="AI30" i="9"/>
  <c r="AI26" i="9"/>
  <c r="AI18" i="9"/>
  <c r="AI14" i="9"/>
  <c r="H64" i="9"/>
  <c r="E9" i="18"/>
  <c r="C9" i="9" s="1"/>
  <c r="E15" i="18"/>
  <c r="C15" i="9" l="1"/>
  <c r="K15" i="9" s="1"/>
  <c r="K21" i="9"/>
  <c r="K22" i="9"/>
  <c r="AI22" i="9"/>
  <c r="AC22" i="9"/>
  <c r="W22" i="9"/>
  <c r="Q22" i="9"/>
  <c r="AI21" i="9"/>
  <c r="AC21" i="9"/>
  <c r="W21" i="9"/>
  <c r="Q21" i="9"/>
  <c r="E22" i="9"/>
  <c r="E21" i="9"/>
  <c r="K9" i="9"/>
  <c r="AI9" i="9"/>
  <c r="AC9" i="9"/>
  <c r="W9" i="9"/>
  <c r="Q9" i="9"/>
  <c r="E10" i="9"/>
  <c r="AI10" i="9"/>
  <c r="AC10" i="9"/>
  <c r="W10" i="9"/>
  <c r="Q10" i="9"/>
  <c r="E9" i="9"/>
  <c r="K10" i="9"/>
  <c r="K43" i="9"/>
  <c r="K44" i="9"/>
  <c r="E44" i="9"/>
  <c r="AI44" i="9"/>
  <c r="AI43" i="9"/>
  <c r="W43" i="9"/>
  <c r="E43" i="9"/>
  <c r="AC44" i="9"/>
  <c r="W44" i="9"/>
  <c r="Q44" i="9"/>
  <c r="AC43" i="9"/>
  <c r="Q43" i="9"/>
  <c r="K36" i="9"/>
  <c r="K35" i="9"/>
  <c r="E36" i="9"/>
  <c r="Q36" i="9"/>
  <c r="W35" i="9"/>
  <c r="E35" i="9"/>
  <c r="AI36" i="9"/>
  <c r="AC36" i="9"/>
  <c r="W36" i="9"/>
  <c r="AI35" i="9"/>
  <c r="AC35" i="9"/>
  <c r="Q35" i="9"/>
  <c r="E57" i="18"/>
  <c r="AJ52" i="9"/>
  <c r="AJ54" i="9"/>
  <c r="AJ56" i="9"/>
  <c r="X52" i="9"/>
  <c r="X54" i="9"/>
  <c r="X56" i="9"/>
  <c r="AD52" i="9"/>
  <c r="AD54" i="9"/>
  <c r="AD56" i="9"/>
  <c r="R52" i="9"/>
  <c r="R54" i="9"/>
  <c r="R56" i="9"/>
  <c r="L52" i="9"/>
  <c r="L54" i="9"/>
  <c r="L56" i="9"/>
  <c r="F52" i="9"/>
  <c r="F54" i="9"/>
  <c r="F56" i="9"/>
  <c r="AR36" i="9"/>
  <c r="AR35" i="9"/>
  <c r="AR38" i="9"/>
  <c r="AR33" i="9"/>
  <c r="AR34" i="9"/>
  <c r="AR32" i="9"/>
  <c r="AR27" i="9"/>
  <c r="AR28" i="9"/>
  <c r="AR29" i="9"/>
  <c r="AR30" i="9"/>
  <c r="AR25" i="9"/>
  <c r="AR26" i="9"/>
  <c r="AR23" i="9"/>
  <c r="AR24" i="9"/>
  <c r="AR22" i="9"/>
  <c r="AR19" i="9"/>
  <c r="AR20" i="9"/>
  <c r="AR18" i="9"/>
  <c r="AR55" i="9"/>
  <c r="C75" i="9"/>
  <c r="D75" i="9"/>
  <c r="E75" i="9"/>
  <c r="F75" i="9"/>
  <c r="G75" i="9"/>
  <c r="M19" i="1"/>
  <c r="G19" i="1"/>
  <c r="H17" i="1"/>
  <c r="H13" i="1"/>
  <c r="H11" i="1"/>
  <c r="AL37" i="9"/>
  <c r="AF37" i="9"/>
  <c r="Z37" i="9"/>
  <c r="N17" i="9"/>
  <c r="N21" i="9"/>
  <c r="N15" i="9"/>
  <c r="H75" i="9"/>
  <c r="W15" i="9" l="1"/>
  <c r="W57" i="9" s="1"/>
  <c r="E15" i="9"/>
  <c r="E57" i="9" s="1"/>
  <c r="E16" i="9"/>
  <c r="E58" i="9" s="1"/>
  <c r="Q15" i="9"/>
  <c r="AI16" i="9"/>
  <c r="Q16" i="9"/>
  <c r="Q58" i="9" s="1"/>
  <c r="AC16" i="9"/>
  <c r="AC58" i="9" s="1"/>
  <c r="AI15" i="9"/>
  <c r="AI57" i="9" s="1"/>
  <c r="K16" i="9"/>
  <c r="K58" i="9" s="1"/>
  <c r="C57" i="9"/>
  <c r="W16" i="9"/>
  <c r="AC15" i="9"/>
  <c r="AC57" i="9" s="1"/>
  <c r="AI58" i="9"/>
  <c r="K57" i="9"/>
  <c r="AO9" i="9"/>
  <c r="Q57" i="9"/>
  <c r="W58" i="9"/>
  <c r="I19" i="1"/>
  <c r="G20" i="1" s="1"/>
  <c r="AR37" i="9"/>
  <c r="AR17" i="9"/>
  <c r="N57" i="9"/>
  <c r="AX35" i="9"/>
  <c r="F11" i="6"/>
  <c r="E9" i="7" s="1"/>
  <c r="C76" i="9" l="1"/>
  <c r="N59" i="9"/>
  <c r="M15" i="1"/>
  <c r="M13" i="1"/>
  <c r="G15" i="1" l="1"/>
  <c r="AL31" i="9"/>
  <c r="AR31" i="9" s="1"/>
  <c r="AL15" i="9"/>
  <c r="Z15" i="9"/>
  <c r="T15" i="9"/>
  <c r="T57" i="9" s="1"/>
  <c r="D76" i="9" s="1"/>
  <c r="Z9" i="9"/>
  <c r="Z57" i="9" l="1"/>
  <c r="E76" i="9" s="1"/>
  <c r="AL57" i="9"/>
  <c r="G76" i="9" s="1"/>
  <c r="F76" i="9"/>
  <c r="AR21" i="9"/>
  <c r="H30" i="1"/>
  <c r="J30" i="1" s="1"/>
  <c r="AJ14" i="9" l="1"/>
  <c r="AD14" i="9"/>
  <c r="X14" i="9"/>
  <c r="R14" i="9"/>
  <c r="L14" i="9"/>
  <c r="F14" i="9"/>
  <c r="AJ13" i="9"/>
  <c r="AD13" i="9"/>
  <c r="X13" i="9"/>
  <c r="R13" i="9"/>
  <c r="L13" i="9"/>
  <c r="J5" i="22" l="1"/>
  <c r="J4" i="22"/>
  <c r="I9" i="22"/>
  <c r="G9" i="22"/>
  <c r="J9" i="22" l="1"/>
  <c r="G23" i="7"/>
  <c r="H4" i="9" l="1"/>
  <c r="F13" i="9" l="1"/>
  <c r="H14" i="6"/>
  <c r="E30" i="1"/>
  <c r="L30" i="1" s="1"/>
  <c r="O15" i="1"/>
  <c r="L15" i="1"/>
  <c r="I15" i="1"/>
  <c r="G16" i="1" l="1"/>
  <c r="I16" i="1" s="1"/>
  <c r="N15" i="1"/>
  <c r="P15" i="1" s="1"/>
  <c r="F30" i="1" l="1"/>
  <c r="G30" i="1" s="1"/>
  <c r="M30" i="1" l="1"/>
  <c r="O30" i="1"/>
  <c r="I30" i="1"/>
  <c r="N30" i="1" l="1"/>
  <c r="Q30" i="1" s="1"/>
  <c r="P30" i="1" l="1"/>
  <c r="H3" i="1" l="1"/>
  <c r="G5" i="18" l="1"/>
  <c r="O76" i="18" s="1"/>
  <c r="O51" i="18" s="1"/>
  <c r="AJ51" i="9" s="1"/>
  <c r="F5" i="18"/>
  <c r="N76" i="18" s="1"/>
  <c r="N51" i="18" s="1"/>
  <c r="AD51" i="9" s="1"/>
  <c r="E5" i="18"/>
  <c r="M76" i="18" s="1"/>
  <c r="M51" i="18" s="1"/>
  <c r="X51" i="9" s="1"/>
  <c r="D5" i="18"/>
  <c r="L76" i="18" s="1"/>
  <c r="L51" i="18" s="1"/>
  <c r="R51" i="9" s="1"/>
  <c r="C5" i="18"/>
  <c r="K76" i="18" s="1"/>
  <c r="K51" i="18" s="1"/>
  <c r="L51" i="9" s="1"/>
  <c r="B5" i="18"/>
  <c r="J76" i="18" s="1"/>
  <c r="J51" i="18" s="1"/>
  <c r="H4" i="18"/>
  <c r="H3" i="18"/>
  <c r="I51" i="18" l="1"/>
  <c r="F51" i="9"/>
  <c r="N62" i="18"/>
  <c r="N74" i="18"/>
  <c r="N73" i="18"/>
  <c r="N75" i="18"/>
  <c r="N72" i="18"/>
  <c r="N53" i="18"/>
  <c r="AD53" i="9" s="1"/>
  <c r="M62" i="18"/>
  <c r="M75" i="18"/>
  <c r="M74" i="18"/>
  <c r="M73" i="18"/>
  <c r="M53" i="18"/>
  <c r="X53" i="9" s="1"/>
  <c r="M72" i="18"/>
  <c r="K62" i="18"/>
  <c r="K73" i="18"/>
  <c r="K75" i="18"/>
  <c r="K74" i="18"/>
  <c r="K53" i="18"/>
  <c r="L53" i="9" s="1"/>
  <c r="K72" i="18"/>
  <c r="O62" i="18"/>
  <c r="O73" i="18"/>
  <c r="O75" i="18"/>
  <c r="O74" i="18"/>
  <c r="O53" i="18"/>
  <c r="AJ53" i="9" s="1"/>
  <c r="O72" i="18"/>
  <c r="J74" i="18"/>
  <c r="J73" i="18"/>
  <c r="J75" i="18"/>
  <c r="J72" i="18"/>
  <c r="J53" i="18"/>
  <c r="L62" i="18"/>
  <c r="L73" i="18"/>
  <c r="L75" i="18"/>
  <c r="L74" i="18"/>
  <c r="L72" i="18"/>
  <c r="L53" i="18"/>
  <c r="R53" i="9" s="1"/>
  <c r="J66" i="18"/>
  <c r="J62" i="18"/>
  <c r="N68" i="18"/>
  <c r="N64" i="18"/>
  <c r="N70" i="18"/>
  <c r="N66" i="18"/>
  <c r="N69" i="18"/>
  <c r="N63" i="18"/>
  <c r="N25" i="18" s="1"/>
  <c r="N65" i="18"/>
  <c r="M65" i="18"/>
  <c r="M68" i="18"/>
  <c r="M64" i="18"/>
  <c r="M43" i="18" s="1"/>
  <c r="L65" i="18"/>
  <c r="L68" i="18"/>
  <c r="L64" i="18"/>
  <c r="J68" i="18"/>
  <c r="J64" i="18"/>
  <c r="J43" i="18" s="1"/>
  <c r="J63" i="18"/>
  <c r="J25" i="18" s="1"/>
  <c r="J65" i="18"/>
  <c r="J70" i="18"/>
  <c r="K68" i="18"/>
  <c r="K65" i="18"/>
  <c r="K64" i="18"/>
  <c r="O63" i="18"/>
  <c r="O25" i="18" s="1"/>
  <c r="O64" i="18"/>
  <c r="O43" i="18" s="1"/>
  <c r="O65" i="18"/>
  <c r="O68" i="18"/>
  <c r="M69" i="18"/>
  <c r="M63" i="18"/>
  <c r="M25" i="18" s="1"/>
  <c r="M70" i="18"/>
  <c r="M66" i="18"/>
  <c r="L70" i="18"/>
  <c r="L66" i="18"/>
  <c r="L63" i="18"/>
  <c r="L25" i="18" s="1"/>
  <c r="L69" i="18"/>
  <c r="J69" i="18"/>
  <c r="K63" i="18"/>
  <c r="K25" i="18" s="1"/>
  <c r="K70" i="18"/>
  <c r="K66" i="18"/>
  <c r="K69" i="18"/>
  <c r="O70" i="18"/>
  <c r="O66" i="18"/>
  <c r="O69" i="18"/>
  <c r="AO36" i="9"/>
  <c r="H5" i="18"/>
  <c r="I76" i="18" l="1"/>
  <c r="R51" i="18"/>
  <c r="N43" i="18"/>
  <c r="O35" i="18"/>
  <c r="K43" i="18"/>
  <c r="L43" i="18"/>
  <c r="K15" i="18"/>
  <c r="L15" i="9" s="1"/>
  <c r="J15" i="18"/>
  <c r="F15" i="9" s="1"/>
  <c r="J35" i="18"/>
  <c r="F35" i="9" s="1"/>
  <c r="M35" i="18"/>
  <c r="O45" i="18"/>
  <c r="K31" i="18"/>
  <c r="J45" i="18"/>
  <c r="N35" i="18"/>
  <c r="O21" i="18"/>
  <c r="AJ21" i="9" s="1"/>
  <c r="N21" i="18"/>
  <c r="K21" i="18"/>
  <c r="L21" i="9" s="1"/>
  <c r="J21" i="18"/>
  <c r="L21" i="18"/>
  <c r="M21" i="18"/>
  <c r="O55" i="18"/>
  <c r="AJ55" i="9" s="1"/>
  <c r="O17" i="18"/>
  <c r="L55" i="18"/>
  <c r="R55" i="9" s="1"/>
  <c r="L17" i="18"/>
  <c r="M55" i="18"/>
  <c r="X55" i="9" s="1"/>
  <c r="M17" i="18"/>
  <c r="I53" i="18"/>
  <c r="F53" i="9"/>
  <c r="M45" i="18"/>
  <c r="F21" i="9"/>
  <c r="K35" i="18"/>
  <c r="L35" i="9" s="1"/>
  <c r="L45" i="18"/>
  <c r="I74" i="18"/>
  <c r="I75" i="18"/>
  <c r="I73" i="18"/>
  <c r="I71" i="18"/>
  <c r="I72" i="18"/>
  <c r="F15" i="18"/>
  <c r="N55" i="18"/>
  <c r="AD55" i="9" s="1"/>
  <c r="N17" i="18"/>
  <c r="J55" i="18"/>
  <c r="J17" i="18"/>
  <c r="K55" i="18"/>
  <c r="L55" i="9" s="1"/>
  <c r="K17" i="18"/>
  <c r="K45" i="18"/>
  <c r="L35" i="18"/>
  <c r="R35" i="9" s="1"/>
  <c r="N45" i="18"/>
  <c r="I62" i="18"/>
  <c r="F43" i="18"/>
  <c r="L15" i="18"/>
  <c r="M15" i="18"/>
  <c r="N15" i="18"/>
  <c r="O15" i="18"/>
  <c r="X25" i="9"/>
  <c r="M31" i="18"/>
  <c r="X31" i="9" s="1"/>
  <c r="L25" i="9"/>
  <c r="L31" i="9"/>
  <c r="R25" i="9"/>
  <c r="L31" i="18"/>
  <c r="AD25" i="9"/>
  <c r="N31" i="18"/>
  <c r="AD31" i="9" s="1"/>
  <c r="AJ25" i="9"/>
  <c r="O31" i="18"/>
  <c r="AJ31" i="9" s="1"/>
  <c r="J31" i="18"/>
  <c r="F31" i="9" s="1"/>
  <c r="H91" i="18"/>
  <c r="I66" i="18"/>
  <c r="I70" i="18"/>
  <c r="I69" i="18"/>
  <c r="I63" i="18"/>
  <c r="I68" i="18"/>
  <c r="I67" i="18"/>
  <c r="I65" i="18"/>
  <c r="M9" i="18"/>
  <c r="O9" i="18"/>
  <c r="K9" i="18"/>
  <c r="N9" i="18"/>
  <c r="J9" i="18"/>
  <c r="F51" i="18"/>
  <c r="H51" i="18" s="1"/>
  <c r="G51" i="18" s="1"/>
  <c r="F35" i="18"/>
  <c r="F27" i="18"/>
  <c r="H27" i="18" s="1"/>
  <c r="G27" i="18" s="1"/>
  <c r="F19" i="18"/>
  <c r="H19" i="18" s="1"/>
  <c r="G19" i="18" s="1"/>
  <c r="F11" i="18"/>
  <c r="H11" i="18" s="1"/>
  <c r="G11" i="18" s="1"/>
  <c r="C58" i="18"/>
  <c r="F53" i="18"/>
  <c r="F45" i="18"/>
  <c r="F37" i="18"/>
  <c r="H37" i="18" s="1"/>
  <c r="G37" i="18" s="1"/>
  <c r="F29" i="18"/>
  <c r="H29" i="18" s="1"/>
  <c r="G29" i="18" s="1"/>
  <c r="F21" i="18"/>
  <c r="F13" i="18"/>
  <c r="H13" i="18" s="1"/>
  <c r="G13" i="18" s="1"/>
  <c r="D58" i="18"/>
  <c r="F55" i="18"/>
  <c r="F47" i="18"/>
  <c r="H47" i="18" s="1"/>
  <c r="G47" i="18" s="1"/>
  <c r="F39" i="18"/>
  <c r="H39" i="18" s="1"/>
  <c r="G39" i="18" s="1"/>
  <c r="F31" i="18"/>
  <c r="F23" i="18"/>
  <c r="H23" i="18" s="1"/>
  <c r="G23" i="18" s="1"/>
  <c r="E58" i="18"/>
  <c r="F9" i="18"/>
  <c r="F49" i="18"/>
  <c r="F41" i="18"/>
  <c r="H41" i="18" s="1"/>
  <c r="G41" i="18" s="1"/>
  <c r="F33" i="18"/>
  <c r="H33" i="18" s="1"/>
  <c r="G33" i="18" s="1"/>
  <c r="F25" i="18"/>
  <c r="F17" i="18"/>
  <c r="AJ35" i="9"/>
  <c r="X35" i="9"/>
  <c r="AO35" i="9"/>
  <c r="AU35" i="9" s="1"/>
  <c r="K57" i="18" l="1"/>
  <c r="R53" i="18"/>
  <c r="H53" i="18"/>
  <c r="G53" i="18" s="1"/>
  <c r="I45" i="18"/>
  <c r="I59" i="18"/>
  <c r="J57" i="18"/>
  <c r="M35" i="9"/>
  <c r="AK35" i="9"/>
  <c r="Y35" i="9"/>
  <c r="S35" i="9"/>
  <c r="I15" i="18"/>
  <c r="H15" i="18" s="1"/>
  <c r="G15" i="18" s="1"/>
  <c r="H45" i="18"/>
  <c r="G45" i="18" s="1"/>
  <c r="I9" i="18"/>
  <c r="H9" i="18" s="1"/>
  <c r="G9" i="18" s="1"/>
  <c r="F57" i="18"/>
  <c r="I49" i="18"/>
  <c r="H49" i="18" s="1"/>
  <c r="G49" i="18" s="1"/>
  <c r="Q49" i="18" s="1"/>
  <c r="R49" i="18" s="1"/>
  <c r="G35" i="9"/>
  <c r="I21" i="18"/>
  <c r="H21" i="18" s="1"/>
  <c r="G21" i="18" s="1"/>
  <c r="N57" i="18"/>
  <c r="I35" i="18"/>
  <c r="H35" i="18" s="1"/>
  <c r="G35" i="18" s="1"/>
  <c r="AD35" i="9"/>
  <c r="O57" i="18"/>
  <c r="I17" i="18"/>
  <c r="I55" i="18"/>
  <c r="H55" i="18" s="1"/>
  <c r="G55" i="18" s="1"/>
  <c r="F55" i="9"/>
  <c r="L57" i="18"/>
  <c r="I43" i="18"/>
  <c r="H43" i="18" s="1"/>
  <c r="G43" i="18" s="1"/>
  <c r="Q43" i="18" s="1"/>
  <c r="R43" i="18" s="1"/>
  <c r="M57" i="18"/>
  <c r="I25" i="18"/>
  <c r="H25" i="18" s="1"/>
  <c r="G25" i="18" s="1"/>
  <c r="F25" i="9"/>
  <c r="I31" i="18"/>
  <c r="H31" i="18" s="1"/>
  <c r="G31" i="18" s="1"/>
  <c r="R31" i="9"/>
  <c r="X21" i="9"/>
  <c r="AD21" i="9"/>
  <c r="R21" i="9"/>
  <c r="AR46" i="9"/>
  <c r="AO46" i="9"/>
  <c r="AR45" i="9"/>
  <c r="AO45" i="9"/>
  <c r="AR52" i="9"/>
  <c r="AP52" i="9"/>
  <c r="AO52" i="9"/>
  <c r="AR51" i="9"/>
  <c r="AO51" i="9"/>
  <c r="AK51" i="9"/>
  <c r="AE51" i="9"/>
  <c r="Y51" i="9"/>
  <c r="S51" i="9"/>
  <c r="AR48" i="9"/>
  <c r="AO48" i="9"/>
  <c r="AR47" i="9"/>
  <c r="AO47" i="9"/>
  <c r="AR44" i="9"/>
  <c r="AO44" i="9"/>
  <c r="AR43" i="9"/>
  <c r="AO43" i="9"/>
  <c r="AR50" i="9"/>
  <c r="AO50" i="9"/>
  <c r="AR49" i="9"/>
  <c r="AO49" i="9"/>
  <c r="AO34" i="9"/>
  <c r="AO33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R16" i="9"/>
  <c r="AO16" i="9"/>
  <c r="AR15" i="9"/>
  <c r="AO15" i="9"/>
  <c r="AO32" i="9"/>
  <c r="AO31" i="9"/>
  <c r="AP13" i="9"/>
  <c r="AR14" i="9"/>
  <c r="AP14" i="9"/>
  <c r="AO14" i="9"/>
  <c r="AR13" i="9"/>
  <c r="AO13" i="9"/>
  <c r="AK13" i="9"/>
  <c r="AE13" i="9"/>
  <c r="Y13" i="9"/>
  <c r="S13" i="9"/>
  <c r="M13" i="9"/>
  <c r="G13" i="9"/>
  <c r="AR12" i="9"/>
  <c r="AO12" i="9"/>
  <c r="AR11" i="9"/>
  <c r="AO11" i="9"/>
  <c r="AB13" i="9" l="1"/>
  <c r="AA13" i="9"/>
  <c r="Q31" i="18"/>
  <c r="R31" i="18" s="1"/>
  <c r="U35" i="9"/>
  <c r="V35" i="9"/>
  <c r="I13" i="9"/>
  <c r="J13" i="9"/>
  <c r="AH13" i="9"/>
  <c r="AG13" i="9"/>
  <c r="Q21" i="18"/>
  <c r="R21" i="18" s="1"/>
  <c r="AB35" i="9"/>
  <c r="AA35" i="9"/>
  <c r="O13" i="9"/>
  <c r="P13" i="9"/>
  <c r="AM13" i="9"/>
  <c r="AN13" i="9"/>
  <c r="J35" i="9"/>
  <c r="I35" i="9"/>
  <c r="AM35" i="9"/>
  <c r="AN35" i="9"/>
  <c r="U13" i="9"/>
  <c r="V13" i="9"/>
  <c r="Q15" i="18"/>
  <c r="R15" i="18" s="1"/>
  <c r="P35" i="9"/>
  <c r="O35" i="9"/>
  <c r="U51" i="9"/>
  <c r="V51" i="9"/>
  <c r="AM51" i="9"/>
  <c r="AN51" i="9"/>
  <c r="AG51" i="9"/>
  <c r="AH51" i="9"/>
  <c r="AA51" i="9"/>
  <c r="AB51" i="9"/>
  <c r="AE35" i="9"/>
  <c r="H17" i="18"/>
  <c r="G17" i="18" s="1"/>
  <c r="I57" i="18"/>
  <c r="AP35" i="9"/>
  <c r="AQ35" i="9" s="1"/>
  <c r="AU45" i="9"/>
  <c r="AU31" i="9"/>
  <c r="AX45" i="9"/>
  <c r="AX51" i="9"/>
  <c r="AU51" i="9"/>
  <c r="AX43" i="9"/>
  <c r="AX47" i="9"/>
  <c r="AU47" i="9"/>
  <c r="AU43" i="9"/>
  <c r="AU49" i="9"/>
  <c r="AX49" i="9"/>
  <c r="AU33" i="9"/>
  <c r="AX33" i="9"/>
  <c r="AX25" i="9"/>
  <c r="AX29" i="9"/>
  <c r="AU29" i="9"/>
  <c r="AU27" i="9"/>
  <c r="AX27" i="9"/>
  <c r="AU25" i="9"/>
  <c r="AU23" i="9"/>
  <c r="AX23" i="9"/>
  <c r="AU21" i="9"/>
  <c r="AX21" i="9"/>
  <c r="AX19" i="9"/>
  <c r="AU19" i="9"/>
  <c r="AX31" i="9"/>
  <c r="AX17" i="9"/>
  <c r="BA17" i="9" s="1"/>
  <c r="AU17" i="9"/>
  <c r="AX13" i="9"/>
  <c r="AU13" i="9"/>
  <c r="AX15" i="9"/>
  <c r="BA15" i="9" s="1"/>
  <c r="AU15" i="9"/>
  <c r="AQ13" i="9"/>
  <c r="AV13" i="9"/>
  <c r="AX11" i="9"/>
  <c r="AU11" i="9"/>
  <c r="Q17" i="18" l="1"/>
  <c r="R17" i="18" s="1"/>
  <c r="AT13" i="9"/>
  <c r="AS13" i="9"/>
  <c r="AH35" i="9"/>
  <c r="AG35" i="9"/>
  <c r="AT35" i="9"/>
  <c r="AS35" i="9"/>
  <c r="AK52" i="9"/>
  <c r="AE52" i="9"/>
  <c r="Y52" i="9"/>
  <c r="S52" i="9"/>
  <c r="AQ14" i="9"/>
  <c r="AT14" i="9" s="1"/>
  <c r="AK14" i="9"/>
  <c r="AE14" i="9"/>
  <c r="M14" i="9"/>
  <c r="Y14" i="9"/>
  <c r="G14" i="9"/>
  <c r="S14" i="9"/>
  <c r="AW13" i="9"/>
  <c r="AY13" i="9" s="1"/>
  <c r="I14" i="9" l="1"/>
  <c r="J14" i="9"/>
  <c r="AM14" i="9"/>
  <c r="AN14" i="9"/>
  <c r="AA14" i="9"/>
  <c r="AB14" i="9"/>
  <c r="O14" i="9"/>
  <c r="P14" i="9"/>
  <c r="U14" i="9"/>
  <c r="V14" i="9"/>
  <c r="AG14" i="9"/>
  <c r="AH14" i="9"/>
  <c r="AM52" i="9"/>
  <c r="AN52" i="9"/>
  <c r="AG52" i="9"/>
  <c r="AH52" i="9"/>
  <c r="AA52" i="9"/>
  <c r="AB52" i="9"/>
  <c r="U52" i="9"/>
  <c r="V52" i="9"/>
  <c r="AS14" i="9"/>
  <c r="AO39" i="9"/>
  <c r="AO40" i="9"/>
  <c r="AO41" i="9"/>
  <c r="AO42" i="9"/>
  <c r="AO53" i="9"/>
  <c r="AO54" i="9"/>
  <c r="AO55" i="9"/>
  <c r="AO56" i="9"/>
  <c r="AO37" i="9"/>
  <c r="AO57" i="9" s="1"/>
  <c r="AO38" i="9"/>
  <c r="AR56" i="9" l="1"/>
  <c r="AX55" i="9" s="1"/>
  <c r="AP56" i="9"/>
  <c r="AP55" i="9"/>
  <c r="AU55" i="9"/>
  <c r="AK55" i="9"/>
  <c r="AE55" i="9"/>
  <c r="Y55" i="9"/>
  <c r="S55" i="9"/>
  <c r="M55" i="9"/>
  <c r="G55" i="9"/>
  <c r="AR54" i="9"/>
  <c r="AP54" i="9"/>
  <c r="AR53" i="9"/>
  <c r="AP53" i="9"/>
  <c r="AU53" i="9"/>
  <c r="AK53" i="9"/>
  <c r="AE53" i="9"/>
  <c r="Y53" i="9"/>
  <c r="S53" i="9"/>
  <c r="M53" i="9"/>
  <c r="G53" i="9"/>
  <c r="AB53" i="9" l="1"/>
  <c r="AA53" i="9"/>
  <c r="J55" i="9"/>
  <c r="I55" i="9"/>
  <c r="AG55" i="9"/>
  <c r="AH55" i="9"/>
  <c r="J53" i="9"/>
  <c r="I53" i="9"/>
  <c r="AG53" i="9"/>
  <c r="AH53" i="9"/>
  <c r="O55" i="9"/>
  <c r="P55" i="9"/>
  <c r="AN55" i="9"/>
  <c r="AM55" i="9"/>
  <c r="P53" i="9"/>
  <c r="O53" i="9"/>
  <c r="AN53" i="9"/>
  <c r="AM53" i="9"/>
  <c r="V55" i="9"/>
  <c r="U55" i="9"/>
  <c r="U53" i="9"/>
  <c r="V53" i="9"/>
  <c r="AA55" i="9"/>
  <c r="AB55" i="9"/>
  <c r="AV55" i="9"/>
  <c r="AV53" i="9"/>
  <c r="AW53" i="9" s="1"/>
  <c r="AX53" i="9"/>
  <c r="AQ55" i="9"/>
  <c r="AQ53" i="9"/>
  <c r="H28" i="6"/>
  <c r="H24" i="6"/>
  <c r="H34" i="6"/>
  <c r="H32" i="6"/>
  <c r="H30" i="6"/>
  <c r="H26" i="6"/>
  <c r="F23" i="6"/>
  <c r="F24" i="6"/>
  <c r="AT53" i="9" l="1"/>
  <c r="AS53" i="9"/>
  <c r="AQ54" i="9" s="1"/>
  <c r="AT54" i="9" s="1"/>
  <c r="AS55" i="9"/>
  <c r="AQ56" i="9" s="1"/>
  <c r="AT56" i="9" s="1"/>
  <c r="AT55" i="9"/>
  <c r="AW55" i="9"/>
  <c r="AE54" i="9"/>
  <c r="AK54" i="9"/>
  <c r="AK56" i="9"/>
  <c r="Y54" i="9"/>
  <c r="Y56" i="9"/>
  <c r="S54" i="9"/>
  <c r="S56" i="9"/>
  <c r="G56" i="9"/>
  <c r="J56" i="9" s="1"/>
  <c r="G54" i="9"/>
  <c r="M56" i="9"/>
  <c r="M54" i="9"/>
  <c r="AE56" i="9"/>
  <c r="AY53" i="9"/>
  <c r="H23" i="6"/>
  <c r="G16" i="7" s="1"/>
  <c r="F23" i="7"/>
  <c r="E16" i="7"/>
  <c r="O54" i="9" l="1"/>
  <c r="P54" i="9"/>
  <c r="I54" i="9"/>
  <c r="J54" i="9"/>
  <c r="AA56" i="9"/>
  <c r="AB56" i="9"/>
  <c r="AG54" i="9"/>
  <c r="AH54" i="9"/>
  <c r="AA54" i="9"/>
  <c r="AB54" i="9"/>
  <c r="U56" i="9"/>
  <c r="V56" i="9"/>
  <c r="AM56" i="9"/>
  <c r="AN56" i="9"/>
  <c r="AG56" i="9"/>
  <c r="AH56" i="9"/>
  <c r="O56" i="9"/>
  <c r="P56" i="9"/>
  <c r="U54" i="9"/>
  <c r="V54" i="9"/>
  <c r="AM54" i="9"/>
  <c r="AN54" i="9"/>
  <c r="AS56" i="9"/>
  <c r="AS54" i="9"/>
  <c r="I56" i="9"/>
  <c r="AY55" i="9"/>
  <c r="H23" i="7"/>
  <c r="I23" i="7" l="1"/>
  <c r="AR9" i="9" l="1"/>
  <c r="AR10" i="9"/>
  <c r="H29" i="6"/>
  <c r="G19" i="7" s="1"/>
  <c r="H33" i="6"/>
  <c r="G21" i="7" s="1"/>
  <c r="H25" i="6"/>
  <c r="AR39" i="9"/>
  <c r="AR40" i="9"/>
  <c r="AR41" i="9"/>
  <c r="AR42" i="9"/>
  <c r="AR58" i="9" l="1"/>
  <c r="AR57" i="9"/>
  <c r="AO10" i="9"/>
  <c r="AO58" i="9" s="1"/>
  <c r="G17" i="7"/>
  <c r="H27" i="6"/>
  <c r="G18" i="7" s="1"/>
  <c r="E29" i="6"/>
  <c r="E31" i="6"/>
  <c r="E25" i="6"/>
  <c r="H31" i="6"/>
  <c r="G20" i="7" s="1"/>
  <c r="E33" i="6"/>
  <c r="E27" i="6"/>
  <c r="AU39" i="9"/>
  <c r="AX39" i="9"/>
  <c r="AU37" i="9"/>
  <c r="AX9" i="9"/>
  <c r="AX57" i="9" s="1"/>
  <c r="AX41" i="9"/>
  <c r="AX37" i="9"/>
  <c r="AU41" i="9"/>
  <c r="BA9" i="9" l="1"/>
  <c r="G22" i="7"/>
  <c r="AU9" i="9"/>
  <c r="AU57" i="9" s="1"/>
  <c r="E26" i="6"/>
  <c r="D17" i="7" s="1"/>
  <c r="E28" i="6"/>
  <c r="D18" i="7" s="1"/>
  <c r="E30" i="6"/>
  <c r="D19" i="7" s="1"/>
  <c r="E32" i="6"/>
  <c r="D20" i="7" s="1"/>
  <c r="E34" i="6"/>
  <c r="D21" i="7" s="1"/>
  <c r="I75" i="9" l="1"/>
  <c r="B3" i="6"/>
  <c r="B4" i="6"/>
  <c r="G9" i="1" l="1"/>
  <c r="L9" i="1"/>
  <c r="M9" i="1"/>
  <c r="O9" i="1"/>
  <c r="E9" i="6"/>
  <c r="F9" i="6"/>
  <c r="H9" i="6"/>
  <c r="E10" i="6"/>
  <c r="F10" i="6"/>
  <c r="H10" i="6"/>
  <c r="J9" i="1" l="1"/>
  <c r="N9" i="1"/>
  <c r="P9" i="1" s="1"/>
  <c r="I9" i="1"/>
  <c r="G9" i="6"/>
  <c r="I9" i="6" s="1"/>
  <c r="G10" i="6" s="1"/>
  <c r="J10" i="6" s="1"/>
  <c r="E8" i="7"/>
  <c r="D8" i="7"/>
  <c r="Q9" i="1" l="1"/>
  <c r="G10" i="1"/>
  <c r="J9" i="6"/>
  <c r="F8" i="7"/>
  <c r="I10" i="6"/>
  <c r="J10" i="1" l="1"/>
  <c r="I10" i="1"/>
  <c r="E14" i="7" l="1"/>
  <c r="D14" i="7"/>
  <c r="E33" i="1" s="1"/>
  <c r="H21" i="6"/>
  <c r="H20" i="6"/>
  <c r="H19" i="6"/>
  <c r="H18" i="6"/>
  <c r="H17" i="6"/>
  <c r="H16" i="6"/>
  <c r="H15" i="6"/>
  <c r="H13" i="6"/>
  <c r="H12" i="6"/>
  <c r="H11" i="6"/>
  <c r="H8" i="6"/>
  <c r="H7" i="6"/>
  <c r="F13" i="6"/>
  <c r="F14" i="6"/>
  <c r="F15" i="6"/>
  <c r="F16" i="6"/>
  <c r="F17" i="6"/>
  <c r="F18" i="6"/>
  <c r="F19" i="6"/>
  <c r="F20" i="6"/>
  <c r="F21" i="6"/>
  <c r="F7" i="6"/>
  <c r="F8" i="6"/>
  <c r="E21" i="6"/>
  <c r="E20" i="6"/>
  <c r="E19" i="6"/>
  <c r="E18" i="6"/>
  <c r="E17" i="6"/>
  <c r="E16" i="6"/>
  <c r="E15" i="6"/>
  <c r="E14" i="6"/>
  <c r="E13" i="6"/>
  <c r="E12" i="6"/>
  <c r="E11" i="6"/>
  <c r="G11" i="6" s="1"/>
  <c r="E8" i="6"/>
  <c r="E7" i="6"/>
  <c r="F12" i="6"/>
  <c r="G13" i="1"/>
  <c r="G33" i="1" l="1"/>
  <c r="I33" i="1"/>
  <c r="J33" i="1"/>
  <c r="I13" i="1"/>
  <c r="G14" i="1" s="1"/>
  <c r="G16" i="6"/>
  <c r="J16" i="6" s="1"/>
  <c r="G20" i="6"/>
  <c r="J20" i="6" s="1"/>
  <c r="J11" i="6"/>
  <c r="G18" i="6"/>
  <c r="J18" i="6" s="1"/>
  <c r="G8" i="7"/>
  <c r="H8" i="7" s="1"/>
  <c r="E7" i="7"/>
  <c r="G7" i="7"/>
  <c r="D12" i="7"/>
  <c r="D11" i="7"/>
  <c r="D13" i="7"/>
  <c r="G9" i="7"/>
  <c r="E10" i="7"/>
  <c r="D10" i="7"/>
  <c r="E12" i="7"/>
  <c r="G11" i="7"/>
  <c r="G13" i="7"/>
  <c r="D7" i="7"/>
  <c r="D9" i="7"/>
  <c r="E13" i="7"/>
  <c r="E11" i="7"/>
  <c r="G12" i="7"/>
  <c r="G10" i="7"/>
  <c r="G15" i="7" l="1"/>
  <c r="G24" i="7" s="1"/>
  <c r="D15" i="7"/>
  <c r="E15" i="7"/>
  <c r="I8" i="7"/>
  <c r="F9" i="7"/>
  <c r="F15" i="7" l="1"/>
  <c r="F11" i="7"/>
  <c r="G22" i="6"/>
  <c r="J22" i="6" s="1"/>
  <c r="O28" i="1"/>
  <c r="M28" i="1"/>
  <c r="L28" i="1"/>
  <c r="G28" i="1"/>
  <c r="O26" i="1"/>
  <c r="M26" i="1"/>
  <c r="L26" i="1"/>
  <c r="G26" i="1"/>
  <c r="O24" i="1"/>
  <c r="M24" i="1"/>
  <c r="L24" i="1"/>
  <c r="G24" i="1"/>
  <c r="O21" i="1"/>
  <c r="M21" i="1"/>
  <c r="L21" i="1"/>
  <c r="G21" i="1"/>
  <c r="J21" i="1" s="1"/>
  <c r="O19" i="1"/>
  <c r="L19" i="1"/>
  <c r="O13" i="1"/>
  <c r="L13" i="1"/>
  <c r="O11" i="1"/>
  <c r="M11" i="1"/>
  <c r="L11" i="1"/>
  <c r="G11" i="1"/>
  <c r="J11" i="1" s="1"/>
  <c r="O17" i="1"/>
  <c r="M17" i="1"/>
  <c r="L17" i="1"/>
  <c r="G17" i="1"/>
  <c r="O7" i="1"/>
  <c r="M7" i="1"/>
  <c r="L7" i="1"/>
  <c r="G7" i="1"/>
  <c r="H15" i="7" l="1"/>
  <c r="J19" i="1"/>
  <c r="I24" i="1"/>
  <c r="I17" i="1"/>
  <c r="I21" i="1"/>
  <c r="I26" i="1"/>
  <c r="I28" i="1"/>
  <c r="I11" i="1"/>
  <c r="I7" i="1"/>
  <c r="N7" i="1"/>
  <c r="Q7" i="1" s="1"/>
  <c r="N21" i="1"/>
  <c r="P21" i="1" s="1"/>
  <c r="N24" i="1"/>
  <c r="P24" i="1" s="1"/>
  <c r="N26" i="1"/>
  <c r="Q26" i="1" s="1"/>
  <c r="N28" i="1"/>
  <c r="P28" i="1" s="1"/>
  <c r="N13" i="1"/>
  <c r="P13" i="1" s="1"/>
  <c r="N11" i="1"/>
  <c r="P11" i="1" s="1"/>
  <c r="J15" i="1"/>
  <c r="N19" i="1"/>
  <c r="Q19" i="1" s="1"/>
  <c r="J17" i="1"/>
  <c r="I22" i="6"/>
  <c r="N17" i="1"/>
  <c r="P17" i="1" s="1"/>
  <c r="J7" i="1"/>
  <c r="I11" i="6"/>
  <c r="G12" i="6" s="1"/>
  <c r="J12" i="6" s="1"/>
  <c r="G7" i="6"/>
  <c r="J7" i="6" s="1"/>
  <c r="F12" i="7"/>
  <c r="H12" i="7" s="1"/>
  <c r="G13" i="6"/>
  <c r="I20" i="6"/>
  <c r="H11" i="7"/>
  <c r="I9" i="7"/>
  <c r="F13" i="7"/>
  <c r="H13" i="7" s="1"/>
  <c r="F10" i="7"/>
  <c r="H10" i="7" s="1"/>
  <c r="F14" i="7"/>
  <c r="H14" i="7" s="1"/>
  <c r="F7" i="7"/>
  <c r="H7" i="7" s="1"/>
  <c r="I11" i="7"/>
  <c r="I18" i="6"/>
  <c r="I16" i="6"/>
  <c r="G17" i="6" s="1"/>
  <c r="J17" i="6" s="1"/>
  <c r="J24" i="1"/>
  <c r="J26" i="1"/>
  <c r="J28" i="1"/>
  <c r="G18" i="1" l="1"/>
  <c r="G27" i="1"/>
  <c r="G29" i="1"/>
  <c r="G25" i="1"/>
  <c r="G12" i="1"/>
  <c r="J12" i="1" s="1"/>
  <c r="J20" i="1"/>
  <c r="J22" i="1"/>
  <c r="I22" i="1"/>
  <c r="J16" i="1"/>
  <c r="G8" i="1"/>
  <c r="Q28" i="1"/>
  <c r="Q13" i="1"/>
  <c r="P26" i="1"/>
  <c r="P7" i="1"/>
  <c r="P19" i="1"/>
  <c r="I13" i="6"/>
  <c r="J13" i="6"/>
  <c r="G21" i="6"/>
  <c r="J21" i="6" s="1"/>
  <c r="G19" i="6"/>
  <c r="Q21" i="1"/>
  <c r="Q24" i="1"/>
  <c r="I12" i="7"/>
  <c r="Q11" i="1"/>
  <c r="I7" i="6"/>
  <c r="G8" i="6" s="1"/>
  <c r="Q15" i="1"/>
  <c r="Q17" i="1"/>
  <c r="I13" i="7"/>
  <c r="H9" i="7"/>
  <c r="I12" i="6"/>
  <c r="I14" i="7"/>
  <c r="I10" i="7"/>
  <c r="I7" i="7"/>
  <c r="I17" i="6"/>
  <c r="J13" i="1"/>
  <c r="J18" i="1" l="1"/>
  <c r="I18" i="1"/>
  <c r="I27" i="1"/>
  <c r="J27" i="1"/>
  <c r="J29" i="1"/>
  <c r="I29" i="1"/>
  <c r="J25" i="1"/>
  <c r="I25" i="1"/>
  <c r="I12" i="1"/>
  <c r="I20" i="1"/>
  <c r="I8" i="1"/>
  <c r="J8" i="1"/>
  <c r="G14" i="6"/>
  <c r="I14" i="6" s="1"/>
  <c r="G15" i="6" s="1"/>
  <c r="J15" i="6" s="1"/>
  <c r="I21" i="6"/>
  <c r="I19" i="6"/>
  <c r="J19" i="6"/>
  <c r="I8" i="6"/>
  <c r="J8" i="6"/>
  <c r="I14" i="1"/>
  <c r="J14" i="1"/>
  <c r="I23" i="1" l="1"/>
  <c r="J23" i="1"/>
  <c r="J14" i="6"/>
  <c r="I15" i="6"/>
  <c r="M25" i="9" l="1"/>
  <c r="S25" i="9"/>
  <c r="Y25" i="9"/>
  <c r="AE25" i="9"/>
  <c r="AK25" i="9"/>
  <c r="P25" i="9" l="1"/>
  <c r="O25" i="9"/>
  <c r="AM25" i="9"/>
  <c r="AN25" i="9"/>
  <c r="V25" i="9"/>
  <c r="U25" i="9"/>
  <c r="AB25" i="9"/>
  <c r="AA25" i="9"/>
  <c r="AH25" i="9"/>
  <c r="AG25" i="9"/>
  <c r="Y31" i="9"/>
  <c r="AK31" i="9"/>
  <c r="M31" i="9"/>
  <c r="S31" i="9"/>
  <c r="AE31" i="9"/>
  <c r="AB31" i="9" l="1"/>
  <c r="AA31" i="9"/>
  <c r="O31" i="9"/>
  <c r="P31" i="9"/>
  <c r="V31" i="9"/>
  <c r="U31" i="9"/>
  <c r="AH31" i="9"/>
  <c r="AG31" i="9"/>
  <c r="AN31" i="9"/>
  <c r="AM31" i="9"/>
  <c r="G31" i="9"/>
  <c r="AP31" i="9"/>
  <c r="AP25" i="9"/>
  <c r="G25" i="9"/>
  <c r="J31" i="9" l="1"/>
  <c r="I31" i="9"/>
  <c r="J25" i="9"/>
  <c r="I25" i="9"/>
  <c r="M51" i="9"/>
  <c r="AQ25" i="9"/>
  <c r="AQ31" i="9"/>
  <c r="AT31" i="9" l="1"/>
  <c r="AS31" i="9"/>
  <c r="P51" i="9"/>
  <c r="O51" i="9"/>
  <c r="AT25" i="9"/>
  <c r="AS25" i="9"/>
  <c r="G51" i="9"/>
  <c r="AP51" i="9"/>
  <c r="I51" i="9" l="1"/>
  <c r="J51" i="9"/>
  <c r="AQ51" i="9"/>
  <c r="AV51" i="9"/>
  <c r="AW51" i="9" s="1"/>
  <c r="M52" i="9"/>
  <c r="O52" i="9" l="1"/>
  <c r="P52" i="9"/>
  <c r="AT51" i="9"/>
  <c r="AS51" i="9"/>
  <c r="AQ52" i="9" s="1"/>
  <c r="G52" i="9"/>
  <c r="AY51" i="9"/>
  <c r="AS52" i="9" l="1"/>
  <c r="AT52" i="9"/>
  <c r="I52" i="9"/>
  <c r="J52" i="9"/>
  <c r="G21" i="9"/>
  <c r="S21" i="9"/>
  <c r="I21" i="9" l="1"/>
  <c r="J21" i="9"/>
  <c r="U21" i="9"/>
  <c r="V21" i="9"/>
  <c r="AE21" i="9"/>
  <c r="Y21" i="9"/>
  <c r="AH21" i="9" l="1"/>
  <c r="AG21" i="9"/>
  <c r="AA21" i="9"/>
  <c r="AB21" i="9"/>
  <c r="AP21" i="9"/>
  <c r="AK21" i="9"/>
  <c r="M21" i="9"/>
  <c r="AM21" i="9" l="1"/>
  <c r="AN21" i="9"/>
  <c r="P21" i="9"/>
  <c r="O21" i="9"/>
  <c r="AQ21" i="9"/>
  <c r="AT21" i="9" l="1"/>
  <c r="AS21" i="9"/>
  <c r="L50" i="9"/>
  <c r="R50" i="9"/>
  <c r="X50" i="9"/>
  <c r="AD50" i="9"/>
  <c r="AJ50" i="9"/>
  <c r="F50" i="9"/>
  <c r="L47" i="9"/>
  <c r="R47" i="9"/>
  <c r="X47" i="9"/>
  <c r="AD47" i="9"/>
  <c r="AJ47" i="9"/>
  <c r="L48" i="9"/>
  <c r="R48" i="9"/>
  <c r="X48" i="9"/>
  <c r="AD48" i="9"/>
  <c r="AJ48" i="9"/>
  <c r="F48" i="9"/>
  <c r="L46" i="9"/>
  <c r="R46" i="9"/>
  <c r="X46" i="9"/>
  <c r="AD46" i="9"/>
  <c r="AJ46" i="9"/>
  <c r="F46" i="9"/>
  <c r="L44" i="9"/>
  <c r="R44" i="9"/>
  <c r="X44" i="9"/>
  <c r="AD44" i="9"/>
  <c r="AJ44" i="9"/>
  <c r="F44" i="9"/>
  <c r="L42" i="9"/>
  <c r="R42" i="9"/>
  <c r="X42" i="9"/>
  <c r="AD42" i="9"/>
  <c r="AJ42" i="9"/>
  <c r="F42" i="9"/>
  <c r="L40" i="9"/>
  <c r="R40" i="9"/>
  <c r="X40" i="9"/>
  <c r="AD40" i="9"/>
  <c r="AJ40" i="9"/>
  <c r="F40" i="9"/>
  <c r="L34" i="9"/>
  <c r="R34" i="9"/>
  <c r="X34" i="9"/>
  <c r="AD34" i="9"/>
  <c r="AJ34" i="9"/>
  <c r="F34" i="9"/>
  <c r="L30" i="9"/>
  <c r="R30" i="9"/>
  <c r="X30" i="9"/>
  <c r="AD30" i="9"/>
  <c r="AJ30" i="9"/>
  <c r="F30" i="9"/>
  <c r="L28" i="9"/>
  <c r="R28" i="9"/>
  <c r="X28" i="9"/>
  <c r="AD28" i="9"/>
  <c r="AJ28" i="9"/>
  <c r="F28" i="9"/>
  <c r="L26" i="9"/>
  <c r="M26" i="9" s="1"/>
  <c r="R26" i="9"/>
  <c r="S26" i="9" s="1"/>
  <c r="X26" i="9"/>
  <c r="Y26" i="9" s="1"/>
  <c r="AD26" i="9"/>
  <c r="AE26" i="9" s="1"/>
  <c r="AJ26" i="9"/>
  <c r="AK26" i="9" s="1"/>
  <c r="F26" i="9"/>
  <c r="L24" i="9"/>
  <c r="R24" i="9"/>
  <c r="X24" i="9"/>
  <c r="AD24" i="9"/>
  <c r="AJ24" i="9"/>
  <c r="F24" i="9"/>
  <c r="L22" i="9"/>
  <c r="R22" i="9"/>
  <c r="X22" i="9"/>
  <c r="AD22" i="9"/>
  <c r="AJ22" i="9"/>
  <c r="F22" i="9"/>
  <c r="L20" i="9"/>
  <c r="R20" i="9"/>
  <c r="X20" i="9"/>
  <c r="AJ20" i="9"/>
  <c r="F20" i="9"/>
  <c r="L18" i="9"/>
  <c r="R18" i="9"/>
  <c r="X18" i="9"/>
  <c r="AD18" i="9"/>
  <c r="AJ18" i="9"/>
  <c r="F18" i="9"/>
  <c r="L12" i="9"/>
  <c r="R12" i="9"/>
  <c r="X12" i="9"/>
  <c r="AD12" i="9"/>
  <c r="AJ12" i="9"/>
  <c r="F12" i="9"/>
  <c r="F10" i="9"/>
  <c r="L10" i="9"/>
  <c r="R10" i="9"/>
  <c r="X10" i="9"/>
  <c r="AD10" i="9"/>
  <c r="AJ10" i="9"/>
  <c r="R32" i="9"/>
  <c r="X32" i="9"/>
  <c r="AD32" i="9"/>
  <c r="AJ32" i="9"/>
  <c r="F32" i="9"/>
  <c r="AA26" i="9" l="1"/>
  <c r="AB26" i="9"/>
  <c r="U26" i="9"/>
  <c r="V26" i="9"/>
  <c r="AG26" i="9"/>
  <c r="AH26" i="9"/>
  <c r="AM26" i="9"/>
  <c r="AN26" i="9"/>
  <c r="O26" i="9"/>
  <c r="P26" i="9"/>
  <c r="Y32" i="9"/>
  <c r="AE22" i="9"/>
  <c r="AH22" i="9" s="1"/>
  <c r="AK47" i="9"/>
  <c r="M47" i="9"/>
  <c r="AE32" i="9"/>
  <c r="AH32" i="9" s="1"/>
  <c r="AK22" i="9"/>
  <c r="AN22" i="9" s="1"/>
  <c r="M22" i="9"/>
  <c r="S47" i="9"/>
  <c r="AK32" i="9"/>
  <c r="S22" i="9"/>
  <c r="Y47" i="9"/>
  <c r="S32" i="9"/>
  <c r="V32" i="9" s="1"/>
  <c r="Y22" i="9"/>
  <c r="AB22" i="9" s="1"/>
  <c r="AE47" i="9"/>
  <c r="F47" i="9"/>
  <c r="AP10" i="9"/>
  <c r="AJ36" i="9"/>
  <c r="AJ38" i="9"/>
  <c r="AP22" i="9"/>
  <c r="G22" i="9"/>
  <c r="AP30" i="9"/>
  <c r="AP46" i="9"/>
  <c r="G32" i="9"/>
  <c r="X36" i="9"/>
  <c r="X38" i="9"/>
  <c r="AP48" i="9"/>
  <c r="L36" i="9"/>
  <c r="L38" i="9"/>
  <c r="AP26" i="9"/>
  <c r="G26" i="9"/>
  <c r="F38" i="9"/>
  <c r="R36" i="9"/>
  <c r="R38" i="9"/>
  <c r="AP42" i="9"/>
  <c r="AP12" i="9"/>
  <c r="AP20" i="9"/>
  <c r="AP24" i="9"/>
  <c r="AP28" i="9"/>
  <c r="AP34" i="9"/>
  <c r="AD36" i="9"/>
  <c r="AD38" i="9"/>
  <c r="AP40" i="9"/>
  <c r="AP44" i="9"/>
  <c r="AP50" i="9"/>
  <c r="AP18" i="9"/>
  <c r="AH47" i="9" l="1"/>
  <c r="AG47" i="9"/>
  <c r="V47" i="9"/>
  <c r="U47" i="9"/>
  <c r="S48" i="9" s="1"/>
  <c r="P47" i="9"/>
  <c r="O47" i="9"/>
  <c r="AA47" i="9"/>
  <c r="AB47" i="9"/>
  <c r="AN47" i="9"/>
  <c r="AM47" i="9"/>
  <c r="AK48" i="9" s="1"/>
  <c r="I32" i="9"/>
  <c r="J32" i="9"/>
  <c r="AM32" i="9"/>
  <c r="AN32" i="9"/>
  <c r="AA32" i="9"/>
  <c r="AB32" i="9"/>
  <c r="O22" i="9"/>
  <c r="P22" i="9"/>
  <c r="I22" i="9"/>
  <c r="J22" i="9"/>
  <c r="U22" i="9"/>
  <c r="V22" i="9"/>
  <c r="I26" i="9"/>
  <c r="J26" i="9"/>
  <c r="AM22" i="9"/>
  <c r="AG22" i="9"/>
  <c r="AG32" i="9"/>
  <c r="AA22" i="9"/>
  <c r="U32" i="9"/>
  <c r="AE48" i="9"/>
  <c r="AE36" i="9"/>
  <c r="Y36" i="9"/>
  <c r="M36" i="9"/>
  <c r="S36" i="9"/>
  <c r="V36" i="9" s="1"/>
  <c r="AK36" i="9"/>
  <c r="AP47" i="9"/>
  <c r="AQ47" i="9" s="1"/>
  <c r="Y48" i="9"/>
  <c r="M48" i="9"/>
  <c r="G47" i="9"/>
  <c r="F36" i="9"/>
  <c r="AV25" i="9"/>
  <c r="AW25" i="9" s="1"/>
  <c r="AQ26" i="9"/>
  <c r="AV21" i="9"/>
  <c r="AW21" i="9" s="1"/>
  <c r="AQ22" i="9"/>
  <c r="AP38" i="9"/>
  <c r="L41" i="9"/>
  <c r="R41" i="9"/>
  <c r="AJ41" i="9"/>
  <c r="X41" i="9"/>
  <c r="AD41" i="9"/>
  <c r="U48" i="9" l="1"/>
  <c r="V48" i="9"/>
  <c r="AM48" i="9"/>
  <c r="AN48" i="9"/>
  <c r="O48" i="9"/>
  <c r="P48" i="9"/>
  <c r="AT47" i="9"/>
  <c r="AS47" i="9"/>
  <c r="AQ48" i="9" s="1"/>
  <c r="AA36" i="9"/>
  <c r="AB36" i="9"/>
  <c r="AM36" i="9"/>
  <c r="AN36" i="9"/>
  <c r="AG36" i="9"/>
  <c r="AH36" i="9"/>
  <c r="AA48" i="9"/>
  <c r="AB48" i="9"/>
  <c r="AG48" i="9"/>
  <c r="AH48" i="9"/>
  <c r="J47" i="9"/>
  <c r="I47" i="9"/>
  <c r="O36" i="9"/>
  <c r="P36" i="9"/>
  <c r="AS22" i="9"/>
  <c r="AT22" i="9"/>
  <c r="AS26" i="9"/>
  <c r="AT26" i="9"/>
  <c r="U36" i="9"/>
  <c r="S41" i="9"/>
  <c r="AK41" i="9"/>
  <c r="Y41" i="9"/>
  <c r="AE41" i="9"/>
  <c r="M41" i="9"/>
  <c r="AV47" i="9"/>
  <c r="AW47" i="9" s="1"/>
  <c r="AY47" i="9" s="1"/>
  <c r="H57" i="18"/>
  <c r="AZ21" i="9"/>
  <c r="AY21" i="9"/>
  <c r="AP36" i="9"/>
  <c r="G36" i="9"/>
  <c r="AY25" i="9"/>
  <c r="AZ25" i="9"/>
  <c r="AS48" i="9" l="1"/>
  <c r="AT48" i="9"/>
  <c r="AA41" i="9"/>
  <c r="AB41" i="9"/>
  <c r="O41" i="9"/>
  <c r="P41" i="9"/>
  <c r="U41" i="9"/>
  <c r="V41" i="9"/>
  <c r="I36" i="9"/>
  <c r="J36" i="9"/>
  <c r="AH41" i="9"/>
  <c r="AG41" i="9"/>
  <c r="AE42" i="9" s="1"/>
  <c r="AN41" i="9"/>
  <c r="AM41" i="9"/>
  <c r="AK42" i="9" s="1"/>
  <c r="AN42" i="9" s="1"/>
  <c r="AZ47" i="9"/>
  <c r="S42" i="9"/>
  <c r="G48" i="9"/>
  <c r="M42" i="9"/>
  <c r="P42" i="9" s="1"/>
  <c r="AV35" i="9"/>
  <c r="AW35" i="9" s="1"/>
  <c r="AQ36" i="9"/>
  <c r="AG42" i="9" l="1"/>
  <c r="AH42" i="9"/>
  <c r="I48" i="9"/>
  <c r="J48" i="9"/>
  <c r="U42" i="9"/>
  <c r="V42" i="9"/>
  <c r="AS36" i="9"/>
  <c r="AT36" i="9"/>
  <c r="AM42" i="9"/>
  <c r="O42" i="9"/>
  <c r="Y42" i="9"/>
  <c r="AB42" i="9" s="1"/>
  <c r="G57" i="18"/>
  <c r="AY35" i="9"/>
  <c r="F41" i="9"/>
  <c r="AA42" i="9" l="1"/>
  <c r="AP41" i="9"/>
  <c r="G41" i="9"/>
  <c r="J41" i="9" l="1"/>
  <c r="I41" i="9"/>
  <c r="AQ41" i="9"/>
  <c r="AV41" i="9"/>
  <c r="AW41" i="9" s="1"/>
  <c r="AT41" i="9" l="1"/>
  <c r="AS41" i="9"/>
  <c r="G42" i="9"/>
  <c r="AQ42" i="9"/>
  <c r="AY41" i="9"/>
  <c r="AS42" i="9" l="1"/>
  <c r="AT42" i="9"/>
  <c r="I42" i="9"/>
  <c r="J42" i="9"/>
  <c r="AJ17" i="9"/>
  <c r="X49" i="9"/>
  <c r="AD49" i="9"/>
  <c r="R16" i="9"/>
  <c r="L49" i="9"/>
  <c r="AD19" i="9"/>
  <c r="AJ27" i="9"/>
  <c r="R49" i="9"/>
  <c r="AJ49" i="9"/>
  <c r="L16" i="9"/>
  <c r="AJ16" i="9"/>
  <c r="F16" i="9"/>
  <c r="AD16" i="9"/>
  <c r="X16" i="9"/>
  <c r="AJ23" i="9"/>
  <c r="R23" i="9"/>
  <c r="S23" i="9" l="1"/>
  <c r="F58" i="9"/>
  <c r="G58" i="9" s="1"/>
  <c r="S49" i="9"/>
  <c r="R58" i="9"/>
  <c r="F28" i="6" s="1"/>
  <c r="AD58" i="9"/>
  <c r="F32" i="6" s="1"/>
  <c r="AK49" i="9"/>
  <c r="M49" i="9"/>
  <c r="AK17" i="9"/>
  <c r="X58" i="9"/>
  <c r="F30" i="6" s="1"/>
  <c r="AE19" i="9"/>
  <c r="Y49" i="9"/>
  <c r="AK23" i="9"/>
  <c r="AJ58" i="9"/>
  <c r="AK58" i="9" s="1"/>
  <c r="AK27" i="9"/>
  <c r="AE49" i="9"/>
  <c r="AP16" i="9"/>
  <c r="F49" i="9"/>
  <c r="R17" i="9"/>
  <c r="AJ11" i="9"/>
  <c r="R11" i="9"/>
  <c r="AD11" i="9"/>
  <c r="L17" i="9"/>
  <c r="AD17" i="9"/>
  <c r="X17" i="9"/>
  <c r="L23" i="9"/>
  <c r="X33" i="9"/>
  <c r="AD33" i="9"/>
  <c r="R43" i="9"/>
  <c r="L45" i="9"/>
  <c r="R29" i="9"/>
  <c r="L29" i="9"/>
  <c r="R27" i="9"/>
  <c r="X27" i="9"/>
  <c r="L27" i="9"/>
  <c r="X11" i="9"/>
  <c r="L11" i="9"/>
  <c r="AD23" i="9"/>
  <c r="X23" i="9"/>
  <c r="AJ45" i="9"/>
  <c r="X45" i="9"/>
  <c r="AD45" i="9"/>
  <c r="R45" i="9"/>
  <c r="L43" i="9"/>
  <c r="AJ43" i="9"/>
  <c r="AD43" i="9"/>
  <c r="X43" i="9"/>
  <c r="AD15" i="9"/>
  <c r="AD29" i="9"/>
  <c r="AJ29" i="9"/>
  <c r="R19" i="9"/>
  <c r="R15" i="9"/>
  <c r="X15" i="9"/>
  <c r="AJ15" i="9"/>
  <c r="R33" i="9"/>
  <c r="AJ33" i="9"/>
  <c r="L33" i="9"/>
  <c r="AN27" i="9" l="1"/>
  <c r="AM27" i="9"/>
  <c r="AH19" i="9"/>
  <c r="AG19" i="9"/>
  <c r="AN23" i="9"/>
  <c r="AM23" i="9"/>
  <c r="AM17" i="9"/>
  <c r="AK18" i="9" s="1"/>
  <c r="AN17" i="9"/>
  <c r="U23" i="9"/>
  <c r="V23" i="9"/>
  <c r="AM49" i="9"/>
  <c r="AN49" i="9"/>
  <c r="AG49" i="9"/>
  <c r="AE50" i="9" s="1"/>
  <c r="AH49" i="9"/>
  <c r="AB49" i="9"/>
  <c r="AA49" i="9"/>
  <c r="U49" i="9"/>
  <c r="S50" i="9" s="1"/>
  <c r="V49" i="9"/>
  <c r="P49" i="9"/>
  <c r="O49" i="9"/>
  <c r="M50" i="9" s="1"/>
  <c r="F34" i="6"/>
  <c r="AE58" i="9"/>
  <c r="AH58" i="9" s="1"/>
  <c r="Y58" i="9"/>
  <c r="AA58" i="9" s="1"/>
  <c r="Y50" i="9"/>
  <c r="AK33" i="9"/>
  <c r="S15" i="9"/>
  <c r="AE15" i="9"/>
  <c r="AK43" i="9"/>
  <c r="Y45" i="9"/>
  <c r="M11" i="9"/>
  <c r="S27" i="9"/>
  <c r="S43" i="9"/>
  <c r="Y17" i="9"/>
  <c r="S11" i="9"/>
  <c r="M33" i="9"/>
  <c r="Y15" i="9"/>
  <c r="AE29" i="9"/>
  <c r="AE43" i="9"/>
  <c r="AE45" i="9"/>
  <c r="AE23" i="9"/>
  <c r="Y27" i="9"/>
  <c r="M45" i="9"/>
  <c r="M23" i="9"/>
  <c r="AE11" i="9"/>
  <c r="AK15" i="9"/>
  <c r="AK29" i="9"/>
  <c r="Y43" i="9"/>
  <c r="S45" i="9"/>
  <c r="Y23" i="9"/>
  <c r="M27" i="9"/>
  <c r="S29" i="9"/>
  <c r="Y33" i="9"/>
  <c r="M17" i="9"/>
  <c r="S17" i="9"/>
  <c r="S33" i="9"/>
  <c r="S19" i="9"/>
  <c r="M15" i="9"/>
  <c r="M43" i="9"/>
  <c r="AK45" i="9"/>
  <c r="Y11" i="9"/>
  <c r="M29" i="9"/>
  <c r="AE33" i="9"/>
  <c r="AE17" i="9"/>
  <c r="AK11" i="9"/>
  <c r="AK50" i="9"/>
  <c r="AE20" i="9"/>
  <c r="AH20" i="9" s="1"/>
  <c r="S58" i="9"/>
  <c r="U58" i="9" s="1"/>
  <c r="AK28" i="9"/>
  <c r="S24" i="9"/>
  <c r="F11" i="9"/>
  <c r="F19" i="9"/>
  <c r="F45" i="9"/>
  <c r="F17" i="9"/>
  <c r="G49" i="9"/>
  <c r="AP49" i="9"/>
  <c r="F43" i="9"/>
  <c r="I58" i="9"/>
  <c r="J58" i="9"/>
  <c r="E24" i="6"/>
  <c r="F23" i="9"/>
  <c r="L32" i="9"/>
  <c r="F27" i="9"/>
  <c r="F29" i="9"/>
  <c r="AM58" i="9"/>
  <c r="AN58" i="9"/>
  <c r="X9" i="9"/>
  <c r="AD9" i="9"/>
  <c r="AJ9" i="9"/>
  <c r="L9" i="9"/>
  <c r="R9" i="9"/>
  <c r="L39" i="9"/>
  <c r="X29" i="9"/>
  <c r="AD27" i="9"/>
  <c r="AD37" i="9"/>
  <c r="R37" i="9"/>
  <c r="L37" i="9"/>
  <c r="AD39" i="9"/>
  <c r="R39" i="9"/>
  <c r="AJ39" i="9"/>
  <c r="X39" i="9"/>
  <c r="U24" i="9" l="1"/>
  <c r="V24" i="9"/>
  <c r="AG33" i="9"/>
  <c r="AH33" i="9"/>
  <c r="AM28" i="9"/>
  <c r="AN28" i="9"/>
  <c r="AN11" i="9"/>
  <c r="AM11" i="9"/>
  <c r="AA11" i="9"/>
  <c r="AB11" i="9"/>
  <c r="U19" i="9"/>
  <c r="V19" i="9"/>
  <c r="AA33" i="9"/>
  <c r="AB33" i="9"/>
  <c r="U45" i="9"/>
  <c r="V45" i="9"/>
  <c r="AG11" i="9"/>
  <c r="AH11" i="9"/>
  <c r="AG23" i="9"/>
  <c r="AH23" i="9"/>
  <c r="AB15" i="9"/>
  <c r="AA15" i="9"/>
  <c r="AG17" i="9"/>
  <c r="AE18" i="9" s="1"/>
  <c r="AH17" i="9"/>
  <c r="AN45" i="9"/>
  <c r="AM45" i="9"/>
  <c r="U33" i="9"/>
  <c r="S34" i="9" s="1"/>
  <c r="V33" i="9"/>
  <c r="U29" i="9"/>
  <c r="V29" i="9"/>
  <c r="P23" i="9"/>
  <c r="O23" i="9"/>
  <c r="M24" i="9" s="1"/>
  <c r="AH45" i="9"/>
  <c r="AG45" i="9"/>
  <c r="O33" i="9"/>
  <c r="P33" i="9"/>
  <c r="V27" i="9"/>
  <c r="U27" i="9"/>
  <c r="AG15" i="9"/>
  <c r="AE16" i="9" s="1"/>
  <c r="AH15" i="9"/>
  <c r="V17" i="9"/>
  <c r="U17" i="9"/>
  <c r="P27" i="9"/>
  <c r="O27" i="9"/>
  <c r="AN29" i="9"/>
  <c r="AM29" i="9"/>
  <c r="O45" i="9"/>
  <c r="P45" i="9"/>
  <c r="U11" i="9"/>
  <c r="V11" i="9"/>
  <c r="O11" i="9"/>
  <c r="M12" i="9" s="1"/>
  <c r="P11" i="9"/>
  <c r="V15" i="9"/>
  <c r="U15" i="9"/>
  <c r="AM18" i="9"/>
  <c r="AN18" i="9"/>
  <c r="O29" i="9"/>
  <c r="P29" i="9"/>
  <c r="P15" i="9"/>
  <c r="O15" i="9"/>
  <c r="M16" i="9" s="1"/>
  <c r="P17" i="9"/>
  <c r="O17" i="9"/>
  <c r="AB23" i="9"/>
  <c r="AA23" i="9"/>
  <c r="Y24" i="9" s="1"/>
  <c r="AN15" i="9"/>
  <c r="AM15" i="9"/>
  <c r="AB27" i="9"/>
  <c r="AA27" i="9"/>
  <c r="Y28" i="9" s="1"/>
  <c r="AG29" i="9"/>
  <c r="AH29" i="9"/>
  <c r="AB17" i="9"/>
  <c r="AA17" i="9"/>
  <c r="Y18" i="9" s="1"/>
  <c r="AB18" i="9" s="1"/>
  <c r="AB45" i="9"/>
  <c r="AA45" i="9"/>
  <c r="AN33" i="9"/>
  <c r="AM33" i="9"/>
  <c r="AK34" i="9" s="1"/>
  <c r="V43" i="9"/>
  <c r="U43" i="9"/>
  <c r="S44" i="9" s="1"/>
  <c r="V44" i="9" s="1"/>
  <c r="AB43" i="9"/>
  <c r="AA43" i="9"/>
  <c r="Y44" i="9" s="1"/>
  <c r="AN43" i="9"/>
  <c r="AM43" i="9"/>
  <c r="AK44" i="9" s="1"/>
  <c r="P43" i="9"/>
  <c r="O43" i="9"/>
  <c r="M44" i="9" s="1"/>
  <c r="AH43" i="9"/>
  <c r="AG43" i="9"/>
  <c r="AE44" i="9" s="1"/>
  <c r="O50" i="9"/>
  <c r="P50" i="9"/>
  <c r="AG50" i="9"/>
  <c r="AH50" i="9"/>
  <c r="U50" i="9"/>
  <c r="V50" i="9"/>
  <c r="AA50" i="9"/>
  <c r="AB50" i="9"/>
  <c r="AM50" i="9"/>
  <c r="AN50" i="9"/>
  <c r="J49" i="9"/>
  <c r="I49" i="9"/>
  <c r="AG20" i="9"/>
  <c r="AE34" i="9"/>
  <c r="Y16" i="9"/>
  <c r="AB58" i="9"/>
  <c r="S18" i="9"/>
  <c r="M30" i="9"/>
  <c r="V58" i="9"/>
  <c r="AG58" i="9"/>
  <c r="S39" i="9"/>
  <c r="AE37" i="9"/>
  <c r="AK39" i="9"/>
  <c r="S37" i="9"/>
  <c r="M39" i="9"/>
  <c r="L58" i="9"/>
  <c r="Y39" i="9"/>
  <c r="M37" i="9"/>
  <c r="Y29" i="9"/>
  <c r="AE39" i="9"/>
  <c r="AE27" i="9"/>
  <c r="AK16" i="9"/>
  <c r="S20" i="9"/>
  <c r="S30" i="9"/>
  <c r="V30" i="9" s="1"/>
  <c r="AK24" i="9"/>
  <c r="AN24" i="9" s="1"/>
  <c r="AK12" i="9"/>
  <c r="M18" i="9"/>
  <c r="M46" i="9"/>
  <c r="Y46" i="9"/>
  <c r="AB46" i="9" s="1"/>
  <c r="Y12" i="9"/>
  <c r="AB12" i="9" s="1"/>
  <c r="Y34" i="9"/>
  <c r="AB34" i="9" s="1"/>
  <c r="S46" i="9"/>
  <c r="S16" i="9"/>
  <c r="AE12" i="9"/>
  <c r="AH12" i="9" s="1"/>
  <c r="AE46" i="9"/>
  <c r="AE24" i="9"/>
  <c r="AK46" i="9"/>
  <c r="S28" i="9"/>
  <c r="M28" i="9"/>
  <c r="S12" i="9"/>
  <c r="AE30" i="9"/>
  <c r="M34" i="9"/>
  <c r="P34" i="9" s="1"/>
  <c r="AD57" i="9"/>
  <c r="R57" i="9"/>
  <c r="AP29" i="9"/>
  <c r="G29" i="9"/>
  <c r="G43" i="9"/>
  <c r="AP43" i="9"/>
  <c r="G27" i="9"/>
  <c r="AP27" i="9"/>
  <c r="G45" i="9"/>
  <c r="AP45" i="9"/>
  <c r="G19" i="9"/>
  <c r="F37" i="9"/>
  <c r="M32" i="9"/>
  <c r="AP32" i="9"/>
  <c r="AP58" i="9" s="1"/>
  <c r="G17" i="9"/>
  <c r="AP17" i="9"/>
  <c r="G11" i="9"/>
  <c r="AP11" i="9"/>
  <c r="G15" i="9"/>
  <c r="AP15" i="9"/>
  <c r="F39" i="9"/>
  <c r="G23" i="9"/>
  <c r="AP23" i="9"/>
  <c r="AQ49" i="9"/>
  <c r="AV49" i="9"/>
  <c r="AW49" i="9" s="1"/>
  <c r="S9" i="9"/>
  <c r="AK9" i="9"/>
  <c r="Y9" i="9"/>
  <c r="M9" i="9"/>
  <c r="AE9" i="9"/>
  <c r="AJ37" i="9"/>
  <c r="X37" i="9"/>
  <c r="AA28" i="9" l="1"/>
  <c r="AB28" i="9"/>
  <c r="AA24" i="9"/>
  <c r="AB24" i="9"/>
  <c r="O16" i="9"/>
  <c r="P16" i="9"/>
  <c r="O24" i="9"/>
  <c r="P24" i="9"/>
  <c r="O12" i="9"/>
  <c r="P12" i="9"/>
  <c r="AG16" i="9"/>
  <c r="AH16" i="9"/>
  <c r="U34" i="9"/>
  <c r="V34" i="9"/>
  <c r="AM34" i="9"/>
  <c r="AN34" i="9"/>
  <c r="I29" i="9"/>
  <c r="O28" i="9"/>
  <c r="P28" i="9"/>
  <c r="AG46" i="9"/>
  <c r="AH46" i="9"/>
  <c r="AM12" i="9"/>
  <c r="AN12" i="9"/>
  <c r="U20" i="9"/>
  <c r="V20" i="9"/>
  <c r="AG39" i="9"/>
  <c r="AH39" i="9"/>
  <c r="AG37" i="9"/>
  <c r="AH37" i="9"/>
  <c r="AG34" i="9"/>
  <c r="AH34" i="9"/>
  <c r="J15" i="9"/>
  <c r="I15" i="9"/>
  <c r="J19" i="9"/>
  <c r="I19" i="9"/>
  <c r="J27" i="9"/>
  <c r="I27" i="9"/>
  <c r="AG30" i="9"/>
  <c r="AH30" i="9"/>
  <c r="O46" i="9"/>
  <c r="P46" i="9"/>
  <c r="P39" i="9"/>
  <c r="O39" i="9"/>
  <c r="M40" i="9" s="1"/>
  <c r="U18" i="9"/>
  <c r="V18" i="9"/>
  <c r="J23" i="9"/>
  <c r="I23" i="9"/>
  <c r="O18" i="9"/>
  <c r="P18" i="9"/>
  <c r="AM16" i="9"/>
  <c r="AN16" i="9"/>
  <c r="P37" i="9"/>
  <c r="O37" i="9"/>
  <c r="U37" i="9"/>
  <c r="S38" i="9" s="1"/>
  <c r="V37" i="9"/>
  <c r="AG18" i="9"/>
  <c r="AH18" i="9"/>
  <c r="U16" i="9"/>
  <c r="V16" i="9"/>
  <c r="O30" i="9"/>
  <c r="P30" i="9"/>
  <c r="J17" i="9"/>
  <c r="I17" i="9"/>
  <c r="U28" i="9"/>
  <c r="V28" i="9"/>
  <c r="AG24" i="9"/>
  <c r="AH24" i="9"/>
  <c r="U46" i="9"/>
  <c r="V46" i="9"/>
  <c r="AB29" i="9"/>
  <c r="AA29" i="9"/>
  <c r="Y30" i="9" s="1"/>
  <c r="V39" i="9"/>
  <c r="U39" i="9"/>
  <c r="J11" i="9"/>
  <c r="I11" i="9"/>
  <c r="J45" i="9"/>
  <c r="I45" i="9"/>
  <c r="U12" i="9"/>
  <c r="V12" i="9"/>
  <c r="AM46" i="9"/>
  <c r="AN46" i="9"/>
  <c r="AH27" i="9"/>
  <c r="AG27" i="9"/>
  <c r="AE28" i="9" s="1"/>
  <c r="AH28" i="9" s="1"/>
  <c r="AB39" i="9"/>
  <c r="AA39" i="9"/>
  <c r="AN39" i="9"/>
  <c r="AM39" i="9"/>
  <c r="AK40" i="9" s="1"/>
  <c r="AA16" i="9"/>
  <c r="AB16" i="9"/>
  <c r="AG44" i="9"/>
  <c r="AH44" i="9"/>
  <c r="AM44" i="9"/>
  <c r="AN44" i="9"/>
  <c r="J43" i="9"/>
  <c r="I43" i="9"/>
  <c r="AA44" i="9"/>
  <c r="AB44" i="9"/>
  <c r="O44" i="9"/>
  <c r="P44" i="9"/>
  <c r="AT49" i="9"/>
  <c r="AS49" i="9"/>
  <c r="AQ50" i="9" s="1"/>
  <c r="O32" i="9"/>
  <c r="P32" i="9"/>
  <c r="AM24" i="9"/>
  <c r="AG12" i="9"/>
  <c r="AA34" i="9"/>
  <c r="AA12" i="9"/>
  <c r="AA18" i="9"/>
  <c r="AA46" i="9"/>
  <c r="U44" i="9"/>
  <c r="U30" i="9"/>
  <c r="O34" i="9"/>
  <c r="Y40" i="9"/>
  <c r="M38" i="9"/>
  <c r="AK37" i="9"/>
  <c r="Y37" i="9"/>
  <c r="AK30" i="9"/>
  <c r="AE40" i="9"/>
  <c r="G50" i="9"/>
  <c r="AE38" i="9"/>
  <c r="AQ29" i="9"/>
  <c r="AV29" i="9"/>
  <c r="AW29" i="9" s="1"/>
  <c r="AY49" i="9"/>
  <c r="AV15" i="9"/>
  <c r="AW15" i="9" s="1"/>
  <c r="AQ15" i="9"/>
  <c r="AP39" i="9"/>
  <c r="G39" i="9"/>
  <c r="AV31" i="9"/>
  <c r="AW31" i="9" s="1"/>
  <c r="AQ32" i="9"/>
  <c r="AQ58" i="9"/>
  <c r="AQ23" i="9"/>
  <c r="AV23" i="9"/>
  <c r="AW23" i="9" s="1"/>
  <c r="M58" i="9"/>
  <c r="F26" i="6"/>
  <c r="F33" i="9"/>
  <c r="AV11" i="9"/>
  <c r="AW11" i="9" s="1"/>
  <c r="AQ11" i="9"/>
  <c r="AV17" i="9"/>
  <c r="AW17" i="9" s="1"/>
  <c r="AQ17" i="9"/>
  <c r="AP37" i="9"/>
  <c r="G37" i="9"/>
  <c r="AV45" i="9"/>
  <c r="AW45" i="9" s="1"/>
  <c r="AY45" i="9" s="1"/>
  <c r="AQ45" i="9"/>
  <c r="AV27" i="9"/>
  <c r="AW27" i="9" s="1"/>
  <c r="AQ27" i="9"/>
  <c r="AQ43" i="9"/>
  <c r="AV43" i="9"/>
  <c r="AW43" i="9" s="1"/>
  <c r="AG9" i="9"/>
  <c r="AH9" i="9"/>
  <c r="AA9" i="9"/>
  <c r="AB9" i="9"/>
  <c r="U9" i="9"/>
  <c r="S10" i="9" s="1"/>
  <c r="V9" i="9"/>
  <c r="F31" i="6"/>
  <c r="AE57" i="9"/>
  <c r="F27" i="6"/>
  <c r="S57" i="9"/>
  <c r="P9" i="9"/>
  <c r="O9" i="9"/>
  <c r="M10" i="9" s="1"/>
  <c r="AN9" i="9"/>
  <c r="AM9" i="9"/>
  <c r="F9" i="9"/>
  <c r="AA30" i="9" l="1"/>
  <c r="AB30" i="9"/>
  <c r="O40" i="9"/>
  <c r="P40" i="9"/>
  <c r="U38" i="9"/>
  <c r="V38" i="9"/>
  <c r="AM40" i="9"/>
  <c r="AN40" i="9"/>
  <c r="AB37" i="9"/>
  <c r="AA37" i="9"/>
  <c r="AS27" i="9"/>
  <c r="AT27" i="9"/>
  <c r="AS11" i="9"/>
  <c r="AT11" i="9"/>
  <c r="AT15" i="9"/>
  <c r="AS15" i="9"/>
  <c r="AG40" i="9"/>
  <c r="AH40" i="9"/>
  <c r="AM30" i="9"/>
  <c r="AN30" i="9"/>
  <c r="AA40" i="9"/>
  <c r="AB40" i="9"/>
  <c r="O38" i="9"/>
  <c r="P38" i="9"/>
  <c r="J37" i="9"/>
  <c r="I37" i="9"/>
  <c r="AT29" i="9"/>
  <c r="AS29" i="9"/>
  <c r="AN37" i="9"/>
  <c r="AM37" i="9"/>
  <c r="AT45" i="9"/>
  <c r="AS45" i="9"/>
  <c r="AQ46" i="9" s="1"/>
  <c r="AT17" i="9"/>
  <c r="AS17" i="9"/>
  <c r="AQ18" i="9" s="1"/>
  <c r="AT23" i="9"/>
  <c r="AS23" i="9"/>
  <c r="AQ24" i="9" s="1"/>
  <c r="I39" i="9"/>
  <c r="J39" i="9"/>
  <c r="AG38" i="9"/>
  <c r="AH38" i="9"/>
  <c r="AT43" i="9"/>
  <c r="AS43" i="9"/>
  <c r="AQ44" i="9" s="1"/>
  <c r="AS50" i="9"/>
  <c r="AT50" i="9"/>
  <c r="I50" i="9"/>
  <c r="J50" i="9"/>
  <c r="AS32" i="9"/>
  <c r="AT32" i="9"/>
  <c r="AG28" i="9"/>
  <c r="Y38" i="9"/>
  <c r="F57" i="9"/>
  <c r="G57" i="9" s="1"/>
  <c r="S40" i="9"/>
  <c r="AE10" i="9"/>
  <c r="AH10" i="9" s="1"/>
  <c r="G24" i="9"/>
  <c r="G44" i="9"/>
  <c r="G18" i="9"/>
  <c r="J18" i="9" s="1"/>
  <c r="AK10" i="9"/>
  <c r="AM10" i="9" s="1"/>
  <c r="AK38" i="9"/>
  <c r="AN38" i="9" s="1"/>
  <c r="G30" i="9"/>
  <c r="G28" i="9"/>
  <c r="G12" i="9"/>
  <c r="G46" i="9"/>
  <c r="J46" i="9" s="1"/>
  <c r="Y10" i="9"/>
  <c r="AA10" i="9" s="1"/>
  <c r="G20" i="9"/>
  <c r="J20" i="9" s="1"/>
  <c r="G16" i="9"/>
  <c r="AS58" i="9"/>
  <c r="AT58" i="9"/>
  <c r="AJ19" i="9"/>
  <c r="AY17" i="9"/>
  <c r="AZ17" i="9"/>
  <c r="X19" i="9"/>
  <c r="AZ31" i="9"/>
  <c r="AY31" i="9"/>
  <c r="AQ39" i="9"/>
  <c r="AV39" i="9"/>
  <c r="AW39" i="9" s="1"/>
  <c r="AZ15" i="9"/>
  <c r="AY15" i="9"/>
  <c r="AQ30" i="9"/>
  <c r="L19" i="9"/>
  <c r="AY43" i="9"/>
  <c r="AZ43" i="9"/>
  <c r="AQ28" i="9"/>
  <c r="AQ12" i="9"/>
  <c r="AY23" i="9"/>
  <c r="AZ23" i="9"/>
  <c r="AV37" i="9"/>
  <c r="AW37" i="9" s="1"/>
  <c r="AQ37" i="9"/>
  <c r="AY27" i="9"/>
  <c r="AZ27" i="9"/>
  <c r="AZ11" i="9"/>
  <c r="AY11" i="9"/>
  <c r="G33" i="9"/>
  <c r="AP33" i="9"/>
  <c r="P58" i="9"/>
  <c r="O58" i="9"/>
  <c r="AQ16" i="9"/>
  <c r="AY29" i="9"/>
  <c r="AZ29" i="9"/>
  <c r="V57" i="9"/>
  <c r="U57" i="9"/>
  <c r="AG57" i="9"/>
  <c r="AH57" i="9"/>
  <c r="V10" i="9"/>
  <c r="U10" i="9"/>
  <c r="P10" i="9"/>
  <c r="O10" i="9"/>
  <c r="E18" i="7"/>
  <c r="F18" i="7" s="1"/>
  <c r="G27" i="6"/>
  <c r="E20" i="7"/>
  <c r="F20" i="7" s="1"/>
  <c r="G31" i="6"/>
  <c r="AP9" i="9"/>
  <c r="G9" i="9"/>
  <c r="AS24" i="9" l="1"/>
  <c r="AT24" i="9"/>
  <c r="AS46" i="9"/>
  <c r="AT46" i="9"/>
  <c r="AS16" i="9"/>
  <c r="AT16" i="9"/>
  <c r="AS30" i="9"/>
  <c r="AT30" i="9"/>
  <c r="I28" i="9"/>
  <c r="J28" i="9"/>
  <c r="U40" i="9"/>
  <c r="V40" i="9"/>
  <c r="J33" i="9"/>
  <c r="I33" i="9"/>
  <c r="I30" i="9"/>
  <c r="J30" i="9"/>
  <c r="I24" i="9"/>
  <c r="J24" i="9"/>
  <c r="AA38" i="9"/>
  <c r="AB38" i="9"/>
  <c r="AS28" i="9"/>
  <c r="AT28" i="9"/>
  <c r="AT39" i="9"/>
  <c r="AS39" i="9"/>
  <c r="AQ40" i="9" s="1"/>
  <c r="AT37" i="9"/>
  <c r="AS37" i="9"/>
  <c r="AS12" i="9"/>
  <c r="AT12" i="9"/>
  <c r="AS18" i="9"/>
  <c r="AT18" i="9"/>
  <c r="I16" i="9"/>
  <c r="J16" i="9"/>
  <c r="I12" i="9"/>
  <c r="J12" i="9"/>
  <c r="AS44" i="9"/>
  <c r="AT44" i="9"/>
  <c r="I44" i="9"/>
  <c r="J44" i="9"/>
  <c r="AM38" i="9"/>
  <c r="I20" i="9"/>
  <c r="I18" i="9"/>
  <c r="I46" i="9"/>
  <c r="AB10" i="9"/>
  <c r="AN10" i="9"/>
  <c r="AJ57" i="9"/>
  <c r="L57" i="9"/>
  <c r="X57" i="9"/>
  <c r="AG10" i="9"/>
  <c r="G40" i="9"/>
  <c r="G38" i="9"/>
  <c r="Y19" i="9"/>
  <c r="AZ37" i="9"/>
  <c r="AY37" i="9"/>
  <c r="AZ39" i="9"/>
  <c r="AY39" i="9"/>
  <c r="AQ38" i="9"/>
  <c r="M19" i="9"/>
  <c r="AP19" i="9"/>
  <c r="AV33" i="9"/>
  <c r="AW33" i="9" s="1"/>
  <c r="AQ33" i="9"/>
  <c r="AK19" i="9"/>
  <c r="J27" i="6"/>
  <c r="I27" i="6"/>
  <c r="G28" i="6" s="1"/>
  <c r="I20" i="7"/>
  <c r="H20" i="7"/>
  <c r="I31" i="6"/>
  <c r="G32" i="6" s="1"/>
  <c r="J31" i="6"/>
  <c r="I18" i="7"/>
  <c r="H18" i="7"/>
  <c r="I9" i="9"/>
  <c r="J9" i="9"/>
  <c r="AV9" i="9"/>
  <c r="AQ9" i="9"/>
  <c r="I57" i="9"/>
  <c r="E23" i="6"/>
  <c r="J57" i="9"/>
  <c r="AS40" i="9" l="1"/>
  <c r="AT40" i="9"/>
  <c r="AA19" i="9"/>
  <c r="AB19" i="9"/>
  <c r="AN19" i="9"/>
  <c r="AM19" i="9"/>
  <c r="O19" i="9"/>
  <c r="P19" i="9"/>
  <c r="I38" i="9"/>
  <c r="J38" i="9"/>
  <c r="AT33" i="9"/>
  <c r="AS33" i="9"/>
  <c r="AS38" i="9"/>
  <c r="AT38" i="9"/>
  <c r="I40" i="9"/>
  <c r="J40" i="9"/>
  <c r="G10" i="9"/>
  <c r="J10" i="9" s="1"/>
  <c r="G34" i="9"/>
  <c r="AP57" i="9"/>
  <c r="AQ57" i="9" s="1"/>
  <c r="AT57" i="9" s="1"/>
  <c r="F25" i="6"/>
  <c r="M57" i="9"/>
  <c r="AK57" i="9"/>
  <c r="F33" i="6"/>
  <c r="AQ34" i="9"/>
  <c r="AZ33" i="9"/>
  <c r="AY33" i="9"/>
  <c r="AV19" i="9"/>
  <c r="AW19" i="9" s="1"/>
  <c r="AQ19" i="9"/>
  <c r="F29" i="6"/>
  <c r="Y57" i="9"/>
  <c r="I32" i="6"/>
  <c r="J32" i="6"/>
  <c r="J28" i="6"/>
  <c r="I28" i="6"/>
  <c r="I10" i="9"/>
  <c r="G23" i="6"/>
  <c r="D16" i="7"/>
  <c r="AW9" i="9"/>
  <c r="AT9" i="9"/>
  <c r="AS9" i="9"/>
  <c r="AQ10" i="9" s="1"/>
  <c r="AT19" i="9" l="1"/>
  <c r="AS19" i="9"/>
  <c r="AQ20" i="9" s="1"/>
  <c r="I34" i="9"/>
  <c r="J34" i="9"/>
  <c r="AS34" i="9"/>
  <c r="AT34" i="9"/>
  <c r="M20" i="9"/>
  <c r="Y20" i="9"/>
  <c r="AK20" i="9"/>
  <c r="AS57" i="9"/>
  <c r="AZ19" i="9"/>
  <c r="AY19" i="9"/>
  <c r="G25" i="6"/>
  <c r="E17" i="7"/>
  <c r="O57" i="9"/>
  <c r="P57" i="9"/>
  <c r="G29" i="6"/>
  <c r="E19" i="7"/>
  <c r="F19" i="7" s="1"/>
  <c r="AN57" i="9"/>
  <c r="AM57" i="9"/>
  <c r="AB57" i="9"/>
  <c r="AA57" i="9"/>
  <c r="G33" i="6"/>
  <c r="E21" i="7"/>
  <c r="F21" i="7" s="1"/>
  <c r="AV57" i="9"/>
  <c r="AW57" i="9" s="1"/>
  <c r="AS10" i="9"/>
  <c r="AT10" i="9"/>
  <c r="AY9" i="9"/>
  <c r="AZ9" i="9"/>
  <c r="J23" i="6"/>
  <c r="I23" i="6"/>
  <c r="G24" i="6" s="1"/>
  <c r="D22" i="7"/>
  <c r="F16" i="7"/>
  <c r="AS20" i="9" l="1"/>
  <c r="AT20" i="9"/>
  <c r="AA20" i="9"/>
  <c r="AB20" i="9"/>
  <c r="O20" i="9"/>
  <c r="P20" i="9"/>
  <c r="AM20" i="9"/>
  <c r="AN20" i="9"/>
  <c r="I33" i="6"/>
  <c r="G34" i="6" s="1"/>
  <c r="J33" i="6"/>
  <c r="J29" i="6"/>
  <c r="I29" i="6"/>
  <c r="G30" i="6" s="1"/>
  <c r="I25" i="6"/>
  <c r="G26" i="6" s="1"/>
  <c r="J25" i="6"/>
  <c r="I21" i="7"/>
  <c r="H21" i="7"/>
  <c r="I19" i="7"/>
  <c r="H19" i="7"/>
  <c r="F17" i="7"/>
  <c r="E22" i="7"/>
  <c r="E24" i="7" s="1"/>
  <c r="J24" i="6"/>
  <c r="I24" i="6"/>
  <c r="D24" i="7"/>
  <c r="H16" i="7"/>
  <c r="I16" i="7"/>
  <c r="F22" i="7" l="1"/>
  <c r="I34" i="6"/>
  <c r="J34" i="6"/>
  <c r="I17" i="7"/>
  <c r="H17" i="7"/>
  <c r="I30" i="6"/>
  <c r="J30" i="6"/>
  <c r="J26" i="6"/>
  <c r="I26" i="6"/>
  <c r="H22" i="7" l="1"/>
  <c r="F24" i="7"/>
  <c r="I24" i="7" s="1"/>
  <c r="H24" i="7" l="1"/>
</calcChain>
</file>

<file path=xl/comments1.xml><?xml version="1.0" encoding="utf-8"?>
<comments xmlns="http://schemas.openxmlformats.org/spreadsheetml/2006/main">
  <authors>
    <author>rgarcia</author>
    <author>mmendoza</author>
    <author>ZULETA ESPINOZA, GERALDINE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BRACPESCA.</t>
        </r>
      </text>
    </comment>
    <comment ref="C19" authorId="1" shapeId="0">
      <text>
        <r>
          <rPr>
            <b/>
            <sz val="10"/>
            <color indexed="81"/>
            <rFont val="Tahoma"/>
            <family val="2"/>
          </rPr>
          <t>mmendoza:</t>
        </r>
        <r>
          <rPr>
            <sz val="10"/>
            <color indexed="81"/>
            <rFont val="Tahoma"/>
            <family val="2"/>
          </rPr>
          <t xml:space="preserve">
Teresita II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12-02-2019_ Ord 20882_ Cierre 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23-05-2019_ R Ex 650_ Cierre </t>
        </r>
      </text>
    </comment>
    <comment ref="K23" authorId="2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1356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ZULETA ESPINOZA, GERALDINE</author>
  </authors>
  <commentList>
    <comment ref="L1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rgarcia:
R.Ex.N° 752, Cesion  Artesanal PUNTA TALCA de 21,982 ton a BRASPESCA.</t>
        </r>
      </text>
    </comment>
    <comment ref="AV2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AV3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embarcacion tome
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752-2019 Cesión 21,982 ton Camaron Nailon Emb PULTA TRALCA-IV a BRACPESCA se incluye en planilla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 y Pes CMK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<sst xmlns="http://schemas.openxmlformats.org/spreadsheetml/2006/main" count="475" uniqueCount="220">
  <si>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</si>
  <si>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</si>
  <si>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</si>
  <si>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</si>
  <si>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</si>
  <si>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</si>
  <si>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</si>
  <si>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</si>
  <si>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</si>
  <si>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</si>
  <si>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</si>
  <si>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</si>
  <si>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</si>
  <si>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</si>
  <si>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</si>
  <si>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</si>
  <si>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</si>
  <si>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</si>
  <si>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</si>
  <si>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</si>
  <si>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</si>
  <si>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</si>
  <si>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</si>
  <si>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</si>
  <si>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</si>
  <si>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</si>
  <si>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</si>
  <si>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</si>
  <si>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</si>
  <si>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</si>
  <si>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</si>
  <si>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</si>
  <si>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</si>
  <si>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</si>
  <si>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</si>
  <si>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</si>
  <si>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</si>
  <si>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</si>
  <si>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</si>
  <si>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</si>
  <si>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</si>
  <si>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</si>
  <si>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</si>
  <si>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</si>
  <si>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</si>
  <si>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</si>
  <si>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</si>
  <si>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</si>
  <si>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</si>
  <si>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</si>
  <si>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</si>
  <si>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</si>
  <si>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</si>
  <si>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</si>
  <si>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</si>
  <si>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</si>
  <si>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</si>
  <si>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</si>
  <si>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</si>
  <si>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</si>
  <si>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</si>
  <si>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</si>
  <si>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</si>
  <si>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</si>
  <si>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</si>
  <si>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</si>
  <si>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</si>
  <si>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</si>
  <si>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</si>
  <si>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</si>
  <si>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</si>
  <si>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</si>
  <si>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</si>
  <si>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</si>
  <si>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</si>
  <si>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</si>
  <si>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</si>
  <si>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</si>
  <si>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</si>
  <si>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</si>
  <si>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</si>
  <si>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</si>
  <si>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</si>
  <si>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</si>
  <si>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>II-IIII</t>
  </si>
  <si>
    <t>IV</t>
  </si>
  <si>
    <t>V</t>
  </si>
  <si>
    <t>VI</t>
  </si>
  <si>
    <t>VII</t>
  </si>
  <si>
    <t>VIII</t>
  </si>
  <si>
    <t>Cuota Inicial</t>
  </si>
  <si>
    <t>ANTARTIC SEAFOOD S.A.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</si>
  <si>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</si>
  <si>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</si>
  <si>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</si>
  <si>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</si>
  <si>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</si>
  <si>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</si>
  <si>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</si>
  <si>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</si>
  <si>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</si>
  <si>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</si>
  <si>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>Fracionamientos</t>
  </si>
  <si>
    <t>JORGE COFRE REYES</t>
  </si>
  <si>
    <t>BLUMAR S.A.</t>
  </si>
  <si>
    <t>Enero-Julio</t>
  </si>
  <si>
    <t>Octubre-Dic</t>
  </si>
  <si>
    <t xml:space="preserve">Total </t>
  </si>
  <si>
    <t>Coeficiente inicial</t>
  </si>
  <si>
    <t>REGION</t>
  </si>
  <si>
    <t>PUNTA TALCA</t>
  </si>
  <si>
    <t>TRAUWUN I</t>
  </si>
  <si>
    <t>CHAFIC I</t>
  </si>
  <si>
    <t>BOLSON RESIDUAL</t>
  </si>
  <si>
    <t>Ene-Dic</t>
  </si>
  <si>
    <t>TOTAL ASIGNATARIOS LTP</t>
  </si>
  <si>
    <t>-</t>
  </si>
  <si>
    <t>ISLA TABON</t>
  </si>
  <si>
    <t>IV REGION</t>
  </si>
  <si>
    <t>VII REGION</t>
  </si>
  <si>
    <t>V REGION</t>
  </si>
  <si>
    <t>Total general</t>
  </si>
  <si>
    <t>Abril- Julio</t>
  </si>
  <si>
    <t>TOTAL</t>
  </si>
  <si>
    <t>Tipo</t>
  </si>
  <si>
    <t>VI REGION</t>
  </si>
  <si>
    <t>VIII REGION</t>
  </si>
  <si>
    <t>III REGION</t>
  </si>
  <si>
    <t>Investigación II-VIII</t>
  </si>
  <si>
    <t xml:space="preserve">CONTROL DE CUOTA CAMARON NAILON ARTESANAL II-VIII. AÑO 2019
</t>
  </si>
  <si>
    <t xml:space="preserve">RESUMEN POR PERIODO DE CONSUMO DE CUOTA CAMARON NAILON II-VIII REGION. AÑO 2019
</t>
  </si>
  <si>
    <t>PESCA INVESTIGACION CAMARON NAILON 2019</t>
  </si>
  <si>
    <t>Total D.Ex N° 526-2018</t>
  </si>
  <si>
    <t xml:space="preserve">CONTROL DE CUOTA CAMARON NAILON II-VIII LTP. AÑO 2019
</t>
  </si>
  <si>
    <t>Industrial Ltp IV (descuento art 16° trans)</t>
  </si>
  <si>
    <t>Fracción Industrial</t>
  </si>
  <si>
    <t>Fraccion Artesanal</t>
  </si>
  <si>
    <t>Fauna Acompañante Artesanal</t>
  </si>
  <si>
    <t>Total Global Camarón nailon II - VIII</t>
  </si>
  <si>
    <t>Dto Ex N° 526 21-12-2018</t>
  </si>
  <si>
    <t xml:space="preserve">     RESUMEN  ANUAL CONSUMO DE CUOTA GLOBAL ANUAL CAMARON NAILON  II-VIII REGION. AÑO 2019</t>
  </si>
  <si>
    <t>TOTAL ASIGNATARIOS ARTESANALES</t>
  </si>
  <si>
    <t>CONTROL DE CUOTA ANUAL ARTESANAL</t>
  </si>
  <si>
    <t>TOTAL FAUNA ACOMPAÑANTE</t>
  </si>
  <si>
    <t>N/A</t>
  </si>
  <si>
    <t>PESQ. ISLADAMAS S.A.</t>
  </si>
  <si>
    <t>PESQ. QUINTERO S.A.</t>
  </si>
  <si>
    <t>Rótulos de fila</t>
  </si>
  <si>
    <t>TERESITA II</t>
  </si>
  <si>
    <t>TRAUWÜN I</t>
  </si>
  <si>
    <t>ORIENTE</t>
  </si>
  <si>
    <t>PUMA II</t>
  </si>
  <si>
    <t>PESQ. ANTONIO CRUZ CORDOVA NAKOUZI E.I.R.L.</t>
  </si>
  <si>
    <t>JORGE COFRE REYES (ARTESANAL)</t>
  </si>
  <si>
    <t>Coeficiente</t>
  </si>
  <si>
    <t>SUNRISE S.A. PESQ.</t>
  </si>
  <si>
    <t>Nombre titular</t>
  </si>
  <si>
    <t>Cuota final</t>
  </si>
  <si>
    <t>Total Movimientos</t>
  </si>
  <si>
    <t>Movimientos por region</t>
  </si>
  <si>
    <t>Total Transacciones</t>
  </si>
  <si>
    <t>Coeficiente final</t>
  </si>
  <si>
    <t>(-)</t>
  </si>
  <si>
    <t>(+)</t>
  </si>
  <si>
    <t>Maria Morozin</t>
  </si>
  <si>
    <t>Pesq Quintero SA</t>
  </si>
  <si>
    <t xml:space="preserve">Sunrise </t>
  </si>
  <si>
    <t xml:space="preserve">Isla Damas </t>
  </si>
  <si>
    <t>Pacificblue</t>
  </si>
  <si>
    <t>Distrimar</t>
  </si>
  <si>
    <t xml:space="preserve">Bracpesca </t>
  </si>
  <si>
    <t>Bracpesca</t>
  </si>
  <si>
    <t>Antartic seafood</t>
  </si>
  <si>
    <t>CV ENTRE PACIFICBLUE CON ISLADAMAS S.A. PESQ.</t>
  </si>
  <si>
    <t>N° Doc</t>
  </si>
  <si>
    <t>Fecha</t>
  </si>
  <si>
    <t>Descripcion</t>
  </si>
  <si>
    <t>Cantidad Movimiento</t>
  </si>
  <si>
    <t>Camanchaca PS</t>
  </si>
  <si>
    <t>Jorge Cofre</t>
  </si>
  <si>
    <t>ARRIENDO CAMANCHACA PESCA SUR S.A. - JORGE COFRE REYES</t>
  </si>
  <si>
    <t>SIN EFECTO CV DE MARIA MOROZIN A PESQ QUINTERO SA</t>
  </si>
  <si>
    <t>SIN EFECTO CV DE PESQ SUNRISE A PESQ ISLA DAMAS SA</t>
  </si>
  <si>
    <t>CV DE PACIFICBLU A BRACPESCA SA</t>
  </si>
  <si>
    <t>SIN EFECTO CV DE DISTRIMAR A PESQ ISLA DAMAS SA</t>
  </si>
  <si>
    <t>Ltp A (R Ex 4549-18)</t>
  </si>
  <si>
    <t>Ltp B (R Ex 32-19)</t>
  </si>
  <si>
    <t>VEDA</t>
  </si>
  <si>
    <t>Agosto-Septiembre</t>
  </si>
  <si>
    <t>Res Ex</t>
  </si>
  <si>
    <t>Cantidad</t>
  </si>
  <si>
    <t xml:space="preserve">Detalle CESIONES </t>
  </si>
  <si>
    <t>752-2019 Cesión 21,982 ton Camaron Nailon Emb PULTA TRALCA-IV a BRACPESCA</t>
  </si>
  <si>
    <t>Punta Talca-IV</t>
  </si>
  <si>
    <t xml:space="preserve">CV PACIFICBLU SpA. A ANTARTIC SEAFOOD S.A. </t>
  </si>
  <si>
    <t xml:space="preserve">CV PACIFICBLU SpA. A PESQ  QUINTERO </t>
  </si>
  <si>
    <t>Enero Marzo</t>
  </si>
  <si>
    <t>Abril-Julio</t>
  </si>
  <si>
    <t>SOC. DISTRIMAR LTDA.</t>
  </si>
  <si>
    <r>
      <t xml:space="preserve">PESCA FINA SpA. hoy </t>
    </r>
    <r>
      <rPr>
        <sz val="9"/>
        <color theme="1" tint="0.249977111117893"/>
        <rFont val="Verdana"/>
        <family val="2"/>
      </rPr>
      <t>PACIFICBLU SpA.</t>
    </r>
  </si>
  <si>
    <t>DE (-)</t>
  </si>
  <si>
    <t>A (+)</t>
  </si>
  <si>
    <t>SIN EFECTO CV DE PACIFICBLU SA A  BRACPESCA S.A.</t>
  </si>
  <si>
    <t>CV DE PESQ SUNRISE A PESQ ISLA DAMAS SA</t>
  </si>
  <si>
    <t>ARRIENDO DE CAMANCHACA PESCA SUR S.A. A   PESQUERA CMK LIMITADA</t>
  </si>
  <si>
    <t>Pesq CMK</t>
  </si>
  <si>
    <t>CONGELADOS PACIFICO SpA hoy PACIFICBLU SpA.</t>
  </si>
  <si>
    <t>CV DE DISTRIMAR A PESQ ISLA DAMAS SA</t>
  </si>
  <si>
    <t>ALTAIR I</t>
  </si>
  <si>
    <t>embarcacion</t>
  </si>
  <si>
    <t>ELBE</t>
  </si>
  <si>
    <t>INDUSTRIAL-CAMANCHACA PESCA SUR S.A.</t>
  </si>
  <si>
    <t>INDUSTRIAL-PESQ. QUINTERO S.A.</t>
  </si>
  <si>
    <t>ARTESANAL</t>
  </si>
  <si>
    <t>NAVE</t>
  </si>
  <si>
    <t>DON STEFAN</t>
  </si>
  <si>
    <t>GONZALO ANDRES ZUÑIGA ROMERO</t>
  </si>
  <si>
    <t>Detalle Negocios Periodo Ene-Jul</t>
  </si>
  <si>
    <t>CV FIDECOMISO MOROZIN BAYCIC MARIA ANA|GONZALO ANDRES ZUÑIGA ROMERO</t>
  </si>
  <si>
    <t>Gonzalo 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</si>
</sst>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yyyy/mm/dd;@"/>
    <numFmt numFmtId="174" formatCode="_-* #,##0.00000000_-;\-* #,##0.00000000_-;_-* &quot;-&quot;??_-;_-@_-"/>
    <numFmt numFmtId="175" formatCode="0.0000000"/>
    <numFmt numFmtId="176" formatCode="0.0000"/>
    <numFmt numFmtId="177" formatCode="0.00000"/>
    <numFmt numFmtId="178" formatCode="0.000000"/>
    <numFmt numFmtId="179" formatCode="0.00000000"/>
    <numFmt numFmtId="180" formatCode="0.0%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b/>
      <sz val="9"/>
      <color rgb="FFFFFFFF"/>
      <name val="Verdana"/>
      <family val="2"/>
    </font>
    <font>
      <sz val="10"/>
      <color indexed="8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theme="1" tint="0.249977111117893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1"/>
      <color theme="0"/>
      <name val="Calibri"/>
      <family val="2"/>
    </font>
    <font>
      <sz val="18"/>
      <color theme="0"/>
      <name val="Calibri"/>
      <family val="2"/>
      <scheme val="minor"/>
    </font>
    <font>
      <sz val="11"/>
      <name val="Tahoma"/>
      <family val="2"/>
    </font>
    <font>
      <sz val="10"/>
      <color rgb="FFFF0000"/>
      <name val="Verdana"/>
      <family val="2"/>
    </font>
    <font>
      <sz val="10"/>
      <color theme="1"/>
      <name val="Tahoma"/>
      <family val="2"/>
    </font>
    <font>
      <sz val="9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sz val="9"/>
      <name val="Verdana"/>
      <family val="2"/>
    </font>
    <font>
      <sz val="11"/>
      <color rgb="FF5D5D5D"/>
      <name val="Verdana"/>
      <family val="2"/>
    </font>
    <font>
      <b/>
      <sz val="11"/>
      <color theme="2" tint="-0.899990844447157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74DFF4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0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58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58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6" borderId="5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9" borderId="6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30" fillId="0" borderId="61" applyNumberFormat="0" applyFill="0" applyAlignment="0" applyProtection="0"/>
    <xf numFmtId="0" fontId="37" fillId="0" borderId="0"/>
  </cellStyleXfs>
  <cellXfs count="65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" fontId="0" fillId="4" borderId="50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0" fontId="7" fillId="27" borderId="47" xfId="0" applyFont="1" applyFill="1" applyBorder="1" applyAlignment="1">
      <alignment horizontal="center" vertical="center"/>
    </xf>
    <xf numFmtId="0" fontId="7" fillId="33" borderId="47" xfId="0" applyFont="1" applyFill="1" applyBorder="1" applyAlignment="1">
      <alignment horizontal="center" vertical="center"/>
    </xf>
    <xf numFmtId="0" fontId="7" fillId="33" borderId="56" xfId="0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0" fontId="7" fillId="4" borderId="63" xfId="0" applyFont="1" applyFill="1" applyBorder="1"/>
    <xf numFmtId="0" fontId="7" fillId="4" borderId="17" xfId="0" applyFont="1" applyFill="1" applyBorder="1"/>
    <xf numFmtId="0" fontId="7" fillId="4" borderId="47" xfId="0" applyFont="1" applyFill="1" applyBorder="1"/>
    <xf numFmtId="0" fontId="5" fillId="3" borderId="6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/>
    </xf>
    <xf numFmtId="164" fontId="0" fillId="33" borderId="16" xfId="0" applyNumberFormat="1" applyFont="1" applyFill="1" applyBorder="1" applyAlignment="1">
      <alignment horizontal="center"/>
    </xf>
    <xf numFmtId="0" fontId="0" fillId="33" borderId="49" xfId="0" applyFill="1" applyBorder="1" applyAlignment="1">
      <alignment horizontal="center"/>
    </xf>
    <xf numFmtId="1" fontId="0" fillId="33" borderId="50" xfId="0" applyNumberFormat="1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1" fontId="0" fillId="36" borderId="50" xfId="0" applyNumberFormat="1" applyFill="1" applyBorder="1" applyAlignment="1">
      <alignment horizontal="center"/>
    </xf>
    <xf numFmtId="0" fontId="0" fillId="36" borderId="52" xfId="0" applyFill="1" applyBorder="1" applyAlignment="1">
      <alignment horizontal="center"/>
    </xf>
    <xf numFmtId="1" fontId="0" fillId="36" borderId="53" xfId="0" applyNumberForma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164" fontId="7" fillId="33" borderId="5" xfId="0" applyNumberFormat="1" applyFont="1" applyFill="1" applyBorder="1" applyAlignment="1">
      <alignment horizontal="center"/>
    </xf>
    <xf numFmtId="164" fontId="0" fillId="33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56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64" fontId="0" fillId="4" borderId="53" xfId="0" applyNumberFormat="1" applyFill="1" applyBorder="1" applyAlignment="1">
      <alignment horizontal="center"/>
    </xf>
    <xf numFmtId="164" fontId="0" fillId="2" borderId="0" xfId="0" applyNumberFormat="1" applyFill="1"/>
    <xf numFmtId="1" fontId="0" fillId="33" borderId="74" xfId="0" applyNumberFormat="1" applyFill="1" applyBorder="1" applyAlignment="1">
      <alignment horizontal="center"/>
    </xf>
    <xf numFmtId="0" fontId="0" fillId="0" borderId="0" xfId="0" applyNumberFormat="1"/>
    <xf numFmtId="0" fontId="0" fillId="33" borderId="55" xfId="0" applyFill="1" applyBorder="1" applyAlignment="1">
      <alignment horizontal="center"/>
    </xf>
    <xf numFmtId="43" fontId="0" fillId="33" borderId="75" xfId="1" applyFont="1" applyFill="1" applyBorder="1" applyAlignment="1">
      <alignment horizontal="center"/>
    </xf>
    <xf numFmtId="0" fontId="0" fillId="41" borderId="69" xfId="0" applyFill="1" applyBorder="1" applyAlignment="1">
      <alignment horizontal="center"/>
    </xf>
    <xf numFmtId="164" fontId="0" fillId="4" borderId="74" xfId="0" applyNumberForma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9" fontId="0" fillId="2" borderId="0" xfId="2" applyFont="1" applyFill="1"/>
    <xf numFmtId="9" fontId="0" fillId="2" borderId="0" xfId="0" applyNumberFormat="1" applyFill="1"/>
    <xf numFmtId="0" fontId="3" fillId="32" borderId="77" xfId="0" applyFont="1" applyFill="1" applyBorder="1"/>
    <xf numFmtId="0" fontId="7" fillId="4" borderId="55" xfId="0" applyFont="1" applyFill="1" applyBorder="1"/>
    <xf numFmtId="0" fontId="42" fillId="4" borderId="0" xfId="0" applyFont="1" applyFill="1"/>
    <xf numFmtId="164" fontId="7" fillId="4" borderId="1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/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35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48" xfId="0" applyNumberFormat="1" applyFont="1" applyFill="1" applyBorder="1"/>
    <xf numFmtId="164" fontId="7" fillId="4" borderId="23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35" fillId="4" borderId="0" xfId="0" applyNumberFormat="1" applyFont="1" applyFill="1" applyBorder="1" applyAlignment="1">
      <alignment horizontal="center"/>
    </xf>
    <xf numFmtId="164" fontId="7" fillId="4" borderId="74" xfId="0" applyNumberFormat="1" applyFont="1" applyFill="1" applyBorder="1" applyAlignment="1">
      <alignment horizontal="center"/>
    </xf>
    <xf numFmtId="164" fontId="7" fillId="4" borderId="77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164" fontId="7" fillId="4" borderId="72" xfId="0" applyNumberFormat="1" applyFont="1" applyFill="1" applyBorder="1"/>
    <xf numFmtId="164" fontId="7" fillId="4" borderId="71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164" fontId="7" fillId="4" borderId="28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35" fillId="4" borderId="47" xfId="0" applyNumberFormat="1" applyFont="1" applyFill="1" applyBorder="1" applyAlignment="1">
      <alignment horizontal="center"/>
    </xf>
    <xf numFmtId="164" fontId="35" fillId="4" borderId="17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164" fontId="35" fillId="4" borderId="74" xfId="0" applyNumberFormat="1" applyFont="1" applyFill="1" applyBorder="1" applyAlignment="1">
      <alignment horizontal="center"/>
    </xf>
    <xf numFmtId="164" fontId="7" fillId="4" borderId="78" xfId="0" applyNumberFormat="1" applyFont="1" applyFill="1" applyBorder="1" applyAlignment="1">
      <alignment horizontal="center"/>
    </xf>
    <xf numFmtId="164" fontId="35" fillId="4" borderId="4" xfId="0" applyNumberFormat="1" applyFont="1" applyFill="1" applyBorder="1" applyAlignment="1">
      <alignment horizontal="center"/>
    </xf>
    <xf numFmtId="164" fontId="35" fillId="4" borderId="19" xfId="0" applyNumberFormat="1" applyFont="1" applyFill="1" applyBorder="1" applyAlignment="1">
      <alignment horizontal="center"/>
    </xf>
    <xf numFmtId="0" fontId="7" fillId="4" borderId="79" xfId="0" applyFont="1" applyFill="1" applyBorder="1"/>
    <xf numFmtId="0" fontId="46" fillId="2" borderId="0" xfId="0" applyFont="1" applyFill="1"/>
    <xf numFmtId="0" fontId="47" fillId="38" borderId="77" xfId="0" applyFont="1" applyFill="1" applyBorder="1" applyAlignment="1">
      <alignment horizontal="center" vertical="center" wrapText="1"/>
    </xf>
    <xf numFmtId="0" fontId="48" fillId="2" borderId="77" xfId="0" applyFont="1" applyFill="1" applyBorder="1" applyAlignment="1">
      <alignment horizontal="center"/>
    </xf>
    <xf numFmtId="166" fontId="22" fillId="32" borderId="77" xfId="0" applyNumberFormat="1" applyFont="1" applyFill="1" applyBorder="1"/>
    <xf numFmtId="166" fontId="48" fillId="2" borderId="77" xfId="0" applyNumberFormat="1" applyFont="1" applyFill="1" applyBorder="1"/>
    <xf numFmtId="0" fontId="42" fillId="4" borderId="77" xfId="0" applyFont="1" applyFill="1" applyBorder="1"/>
    <xf numFmtId="0" fontId="47" fillId="4" borderId="0" xfId="0" applyFont="1" applyFill="1" applyBorder="1" applyAlignment="1">
      <alignment horizontal="left" wrapText="1"/>
    </xf>
    <xf numFmtId="166" fontId="43" fillId="4" borderId="0" xfId="0" applyNumberFormat="1" applyFont="1" applyFill="1" applyBorder="1"/>
    <xf numFmtId="164" fontId="42" fillId="4" borderId="77" xfId="0" applyNumberFormat="1" applyFont="1" applyFill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/>
    </xf>
    <xf numFmtId="1" fontId="0" fillId="4" borderId="50" xfId="0" applyNumberFormat="1" applyFont="1" applyFill="1" applyBorder="1" applyAlignment="1">
      <alignment horizontal="center"/>
    </xf>
    <xf numFmtId="0" fontId="51" fillId="34" borderId="62" xfId="0" applyFont="1" applyFill="1" applyBorder="1" applyAlignment="1">
      <alignment horizontal="center"/>
    </xf>
    <xf numFmtId="1" fontId="51" fillId="34" borderId="44" xfId="0" applyNumberFormat="1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" fontId="53" fillId="43" borderId="14" xfId="0" applyNumberFormat="1" applyFont="1" applyFill="1" applyBorder="1" applyAlignment="1">
      <alignment horizontal="center" vertical="center"/>
    </xf>
    <xf numFmtId="1" fontId="53" fillId="43" borderId="14" xfId="0" applyNumberFormat="1" applyFont="1" applyFill="1" applyBorder="1" applyAlignment="1">
      <alignment horizontal="center" vertical="center" wrapText="1"/>
    </xf>
    <xf numFmtId="1" fontId="7" fillId="36" borderId="50" xfId="0" applyNumberFormat="1" applyFont="1" applyFill="1" applyBorder="1" applyAlignment="1">
      <alignment horizontal="center"/>
    </xf>
    <xf numFmtId="0" fontId="0" fillId="28" borderId="77" xfId="0" applyFill="1" applyBorder="1" applyAlignment="1">
      <alignment horizontal="left" indent="1"/>
    </xf>
    <xf numFmtId="0" fontId="0" fillId="28" borderId="77" xfId="0" applyNumberFormat="1" applyFill="1" applyBorder="1"/>
    <xf numFmtId="0" fontId="40" fillId="28" borderId="77" xfId="0" applyFont="1" applyFill="1" applyBorder="1"/>
    <xf numFmtId="0" fontId="7" fillId="33" borderId="77" xfId="0" applyFont="1" applyFill="1" applyBorder="1" applyAlignment="1">
      <alignment horizontal="center"/>
    </xf>
    <xf numFmtId="0" fontId="7" fillId="33" borderId="77" xfId="0" applyNumberFormat="1" applyFont="1" applyFill="1" applyBorder="1" applyAlignment="1">
      <alignment horizontal="center"/>
    </xf>
    <xf numFmtId="0" fontId="2" fillId="33" borderId="77" xfId="0" applyNumberFormat="1" applyFont="1" applyFill="1" applyBorder="1"/>
    <xf numFmtId="0" fontId="7" fillId="33" borderId="77" xfId="0" applyFont="1" applyFill="1" applyBorder="1" applyAlignment="1">
      <alignment horizontal="left" indent="1"/>
    </xf>
    <xf numFmtId="0" fontId="35" fillId="33" borderId="77" xfId="0" applyNumberFormat="1" applyFont="1" applyFill="1" applyBorder="1"/>
    <xf numFmtId="0" fontId="3" fillId="44" borderId="77" xfId="0" applyFont="1" applyFill="1" applyBorder="1" applyAlignment="1">
      <alignment horizontal="center"/>
    </xf>
    <xf numFmtId="0" fontId="39" fillId="33" borderId="77" xfId="0" applyFont="1" applyFill="1" applyBorder="1" applyAlignment="1">
      <alignment horizontal="center"/>
    </xf>
    <xf numFmtId="164" fontId="7" fillId="4" borderId="79" xfId="0" applyNumberFormat="1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7" xfId="0" applyFill="1" applyBorder="1" applyAlignment="1">
      <alignment horizontal="center"/>
    </xf>
    <xf numFmtId="164" fontId="7" fillId="4" borderId="69" xfId="0" applyNumberFormat="1" applyFont="1" applyFill="1" applyBorder="1" applyAlignment="1">
      <alignment horizontal="center"/>
    </xf>
    <xf numFmtId="0" fontId="45" fillId="36" borderId="4" xfId="0" applyFont="1" applyFill="1" applyBorder="1" applyAlignment="1">
      <alignment horizontal="center" vertical="center"/>
    </xf>
    <xf numFmtId="0" fontId="7" fillId="36" borderId="14" xfId="0" applyFont="1" applyFill="1" applyBorder="1" applyAlignment="1">
      <alignment horizontal="center" vertical="center"/>
    </xf>
    <xf numFmtId="0" fontId="45" fillId="36" borderId="77" xfId="0" applyFont="1" applyFill="1" applyBorder="1" applyAlignment="1">
      <alignment horizontal="center" vertical="center"/>
    </xf>
    <xf numFmtId="0" fontId="7" fillId="36" borderId="69" xfId="0" applyFont="1" applyFill="1" applyBorder="1" applyAlignment="1">
      <alignment horizontal="center" vertical="center"/>
    </xf>
    <xf numFmtId="164" fontId="51" fillId="34" borderId="44" xfId="0" applyNumberFormat="1" applyFont="1" applyFill="1" applyBorder="1" applyAlignment="1">
      <alignment horizontal="center"/>
    </xf>
    <xf numFmtId="0" fontId="7" fillId="4" borderId="72" xfId="0" applyFont="1" applyFill="1" applyBorder="1"/>
    <xf numFmtId="0" fontId="7" fillId="4" borderId="20" xfId="0" applyFont="1" applyFill="1" applyBorder="1"/>
    <xf numFmtId="0" fontId="0" fillId="0" borderId="19" xfId="0" applyBorder="1" applyAlignment="1">
      <alignment horizontal="center"/>
    </xf>
    <xf numFmtId="0" fontId="7" fillId="4" borderId="77" xfId="0" applyFont="1" applyFill="1" applyBorder="1"/>
    <xf numFmtId="0" fontId="3" fillId="45" borderId="77" xfId="0" applyFont="1" applyFill="1" applyBorder="1"/>
    <xf numFmtId="0" fontId="7" fillId="4" borderId="70" xfId="0" applyFont="1" applyFill="1" applyBorder="1"/>
    <xf numFmtId="0" fontId="0" fillId="0" borderId="74" xfId="0" applyFill="1" applyBorder="1" applyAlignment="1">
      <alignment horizontal="center"/>
    </xf>
    <xf numFmtId="173" fontId="7" fillId="4" borderId="77" xfId="0" applyNumberFormat="1" applyFont="1" applyFill="1" applyBorder="1" applyAlignment="1">
      <alignment horizontal="center"/>
    </xf>
    <xf numFmtId="173" fontId="7" fillId="4" borderId="74" xfId="0" applyNumberFormat="1" applyFont="1" applyFill="1" applyBorder="1" applyAlignment="1">
      <alignment horizontal="center"/>
    </xf>
    <xf numFmtId="0" fontId="7" fillId="4" borderId="19" xfId="0" applyFont="1" applyFill="1" applyBorder="1"/>
    <xf numFmtId="173" fontId="7" fillId="4" borderId="19" xfId="0" applyNumberFormat="1" applyFont="1" applyFill="1" applyBorder="1" applyAlignment="1">
      <alignment horizontal="center"/>
    </xf>
    <xf numFmtId="173" fontId="7" fillId="4" borderId="4" xfId="0" applyNumberFormat="1" applyFont="1" applyFill="1" applyBorder="1" applyAlignment="1">
      <alignment horizontal="center"/>
    </xf>
    <xf numFmtId="173" fontId="7" fillId="4" borderId="69" xfId="0" applyNumberFormat="1" applyFont="1" applyFill="1" applyBorder="1" applyAlignment="1">
      <alignment horizontal="center"/>
    </xf>
    <xf numFmtId="0" fontId="7" fillId="28" borderId="10" xfId="0" applyFont="1" applyFill="1" applyBorder="1"/>
    <xf numFmtId="0" fontId="7" fillId="28" borderId="13" xfId="0" applyFont="1" applyFill="1" applyBorder="1"/>
    <xf numFmtId="0" fontId="7" fillId="28" borderId="14" xfId="0" applyFont="1" applyFill="1" applyBorder="1"/>
    <xf numFmtId="164" fontId="2" fillId="4" borderId="79" xfId="0" applyNumberFormat="1" applyFont="1" applyFill="1" applyBorder="1" applyAlignment="1">
      <alignment horizontal="center"/>
    </xf>
    <xf numFmtId="164" fontId="7" fillId="4" borderId="71" xfId="1" applyNumberFormat="1" applyFont="1" applyFill="1" applyBorder="1" applyAlignment="1">
      <alignment horizontal="center"/>
    </xf>
    <xf numFmtId="164" fontId="7" fillId="4" borderId="79" xfId="1" applyNumberFormat="1" applyFont="1" applyFill="1" applyBorder="1" applyAlignment="1">
      <alignment horizontal="center"/>
    </xf>
    <xf numFmtId="0" fontId="0" fillId="0" borderId="23" xfId="0" applyNumberFormat="1" applyBorder="1"/>
    <xf numFmtId="164" fontId="35" fillId="4" borderId="77" xfId="0" applyNumberFormat="1" applyFont="1" applyFill="1" applyBorder="1" applyAlignment="1">
      <alignment horizontal="center"/>
    </xf>
    <xf numFmtId="164" fontId="44" fillId="31" borderId="19" xfId="0" applyNumberFormat="1" applyFont="1" applyFill="1" applyBorder="1" applyAlignment="1">
      <alignment horizontal="center" vertical="center"/>
    </xf>
    <xf numFmtId="0" fontId="36" fillId="38" borderId="77" xfId="0" applyFont="1" applyFill="1" applyBorder="1" applyAlignment="1">
      <alignment horizontal="left" wrapText="1"/>
    </xf>
    <xf numFmtId="0" fontId="47" fillId="38" borderId="77" xfId="0" applyFont="1" applyFill="1" applyBorder="1" applyAlignment="1">
      <alignment horizontal="left" wrapText="1"/>
    </xf>
    <xf numFmtId="176" fontId="47" fillId="38" borderId="19" xfId="0" applyNumberFormat="1" applyFont="1" applyFill="1" applyBorder="1" applyAlignment="1">
      <alignment horizontal="center" vertical="center"/>
    </xf>
    <xf numFmtId="166" fontId="47" fillId="38" borderId="19" xfId="0" applyNumberFormat="1" applyFont="1" applyFill="1" applyBorder="1" applyAlignment="1">
      <alignment horizontal="center" vertical="center"/>
    </xf>
    <xf numFmtId="0" fontId="42" fillId="4" borderId="77" xfId="0" applyFont="1" applyFill="1" applyBorder="1" applyAlignment="1">
      <alignment horizontal="center"/>
    </xf>
    <xf numFmtId="0" fontId="57" fillId="38" borderId="77" xfId="0" applyFont="1" applyFill="1" applyBorder="1" applyAlignment="1">
      <alignment horizontal="center" vertical="center" wrapText="1"/>
    </xf>
    <xf numFmtId="0" fontId="42" fillId="47" borderId="77" xfId="0" applyFont="1" applyFill="1" applyBorder="1"/>
    <xf numFmtId="0" fontId="56" fillId="38" borderId="7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 wrapText="1"/>
    </xf>
    <xf numFmtId="0" fontId="60" fillId="34" borderId="77" xfId="27279" applyFont="1" applyFill="1" applyBorder="1" applyAlignment="1">
      <alignment horizontal="center" vertical="center" wrapText="1"/>
    </xf>
    <xf numFmtId="0" fontId="7" fillId="33" borderId="77" xfId="0" applyFont="1" applyFill="1" applyBorder="1" applyAlignment="1">
      <alignment horizontal="center" vertical="center" wrapText="1"/>
    </xf>
    <xf numFmtId="0" fontId="7" fillId="33" borderId="77" xfId="41712" applyFont="1" applyFill="1" applyBorder="1" applyAlignment="1">
      <alignment horizontal="center" vertical="center" wrapText="1"/>
    </xf>
    <xf numFmtId="0" fontId="7" fillId="29" borderId="77" xfId="0" applyFont="1" applyFill="1" applyBorder="1" applyAlignment="1">
      <alignment horizontal="center" vertical="center" wrapText="1"/>
    </xf>
    <xf numFmtId="0" fontId="7" fillId="29" borderId="79" xfId="0" applyFont="1" applyFill="1" applyBorder="1" applyAlignment="1">
      <alignment horizontal="center" vertical="center" wrapText="1"/>
    </xf>
    <xf numFmtId="0" fontId="7" fillId="29" borderId="77" xfId="41712" applyFont="1" applyFill="1" applyBorder="1" applyAlignment="1">
      <alignment horizontal="center" vertical="center" wrapText="1"/>
    </xf>
    <xf numFmtId="0" fontId="7" fillId="35" borderId="77" xfId="0" applyFont="1" applyFill="1" applyBorder="1" applyAlignment="1">
      <alignment horizontal="center" vertical="center" wrapText="1"/>
    </xf>
    <xf numFmtId="0" fontId="7" fillId="35" borderId="77" xfId="41712" applyFont="1" applyFill="1" applyBorder="1" applyAlignment="1">
      <alignment horizontal="center" vertical="center" wrapText="1"/>
    </xf>
    <xf numFmtId="0" fontId="7" fillId="31" borderId="77" xfId="0" applyFont="1" applyFill="1" applyBorder="1" applyAlignment="1">
      <alignment horizontal="center" vertical="center" wrapText="1"/>
    </xf>
    <xf numFmtId="0" fontId="7" fillId="31" borderId="77" xfId="41712" applyFont="1" applyFill="1" applyBorder="1" applyAlignment="1">
      <alignment horizontal="center" vertical="center" wrapText="1"/>
    </xf>
    <xf numFmtId="0" fontId="58" fillId="34" borderId="77" xfId="0" applyFont="1" applyFill="1" applyBorder="1" applyAlignment="1">
      <alignment horizontal="center" vertical="center" wrapText="1"/>
    </xf>
    <xf numFmtId="0" fontId="58" fillId="34" borderId="77" xfId="41712" applyFont="1" applyFill="1" applyBorder="1" applyAlignment="1">
      <alignment horizontal="center" vertical="center" wrapText="1"/>
    </xf>
    <xf numFmtId="0" fontId="55" fillId="4" borderId="0" xfId="0" applyFont="1" applyFill="1"/>
    <xf numFmtId="0" fontId="55" fillId="4" borderId="83" xfId="0" applyFont="1" applyFill="1" applyBorder="1"/>
    <xf numFmtId="0" fontId="55" fillId="4" borderId="0" xfId="0" applyFont="1" applyFill="1" applyBorder="1"/>
    <xf numFmtId="164" fontId="42" fillId="31" borderId="47" xfId="0" applyNumberFormat="1" applyFont="1" applyFill="1" applyBorder="1" applyAlignment="1">
      <alignment horizontal="center" vertical="center" wrapText="1"/>
    </xf>
    <xf numFmtId="164" fontId="42" fillId="4" borderId="0" xfId="0" applyNumberFormat="1" applyFont="1" applyFill="1"/>
    <xf numFmtId="14" fontId="49" fillId="4" borderId="77" xfId="0" applyNumberFormat="1" applyFont="1" applyFill="1" applyBorder="1" applyAlignment="1">
      <alignment horizontal="center" vertical="center"/>
    </xf>
    <xf numFmtId="174" fontId="22" fillId="4" borderId="71" xfId="1" applyNumberFormat="1" applyFont="1" applyFill="1" applyBorder="1" applyAlignment="1">
      <alignment vertical="top" wrapText="1"/>
    </xf>
    <xf numFmtId="0" fontId="22" fillId="4" borderId="71" xfId="0" applyFont="1" applyFill="1" applyBorder="1" applyAlignment="1">
      <alignment horizontal="center" vertical="top" wrapText="1"/>
    </xf>
    <xf numFmtId="14" fontId="63" fillId="4" borderId="77" xfId="0" applyNumberFormat="1" applyFont="1" applyFill="1" applyBorder="1" applyAlignment="1">
      <alignment horizontal="center" vertical="center"/>
    </xf>
    <xf numFmtId="0" fontId="42" fillId="57" borderId="77" xfId="0" applyFont="1" applyFill="1" applyBorder="1"/>
    <xf numFmtId="0" fontId="42" fillId="53" borderId="77" xfId="0" applyFont="1" applyFill="1" applyBorder="1"/>
    <xf numFmtId="0" fontId="42" fillId="58" borderId="77" xfId="0" applyFont="1" applyFill="1" applyBorder="1"/>
    <xf numFmtId="164" fontId="42" fillId="52" borderId="77" xfId="0" applyNumberFormat="1" applyFont="1" applyFill="1" applyBorder="1" applyAlignment="1">
      <alignment horizontal="center"/>
    </xf>
    <xf numFmtId="174" fontId="22" fillId="46" borderId="71" xfId="1" applyNumberFormat="1" applyFont="1" applyFill="1" applyBorder="1" applyAlignment="1">
      <alignment vertical="top" wrapText="1"/>
    </xf>
    <xf numFmtId="0" fontId="50" fillId="53" borderId="77" xfId="0" applyFont="1" applyFill="1" applyBorder="1" applyAlignment="1">
      <alignment horizontal="center" vertical="center" wrapText="1"/>
    </xf>
    <xf numFmtId="0" fontId="50" fillId="56" borderId="77" xfId="0" applyFont="1" applyFill="1" applyBorder="1" applyAlignment="1">
      <alignment horizontal="center" vertical="center" wrapText="1"/>
    </xf>
    <xf numFmtId="0" fontId="50" fillId="55" borderId="77" xfId="0" applyFont="1" applyFill="1" applyBorder="1" applyAlignment="1">
      <alignment horizontal="center" vertical="center" wrapText="1"/>
    </xf>
    <xf numFmtId="0" fontId="50" fillId="53" borderId="77" xfId="0" applyFont="1" applyFill="1" applyBorder="1" applyAlignment="1">
      <alignment horizontal="center" vertical="center"/>
    </xf>
    <xf numFmtId="0" fontId="42" fillId="51" borderId="0" xfId="0" applyFont="1" applyFill="1"/>
    <xf numFmtId="0" fontId="50" fillId="5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vertical="center"/>
    </xf>
    <xf numFmtId="0" fontId="42" fillId="48" borderId="77" xfId="0" applyFont="1" applyFill="1" applyBorder="1"/>
    <xf numFmtId="2" fontId="22" fillId="4" borderId="77" xfId="0" applyNumberFormat="1" applyFont="1" applyFill="1" applyBorder="1" applyAlignment="1">
      <alignment horizontal="right" vertical="center" wrapText="1"/>
    </xf>
    <xf numFmtId="0" fontId="42" fillId="59" borderId="77" xfId="0" applyFont="1" applyFill="1" applyBorder="1"/>
    <xf numFmtId="0" fontId="22" fillId="0" borderId="77" xfId="0" applyFont="1" applyBorder="1" applyAlignment="1">
      <alignment horizontal="center" vertical="center"/>
    </xf>
    <xf numFmtId="14" fontId="22" fillId="4" borderId="77" xfId="0" applyNumberFormat="1" applyFont="1" applyFill="1" applyBorder="1" applyAlignment="1">
      <alignment horizontal="center" vertical="center"/>
    </xf>
    <xf numFmtId="0" fontId="42" fillId="36" borderId="77" xfId="0" applyFont="1" applyFill="1" applyBorder="1"/>
    <xf numFmtId="0" fontId="50" fillId="60" borderId="77" xfId="0" applyFont="1" applyFill="1" applyBorder="1" applyAlignment="1">
      <alignment horizontal="center" vertical="center" wrapText="1"/>
    </xf>
    <xf numFmtId="0" fontId="50" fillId="60" borderId="77" xfId="0" applyFont="1" applyFill="1" applyBorder="1" applyAlignment="1">
      <alignment horizontal="center" vertical="center"/>
    </xf>
    <xf numFmtId="0" fontId="63" fillId="47" borderId="71" xfId="0" applyFont="1" applyFill="1" applyBorder="1" applyAlignment="1">
      <alignment horizontal="center" vertical="top" wrapText="1"/>
    </xf>
    <xf numFmtId="2" fontId="36" fillId="38" borderId="19" xfId="0" applyNumberFormat="1" applyFont="1" applyFill="1" applyBorder="1" applyAlignment="1">
      <alignment horizontal="center" vertical="center"/>
    </xf>
    <xf numFmtId="177" fontId="36" fillId="38" borderId="77" xfId="0" applyNumberFormat="1" applyFont="1" applyFill="1" applyBorder="1" applyAlignment="1">
      <alignment horizontal="center" vertical="center"/>
    </xf>
    <xf numFmtId="164" fontId="36" fillId="38" borderId="77" xfId="0" applyNumberFormat="1" applyFont="1" applyFill="1" applyBorder="1" applyAlignment="1">
      <alignment horizontal="center" vertical="center"/>
    </xf>
    <xf numFmtId="176" fontId="36" fillId="38" borderId="77" xfId="0" applyNumberFormat="1" applyFont="1" applyFill="1" applyBorder="1" applyAlignment="1">
      <alignment horizontal="center" vertical="center"/>
    </xf>
    <xf numFmtId="176" fontId="47" fillId="38" borderId="77" xfId="0" applyNumberFormat="1" applyFont="1" applyFill="1" applyBorder="1" applyAlignment="1">
      <alignment horizontal="center" vertical="center"/>
    </xf>
    <xf numFmtId="166" fontId="47" fillId="38" borderId="77" xfId="0" applyNumberFormat="1" applyFont="1" applyFill="1" applyBorder="1" applyAlignment="1">
      <alignment horizontal="center" vertical="center"/>
    </xf>
    <xf numFmtId="176" fontId="42" fillId="4" borderId="0" xfId="0" applyNumberFormat="1" applyFont="1" applyFill="1"/>
    <xf numFmtId="0" fontId="7" fillId="4" borderId="77" xfId="0" applyNumberFormat="1" applyFont="1" applyFill="1" applyBorder="1" applyAlignment="1">
      <alignment horizontal="right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0" fontId="0" fillId="4" borderId="0" xfId="0" applyFill="1"/>
    <xf numFmtId="166" fontId="0" fillId="4" borderId="0" xfId="0" applyNumberFormat="1" applyFill="1"/>
    <xf numFmtId="164" fontId="0" fillId="4" borderId="0" xfId="0" applyNumberFormat="1" applyFill="1"/>
    <xf numFmtId="0" fontId="5" fillId="4" borderId="41" xfId="0" applyFont="1" applyFill="1" applyBorder="1" applyAlignment="1">
      <alignment horizontal="center" vertical="center" wrapText="1"/>
    </xf>
    <xf numFmtId="0" fontId="0" fillId="4" borderId="87" xfId="0" applyFill="1" applyBorder="1"/>
    <xf numFmtId="0" fontId="0" fillId="4" borderId="88" xfId="0" applyFill="1" applyBorder="1"/>
    <xf numFmtId="14" fontId="2" fillId="4" borderId="88" xfId="0" applyNumberFormat="1" applyFont="1" applyFill="1" applyBorder="1" applyAlignment="1">
      <alignment horizontal="center"/>
    </xf>
    <xf numFmtId="0" fontId="0" fillId="4" borderId="80" xfId="0" applyFill="1" applyBorder="1"/>
    <xf numFmtId="0" fontId="0" fillId="4" borderId="89" xfId="0" applyFill="1" applyBorder="1"/>
    <xf numFmtId="0" fontId="5" fillId="34" borderId="67" xfId="0" applyFont="1" applyFill="1" applyBorder="1" applyAlignment="1">
      <alignment horizontal="center" vertical="center" wrapText="1"/>
    </xf>
    <xf numFmtId="0" fontId="5" fillId="34" borderId="78" xfId="0" applyFont="1" applyFill="1" applyBorder="1" applyAlignment="1">
      <alignment horizontal="center" vertical="center" wrapText="1"/>
    </xf>
    <xf numFmtId="0" fontId="5" fillId="34" borderId="82" xfId="0" applyFont="1" applyFill="1" applyBorder="1" applyAlignment="1">
      <alignment horizontal="center" vertical="center" wrapText="1"/>
    </xf>
    <xf numFmtId="164" fontId="0" fillId="4" borderId="82" xfId="0" applyNumberFormat="1" applyFont="1" applyFill="1" applyBorder="1" applyAlignment="1">
      <alignment horizontal="center"/>
    </xf>
    <xf numFmtId="170" fontId="7" fillId="33" borderId="5" xfId="2" applyNumberFormat="1" applyFont="1" applyFill="1" applyBorder="1" applyAlignment="1">
      <alignment horizontal="center"/>
    </xf>
    <xf numFmtId="164" fontId="7" fillId="33" borderId="77" xfId="0" applyNumberFormat="1" applyFont="1" applyFill="1" applyBorder="1" applyAlignment="1">
      <alignment horizontal="center"/>
    </xf>
    <xf numFmtId="164" fontId="0" fillId="4" borderId="77" xfId="0" applyNumberFormat="1" applyFont="1" applyFill="1" applyBorder="1" applyAlignment="1">
      <alignment horizontal="center"/>
    </xf>
    <xf numFmtId="164" fontId="0" fillId="33" borderId="77" xfId="0" applyNumberFormat="1" applyFont="1" applyFill="1" applyBorder="1" applyAlignment="1">
      <alignment horizontal="center"/>
    </xf>
    <xf numFmtId="164" fontId="0" fillId="33" borderId="79" xfId="0" applyNumberFormat="1" applyFont="1" applyFill="1" applyBorder="1" applyAlignment="1">
      <alignment horizontal="center"/>
    </xf>
    <xf numFmtId="170" fontId="7" fillId="33" borderId="77" xfId="2" applyNumberFormat="1" applyFont="1" applyFill="1" applyBorder="1" applyAlignment="1">
      <alignment horizontal="center"/>
    </xf>
    <xf numFmtId="0" fontId="7" fillId="33" borderId="78" xfId="0" applyFont="1" applyFill="1" applyBorder="1" applyAlignment="1">
      <alignment horizontal="center" vertical="center"/>
    </xf>
    <xf numFmtId="0" fontId="0" fillId="33" borderId="78" xfId="0" applyFont="1" applyFill="1" applyBorder="1" applyAlignment="1">
      <alignment horizontal="center"/>
    </xf>
    <xf numFmtId="164" fontId="7" fillId="33" borderId="82" xfId="0" applyNumberFormat="1" applyFont="1" applyFill="1" applyBorder="1" applyAlignment="1">
      <alignment horizontal="center"/>
    </xf>
    <xf numFmtId="164" fontId="0" fillId="33" borderId="82" xfId="0" applyNumberFormat="1" applyFont="1" applyFill="1" applyBorder="1" applyAlignment="1">
      <alignment horizontal="center"/>
    </xf>
    <xf numFmtId="164" fontId="0" fillId="33" borderId="78" xfId="0" applyNumberFormat="1" applyFont="1" applyFill="1" applyBorder="1" applyAlignment="1">
      <alignment horizontal="center"/>
    </xf>
    <xf numFmtId="170" fontId="7" fillId="33" borderId="82" xfId="2" applyNumberFormat="1" applyFont="1" applyFill="1" applyBorder="1" applyAlignment="1">
      <alignment horizontal="center"/>
    </xf>
    <xf numFmtId="170" fontId="7" fillId="27" borderId="4" xfId="2" applyNumberFormat="1" applyFont="1" applyFill="1" applyBorder="1" applyAlignment="1">
      <alignment horizontal="center"/>
    </xf>
    <xf numFmtId="164" fontId="7" fillId="27" borderId="77" xfId="0" applyNumberFormat="1" applyFont="1" applyFill="1" applyBorder="1" applyAlignment="1">
      <alignment horizontal="center" vertical="center"/>
    </xf>
    <xf numFmtId="164" fontId="0" fillId="27" borderId="77" xfId="0" applyNumberFormat="1" applyFont="1" applyFill="1" applyBorder="1" applyAlignment="1">
      <alignment horizontal="center"/>
    </xf>
    <xf numFmtId="170" fontId="7" fillId="27" borderId="77" xfId="2" applyNumberFormat="1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 vertical="center"/>
    </xf>
    <xf numFmtId="0" fontId="0" fillId="33" borderId="82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69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5" fillId="4" borderId="0" xfId="27279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6" fontId="22" fillId="4" borderId="77" xfId="0" applyNumberFormat="1" applyFont="1" applyFill="1" applyBorder="1"/>
    <xf numFmtId="0" fontId="0" fillId="28" borderId="0" xfId="0" applyFont="1" applyFill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/>
    </xf>
    <xf numFmtId="0" fontId="7" fillId="28" borderId="79" xfId="0" applyFont="1" applyFill="1" applyBorder="1" applyAlignment="1">
      <alignment horizontal="center" vertical="center" wrapText="1"/>
    </xf>
    <xf numFmtId="0" fontId="7" fillId="28" borderId="77" xfId="0" applyFont="1" applyFill="1" applyBorder="1" applyAlignment="1">
      <alignment horizontal="center" vertical="center" wrapText="1"/>
    </xf>
    <xf numFmtId="0" fontId="7" fillId="28" borderId="77" xfId="41712" applyFont="1" applyFill="1" applyBorder="1" applyAlignment="1">
      <alignment horizontal="center" vertical="center" wrapText="1"/>
    </xf>
    <xf numFmtId="164" fontId="0" fillId="4" borderId="22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0" fontId="0" fillId="4" borderId="82" xfId="0" applyNumberFormat="1" applyFill="1" applyBorder="1" applyAlignment="1">
      <alignment horizontal="center" vertical="center"/>
    </xf>
    <xf numFmtId="164" fontId="0" fillId="4" borderId="55" xfId="0" applyNumberFormat="1" applyFont="1" applyFill="1" applyBorder="1" applyAlignment="1">
      <alignment horizontal="center" vertical="center"/>
    </xf>
    <xf numFmtId="164" fontId="0" fillId="4" borderId="65" xfId="0" applyNumberFormat="1" applyFon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9" fontId="1" fillId="4" borderId="25" xfId="2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0" fontId="7" fillId="4" borderId="82" xfId="0" applyNumberFormat="1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7" fillId="4" borderId="65" xfId="0" applyNumberFormat="1" applyFont="1" applyFill="1" applyBorder="1" applyAlignment="1">
      <alignment horizontal="center" vertical="center"/>
    </xf>
    <xf numFmtId="0" fontId="7" fillId="4" borderId="74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7" fillId="4" borderId="70" xfId="0" applyNumberFormat="1" applyFont="1" applyFill="1" applyBorder="1" applyAlignment="1">
      <alignment horizontal="center" vertical="center"/>
    </xf>
    <xf numFmtId="0" fontId="0" fillId="4" borderId="23" xfId="0" applyNumberFormat="1" applyFill="1" applyBorder="1" applyAlignment="1">
      <alignment horizontal="center" vertical="center"/>
    </xf>
    <xf numFmtId="0" fontId="7" fillId="30" borderId="77" xfId="0" applyFont="1" applyFill="1" applyBorder="1" applyAlignment="1">
      <alignment horizontal="center" vertical="center" wrapText="1"/>
    </xf>
    <xf numFmtId="0" fontId="7" fillId="30" borderId="77" xfId="41712" applyFont="1" applyFill="1" applyBorder="1" applyAlignment="1">
      <alignment horizontal="center" vertical="center" wrapText="1"/>
    </xf>
    <xf numFmtId="169" fontId="7" fillId="30" borderId="77" xfId="41712" applyNumberFormat="1" applyFont="1" applyFill="1" applyBorder="1" applyAlignment="1">
      <alignment horizontal="center" vertical="center" wrapText="1"/>
    </xf>
    <xf numFmtId="0" fontId="7" fillId="32" borderId="77" xfId="0" applyFont="1" applyFill="1" applyBorder="1" applyAlignment="1">
      <alignment horizontal="center" vertical="center" wrapText="1"/>
    </xf>
    <xf numFmtId="0" fontId="7" fillId="32" borderId="77" xfId="41712" applyFont="1" applyFill="1" applyBorder="1" applyAlignment="1">
      <alignment horizontal="center" vertical="center" wrapText="1"/>
    </xf>
    <xf numFmtId="164" fontId="0" fillId="4" borderId="25" xfId="0" applyNumberFormat="1" applyFont="1" applyFill="1" applyBorder="1" applyAlignment="1">
      <alignment horizontal="center" vertical="center"/>
    </xf>
    <xf numFmtId="9" fontId="1" fillId="4" borderId="23" xfId="2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71" fontId="66" fillId="37" borderId="77" xfId="0" applyNumberFormat="1" applyFont="1" applyFill="1" applyBorder="1" applyAlignment="1">
      <alignment horizontal="center" vertical="center"/>
    </xf>
    <xf numFmtId="169" fontId="66" fillId="37" borderId="77" xfId="0" applyNumberFormat="1" applyFont="1" applyFill="1" applyBorder="1" applyAlignment="1">
      <alignment horizontal="center" vertical="center"/>
    </xf>
    <xf numFmtId="2" fontId="66" fillId="37" borderId="77" xfId="0" applyNumberFormat="1" applyFont="1" applyFill="1" applyBorder="1" applyAlignment="1">
      <alignment horizontal="center" vertical="center"/>
    </xf>
    <xf numFmtId="10" fontId="66" fillId="37" borderId="77" xfId="2" applyNumberFormat="1" applyFont="1" applyFill="1" applyBorder="1" applyAlignment="1">
      <alignment horizontal="center" vertical="center"/>
    </xf>
    <xf numFmtId="171" fontId="66" fillId="29" borderId="79" xfId="0" applyNumberFormat="1" applyFont="1" applyFill="1" applyBorder="1" applyAlignment="1">
      <alignment horizontal="center" vertical="center"/>
    </xf>
    <xf numFmtId="171" fontId="66" fillId="29" borderId="77" xfId="0" applyNumberFormat="1" applyFont="1" applyFill="1" applyBorder="1" applyAlignment="1">
      <alignment horizontal="center" vertical="center"/>
    </xf>
    <xf numFmtId="169" fontId="66" fillId="29" borderId="77" xfId="0" applyNumberFormat="1" applyFont="1" applyFill="1" applyBorder="1" applyAlignment="1">
      <alignment horizontal="center" vertical="center"/>
    </xf>
    <xf numFmtId="2" fontId="66" fillId="29" borderId="77" xfId="0" applyNumberFormat="1" applyFont="1" applyFill="1" applyBorder="1" applyAlignment="1">
      <alignment horizontal="center" vertical="center"/>
    </xf>
    <xf numFmtId="171" fontId="66" fillId="28" borderId="79" xfId="0" applyNumberFormat="1" applyFont="1" applyFill="1" applyBorder="1" applyAlignment="1">
      <alignment horizontal="center" vertical="center"/>
    </xf>
    <xf numFmtId="171" fontId="66" fillId="41" borderId="77" xfId="0" applyNumberFormat="1" applyFont="1" applyFill="1" applyBorder="1" applyAlignment="1">
      <alignment horizontal="center" vertical="center"/>
    </xf>
    <xf numFmtId="169" fontId="66" fillId="41" borderId="77" xfId="0" applyNumberFormat="1" applyFont="1" applyFill="1" applyBorder="1" applyAlignment="1">
      <alignment horizontal="center" vertical="center"/>
    </xf>
    <xf numFmtId="2" fontId="66" fillId="41" borderId="77" xfId="0" applyNumberFormat="1" applyFont="1" applyFill="1" applyBorder="1" applyAlignment="1">
      <alignment horizontal="center" vertical="center"/>
    </xf>
    <xf numFmtId="10" fontId="66" fillId="41" borderId="71" xfId="2" applyNumberFormat="1" applyFont="1" applyFill="1" applyBorder="1" applyAlignment="1">
      <alignment horizontal="center" vertical="center"/>
    </xf>
    <xf numFmtId="171" fontId="66" fillId="50" borderId="49" xfId="0" applyNumberFormat="1" applyFont="1" applyFill="1" applyBorder="1" applyAlignment="1">
      <alignment horizontal="center" vertical="center"/>
    </xf>
    <xf numFmtId="171" fontId="66" fillId="50" borderId="77" xfId="0" applyNumberFormat="1" applyFont="1" applyFill="1" applyBorder="1" applyAlignment="1">
      <alignment horizontal="center" vertical="center"/>
    </xf>
    <xf numFmtId="169" fontId="66" fillId="50" borderId="77" xfId="0" applyNumberFormat="1" applyFont="1" applyFill="1" applyBorder="1" applyAlignment="1">
      <alignment horizontal="center" vertical="center"/>
    </xf>
    <xf numFmtId="2" fontId="66" fillId="50" borderId="77" xfId="0" applyNumberFormat="1" applyFont="1" applyFill="1" applyBorder="1" applyAlignment="1">
      <alignment horizontal="center" vertical="center"/>
    </xf>
    <xf numFmtId="171" fontId="66" fillId="31" borderId="77" xfId="0" applyNumberFormat="1" applyFont="1" applyFill="1" applyBorder="1" applyAlignment="1">
      <alignment horizontal="center" vertical="center"/>
    </xf>
    <xf numFmtId="169" fontId="66" fillId="31" borderId="77" xfId="0" applyNumberFormat="1" applyFont="1" applyFill="1" applyBorder="1" applyAlignment="1">
      <alignment horizontal="center" vertical="center"/>
    </xf>
    <xf numFmtId="2" fontId="66" fillId="31" borderId="77" xfId="0" applyNumberFormat="1" applyFont="1" applyFill="1" applyBorder="1" applyAlignment="1">
      <alignment horizontal="center" vertical="center"/>
    </xf>
    <xf numFmtId="171" fontId="66" fillId="49" borderId="77" xfId="0" applyNumberFormat="1" applyFont="1" applyFill="1" applyBorder="1" applyAlignment="1">
      <alignment horizontal="center" vertical="center"/>
    </xf>
    <xf numFmtId="169" fontId="66" fillId="49" borderId="77" xfId="0" applyNumberFormat="1" applyFont="1" applyFill="1" applyBorder="1" applyAlignment="1">
      <alignment horizontal="center" vertical="center"/>
    </xf>
    <xf numFmtId="2" fontId="66" fillId="49" borderId="77" xfId="0" applyNumberFormat="1" applyFont="1" applyFill="1" applyBorder="1" applyAlignment="1">
      <alignment horizontal="center" vertical="center"/>
    </xf>
    <xf numFmtId="0" fontId="58" fillId="34" borderId="78" xfId="27279" applyFont="1" applyFill="1" applyBorder="1" applyAlignment="1">
      <alignment horizontal="center" vertical="center" wrapText="1"/>
    </xf>
    <xf numFmtId="0" fontId="7" fillId="37" borderId="55" xfId="0" applyFont="1" applyFill="1" applyBorder="1" applyAlignment="1">
      <alignment horizontal="center" vertical="center"/>
    </xf>
    <xf numFmtId="0" fontId="7" fillId="37" borderId="78" xfId="0" applyFont="1" applyFill="1" applyBorder="1" applyAlignment="1">
      <alignment horizontal="center" vertical="center"/>
    </xf>
    <xf numFmtId="0" fontId="7" fillId="37" borderId="47" xfId="0" applyFont="1" applyFill="1" applyBorder="1" applyAlignment="1">
      <alignment horizontal="center" vertical="center"/>
    </xf>
    <xf numFmtId="0" fontId="61" fillId="34" borderId="25" xfId="0" applyFont="1" applyFill="1" applyBorder="1" applyAlignment="1">
      <alignment horizontal="center" vertical="center" textRotation="90"/>
    </xf>
    <xf numFmtId="0" fontId="58" fillId="34" borderId="19" xfId="0" applyFont="1" applyFill="1" applyBorder="1" applyAlignment="1">
      <alignment horizontal="center" vertical="center"/>
    </xf>
    <xf numFmtId="0" fontId="61" fillId="34" borderId="21" xfId="0" applyFont="1" applyFill="1" applyBorder="1" applyAlignment="1">
      <alignment horizontal="center" vertical="center" textRotation="90"/>
    </xf>
    <xf numFmtId="0" fontId="58" fillId="34" borderId="7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71" fontId="7" fillId="4" borderId="0" xfId="0" applyNumberFormat="1" applyFont="1" applyFill="1" applyAlignment="1">
      <alignment horizontal="center" vertical="center"/>
    </xf>
    <xf numFmtId="169" fontId="7" fillId="4" borderId="0" xfId="0" applyNumberFormat="1" applyFont="1" applyFill="1" applyAlignment="1">
      <alignment horizontal="center" vertical="center"/>
    </xf>
    <xf numFmtId="0" fontId="22" fillId="4" borderId="77" xfId="0" applyFont="1" applyFill="1" applyBorder="1"/>
    <xf numFmtId="164" fontId="7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67" fillId="4" borderId="77" xfId="0" applyFont="1" applyFill="1" applyBorder="1" applyAlignment="1">
      <alignment horizontal="left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/>
    </xf>
    <xf numFmtId="0" fontId="22" fillId="4" borderId="77" xfId="0" applyFont="1" applyFill="1" applyBorder="1" applyAlignment="1">
      <alignment horizontal="left" wrapText="1"/>
    </xf>
    <xf numFmtId="0" fontId="7" fillId="29" borderId="71" xfId="41712" applyFont="1" applyFill="1" applyBorder="1" applyAlignment="1">
      <alignment horizontal="center" vertical="center" wrapText="1"/>
    </xf>
    <xf numFmtId="10" fontId="66" fillId="29" borderId="71" xfId="2" applyNumberFormat="1" applyFont="1" applyFill="1" applyBorder="1" applyAlignment="1">
      <alignment horizontal="center" vertical="center"/>
    </xf>
    <xf numFmtId="0" fontId="58" fillId="34" borderId="79" xfId="41712" applyFont="1" applyFill="1" applyBorder="1" applyAlignment="1">
      <alignment horizontal="center" vertical="center" wrapText="1"/>
    </xf>
    <xf numFmtId="10" fontId="66" fillId="49" borderId="77" xfId="2" applyNumberFormat="1" applyFont="1" applyFill="1" applyBorder="1" applyAlignment="1">
      <alignment horizontal="center" vertical="center"/>
    </xf>
    <xf numFmtId="0" fontId="7" fillId="30" borderId="71" xfId="41712" applyFont="1" applyFill="1" applyBorder="1" applyAlignment="1">
      <alignment horizontal="center" vertical="center" wrapText="1"/>
    </xf>
    <xf numFmtId="10" fontId="66" fillId="50" borderId="71" xfId="2" applyNumberFormat="1" applyFont="1" applyFill="1" applyBorder="1" applyAlignment="1">
      <alignment horizontal="center" vertical="center"/>
    </xf>
    <xf numFmtId="10" fontId="66" fillId="31" borderId="77" xfId="2" applyNumberFormat="1" applyFont="1" applyFill="1" applyBorder="1" applyAlignment="1">
      <alignment horizontal="center" vertical="center"/>
    </xf>
    <xf numFmtId="0" fontId="58" fillId="34" borderId="84" xfId="41713" applyFont="1" applyFill="1" applyBorder="1" applyAlignment="1">
      <alignment horizontal="center" vertical="center" wrapText="1"/>
    </xf>
    <xf numFmtId="0" fontId="58" fillId="34" borderId="82" xfId="41713" applyFont="1" applyFill="1" applyBorder="1" applyAlignment="1">
      <alignment horizontal="center" vertical="center" wrapText="1"/>
    </xf>
    <xf numFmtId="164" fontId="42" fillId="31" borderId="77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/>
    </xf>
    <xf numFmtId="0" fontId="7" fillId="4" borderId="85" xfId="0" applyNumberFormat="1" applyFont="1" applyFill="1" applyBorder="1" applyAlignment="1">
      <alignment horizontal="center"/>
    </xf>
    <xf numFmtId="0" fontId="7" fillId="4" borderId="71" xfId="0" applyFont="1" applyFill="1" applyBorder="1" applyAlignment="1">
      <alignment horizontal="center" vertical="center"/>
    </xf>
    <xf numFmtId="0" fontId="22" fillId="61" borderId="71" xfId="0" applyFont="1" applyFill="1" applyBorder="1"/>
    <xf numFmtId="0" fontId="22" fillId="61" borderId="86" xfId="0" applyFont="1" applyFill="1" applyBorder="1"/>
    <xf numFmtId="0" fontId="22" fillId="61" borderId="86" xfId="0" applyFont="1" applyFill="1" applyBorder="1" applyAlignment="1">
      <alignment horizontal="left"/>
    </xf>
    <xf numFmtId="0" fontId="0" fillId="0" borderId="25" xfId="0" applyNumberFormat="1" applyBorder="1"/>
    <xf numFmtId="0" fontId="0" fillId="0" borderId="71" xfId="0" applyNumberFormat="1" applyBorder="1"/>
    <xf numFmtId="0" fontId="0" fillId="0" borderId="77" xfId="0" applyNumberFormat="1" applyBorder="1"/>
    <xf numFmtId="2" fontId="0" fillId="0" borderId="77" xfId="0" applyNumberFormat="1" applyBorder="1"/>
    <xf numFmtId="0" fontId="0" fillId="0" borderId="0" xfId="0" applyAlignment="1">
      <alignment horizontal="left"/>
    </xf>
    <xf numFmtId="0" fontId="3" fillId="45" borderId="71" xfId="0" applyFont="1" applyFill="1" applyBorder="1"/>
    <xf numFmtId="0" fontId="0" fillId="0" borderId="25" xfId="0" applyBorder="1" applyAlignment="1">
      <alignment horizontal="left" indent="1"/>
    </xf>
    <xf numFmtId="0" fontId="0" fillId="0" borderId="55" xfId="0" applyNumberFormat="1" applyBorder="1"/>
    <xf numFmtId="0" fontId="0" fillId="4" borderId="25" xfId="0" applyNumberFormat="1" applyFill="1" applyBorder="1"/>
    <xf numFmtId="164" fontId="42" fillId="4" borderId="77" xfId="0" applyNumberFormat="1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3" fillId="4" borderId="50" xfId="0" applyNumberFormat="1" applyFont="1" applyFill="1" applyBorder="1" applyAlignment="1">
      <alignment horizontal="center"/>
    </xf>
    <xf numFmtId="2" fontId="0" fillId="4" borderId="50" xfId="0" applyNumberFormat="1" applyFill="1" applyBorder="1" applyAlignment="1">
      <alignment horizontal="center"/>
    </xf>
    <xf numFmtId="2" fontId="0" fillId="4" borderId="74" xfId="0" applyNumberFormat="1" applyFill="1" applyBorder="1" applyAlignment="1">
      <alignment horizontal="center"/>
    </xf>
    <xf numFmtId="2" fontId="2" fillId="4" borderId="50" xfId="0" applyNumberFormat="1" applyFont="1" applyFill="1" applyBorder="1" applyAlignment="1">
      <alignment horizontal="center"/>
    </xf>
    <xf numFmtId="0" fontId="0" fillId="40" borderId="0" xfId="0" applyFill="1"/>
    <xf numFmtId="164" fontId="0" fillId="4" borderId="82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0" fontId="0" fillId="28" borderId="52" xfId="0" applyFill="1" applyBorder="1" applyAlignment="1">
      <alignment horizontal="center"/>
    </xf>
    <xf numFmtId="164" fontId="0" fillId="4" borderId="84" xfId="0" applyNumberFormat="1" applyFont="1" applyFill="1" applyBorder="1" applyAlignment="1">
      <alignment horizontal="center" vertical="center"/>
    </xf>
    <xf numFmtId="164" fontId="0" fillId="4" borderId="78" xfId="0" applyNumberFormat="1" applyFont="1" applyFill="1" applyBorder="1" applyAlignment="1">
      <alignment horizontal="center" vertical="center"/>
    </xf>
    <xf numFmtId="164" fontId="0" fillId="4" borderId="68" xfId="0" applyNumberFormat="1" applyFont="1" applyFill="1" applyBorder="1" applyAlignment="1">
      <alignment horizontal="center" vertical="center"/>
    </xf>
    <xf numFmtId="164" fontId="0" fillId="4" borderId="21" xfId="0" applyNumberFormat="1" applyFont="1" applyFill="1" applyBorder="1" applyAlignment="1">
      <alignment horizontal="center" vertical="center"/>
    </xf>
    <xf numFmtId="164" fontId="0" fillId="4" borderId="47" xfId="0" applyNumberFormat="1" applyFont="1" applyFill="1" applyBorder="1" applyAlignment="1">
      <alignment horizontal="center" vertical="center"/>
    </xf>
    <xf numFmtId="164" fontId="0" fillId="4" borderId="9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/>
    <xf numFmtId="0" fontId="35" fillId="4" borderId="77" xfId="0" applyFont="1" applyFill="1" applyBorder="1" applyAlignment="1">
      <alignment horizontal="left" indent="2"/>
    </xf>
    <xf numFmtId="0" fontId="69" fillId="28" borderId="26" xfId="0" applyFont="1" applyFill="1" applyBorder="1" applyAlignment="1">
      <alignment horizontal="center"/>
    </xf>
    <xf numFmtId="1" fontId="0" fillId="36" borderId="82" xfId="0" applyNumberFormat="1" applyFill="1" applyBorder="1" applyAlignment="1">
      <alignment horizontal="center"/>
    </xf>
    <xf numFmtId="1" fontId="0" fillId="4" borderId="82" xfId="0" applyNumberFormat="1" applyFill="1" applyBorder="1" applyAlignment="1">
      <alignment horizontal="center"/>
    </xf>
    <xf numFmtId="164" fontId="0" fillId="4" borderId="82" xfId="0" applyNumberFormat="1" applyFill="1" applyBorder="1" applyAlignment="1">
      <alignment horizontal="center"/>
    </xf>
    <xf numFmtId="1" fontId="53" fillId="43" borderId="54" xfId="0" applyNumberFormat="1" applyFont="1" applyFill="1" applyBorder="1" applyAlignment="1">
      <alignment horizontal="center" vertical="center"/>
    </xf>
    <xf numFmtId="0" fontId="0" fillId="27" borderId="86" xfId="0" applyNumberFormat="1" applyFont="1" applyFill="1" applyBorder="1" applyAlignment="1">
      <alignment horizontal="center"/>
    </xf>
    <xf numFmtId="0" fontId="0" fillId="47" borderId="86" xfId="0" applyFont="1" applyFill="1" applyBorder="1"/>
    <xf numFmtId="0" fontId="7" fillId="4" borderId="0" xfId="0" applyNumberFormat="1" applyFont="1" applyFill="1"/>
    <xf numFmtId="0" fontId="7" fillId="4" borderId="77" xfId="0" applyNumberFormat="1" applyFont="1" applyFill="1" applyBorder="1"/>
    <xf numFmtId="0" fontId="35" fillId="4" borderId="0" xfId="0" applyFont="1" applyFill="1" applyAlignment="1">
      <alignment horizontal="left" indent="2"/>
    </xf>
    <xf numFmtId="0" fontId="40" fillId="28" borderId="86" xfId="0" applyFont="1" applyFill="1" applyBorder="1"/>
    <xf numFmtId="0" fontId="0" fillId="33" borderId="86" xfId="0" applyNumberFormat="1" applyFill="1" applyBorder="1"/>
    <xf numFmtId="164" fontId="2" fillId="33" borderId="79" xfId="0" applyNumberFormat="1" applyFont="1" applyFill="1" applyBorder="1" applyAlignment="1">
      <alignment horizontal="center"/>
    </xf>
    <xf numFmtId="0" fontId="50" fillId="34" borderId="77" xfId="0" applyFont="1" applyFill="1" applyBorder="1"/>
    <xf numFmtId="166" fontId="50" fillId="34" borderId="77" xfId="0" applyNumberFormat="1" applyFont="1" applyFill="1" applyBorder="1" applyAlignment="1">
      <alignment horizontal="center"/>
    </xf>
    <xf numFmtId="0" fontId="50" fillId="4" borderId="0" xfId="0" applyFont="1" applyFill="1" applyAlignment="1">
      <alignment horizontal="center" vertical="center"/>
    </xf>
    <xf numFmtId="2" fontId="50" fillId="4" borderId="0" xfId="0" applyNumberFormat="1" applyFont="1" applyFill="1" applyAlignment="1">
      <alignment horizontal="center" vertical="center"/>
    </xf>
    <xf numFmtId="0" fontId="58" fillId="4" borderId="0" xfId="0" applyFont="1" applyFill="1" applyAlignment="1">
      <alignment horizontal="center" vertical="center"/>
    </xf>
    <xf numFmtId="171" fontId="58" fillId="4" borderId="0" xfId="0" applyNumberFormat="1" applyFont="1" applyFill="1" applyAlignment="1">
      <alignment horizontal="center" vertical="center" wrapText="1"/>
    </xf>
    <xf numFmtId="171" fontId="58" fillId="4" borderId="0" xfId="0" applyNumberFormat="1" applyFont="1" applyFill="1" applyAlignment="1">
      <alignment horizontal="center" vertical="center"/>
    </xf>
    <xf numFmtId="0" fontId="58" fillId="34" borderId="0" xfId="0" applyNumberFormat="1" applyFont="1" applyFill="1"/>
    <xf numFmtId="0" fontId="0" fillId="33" borderId="79" xfId="0" applyNumberFormat="1" applyFill="1" applyBorder="1"/>
    <xf numFmtId="164" fontId="0" fillId="4" borderId="2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75" fontId="68" fillId="0" borderId="0" xfId="0" applyNumberFormat="1" applyFont="1"/>
    <xf numFmtId="177" fontId="42" fillId="4" borderId="0" xfId="0" applyNumberFormat="1" applyFont="1" applyFill="1"/>
    <xf numFmtId="0" fontId="42" fillId="62" borderId="77" xfId="0" applyFont="1" applyFill="1" applyBorder="1"/>
    <xf numFmtId="178" fontId="42" fillId="52" borderId="77" xfId="0" applyNumberFormat="1" applyFont="1" applyFill="1" applyBorder="1" applyAlignment="1">
      <alignment horizontal="center"/>
    </xf>
    <xf numFmtId="0" fontId="42" fillId="48" borderId="77" xfId="0" applyFont="1" applyFill="1" applyBorder="1" applyAlignment="1">
      <alignment horizontal="center"/>
    </xf>
    <xf numFmtId="0" fontId="22" fillId="48" borderId="71" xfId="0" applyFont="1" applyFill="1" applyBorder="1" applyAlignment="1">
      <alignment horizontal="center" vertical="top" wrapText="1"/>
    </xf>
    <xf numFmtId="174" fontId="22" fillId="4" borderId="77" xfId="1" applyNumberFormat="1" applyFont="1" applyFill="1" applyBorder="1" applyAlignment="1">
      <alignment horizontal="center" vertical="top" wrapText="1"/>
    </xf>
    <xf numFmtId="0" fontId="42" fillId="4" borderId="77" xfId="0" applyFont="1" applyFill="1" applyBorder="1" applyAlignment="1">
      <alignment horizontal="right"/>
    </xf>
    <xf numFmtId="0" fontId="42" fillId="48" borderId="77" xfId="0" applyFont="1" applyFill="1" applyBorder="1" applyAlignment="1">
      <alignment horizontal="right"/>
    </xf>
    <xf numFmtId="164" fontId="42" fillId="48" borderId="0" xfId="0" applyNumberFormat="1" applyFont="1" applyFill="1"/>
    <xf numFmtId="0" fontId="42" fillId="48" borderId="0" xfId="0" applyFont="1" applyFill="1"/>
    <xf numFmtId="0" fontId="68" fillId="4" borderId="0" xfId="0" applyFont="1" applyFill="1"/>
    <xf numFmtId="175" fontId="68" fillId="4" borderId="0" xfId="0" applyNumberFormat="1" applyFont="1" applyFill="1"/>
    <xf numFmtId="179" fontId="42" fillId="4" borderId="0" xfId="0" applyNumberFormat="1" applyFont="1" applyFill="1"/>
    <xf numFmtId="0" fontId="42" fillId="46" borderId="77" xfId="0" applyFont="1" applyFill="1" applyBorder="1" applyAlignment="1">
      <alignment horizontal="center"/>
    </xf>
    <xf numFmtId="14" fontId="42" fillId="46" borderId="77" xfId="0" applyNumberFormat="1" applyFont="1" applyFill="1" applyBorder="1" applyAlignment="1">
      <alignment horizontal="center"/>
    </xf>
    <xf numFmtId="0" fontId="42" fillId="46" borderId="77" xfId="0" applyFont="1" applyFill="1" applyBorder="1"/>
    <xf numFmtId="0" fontId="63" fillId="35" borderId="71" xfId="0" applyFont="1" applyFill="1" applyBorder="1" applyAlignment="1">
      <alignment horizontal="center" vertical="top" wrapText="1"/>
    </xf>
    <xf numFmtId="0" fontId="22" fillId="35" borderId="71" xfId="0" applyFont="1" applyFill="1" applyBorder="1" applyAlignment="1">
      <alignment horizontal="center" vertical="top" wrapText="1"/>
    </xf>
    <xf numFmtId="10" fontId="7" fillId="4" borderId="19" xfId="2" applyNumberFormat="1" applyFont="1" applyFill="1" applyBorder="1" applyAlignment="1">
      <alignment horizontal="center"/>
    </xf>
    <xf numFmtId="10" fontId="7" fillId="4" borderId="74" xfId="2" applyNumberFormat="1" applyFont="1" applyFill="1" applyBorder="1" applyAlignment="1">
      <alignment horizontal="center"/>
    </xf>
    <xf numFmtId="10" fontId="7" fillId="4" borderId="4" xfId="2" applyNumberFormat="1" applyFont="1" applyFill="1" applyBorder="1" applyAlignment="1">
      <alignment horizontal="center"/>
    </xf>
    <xf numFmtId="10" fontId="7" fillId="4" borderId="69" xfId="2" applyNumberFormat="1" applyFont="1" applyFill="1" applyBorder="1" applyAlignment="1">
      <alignment horizontal="center"/>
    </xf>
    <xf numFmtId="10" fontId="7" fillId="4" borderId="23" xfId="2" applyNumberFormat="1" applyFont="1" applyFill="1" applyBorder="1" applyAlignment="1">
      <alignment horizontal="center"/>
    </xf>
    <xf numFmtId="10" fontId="7" fillId="4" borderId="12" xfId="2" applyNumberFormat="1" applyFont="1" applyFill="1" applyBorder="1" applyAlignment="1">
      <alignment horizontal="center"/>
    </xf>
    <xf numFmtId="10" fontId="7" fillId="4" borderId="21" xfId="2" applyNumberFormat="1" applyFont="1" applyFill="1" applyBorder="1" applyAlignment="1">
      <alignment horizontal="center"/>
    </xf>
    <xf numFmtId="180" fontId="1" fillId="4" borderId="23" xfId="2" applyNumberFormat="1" applyFont="1" applyFill="1" applyBorder="1" applyAlignment="1">
      <alignment horizontal="center" vertical="center"/>
    </xf>
    <xf numFmtId="173" fontId="7" fillId="4" borderId="5" xfId="0" applyNumberFormat="1" applyFont="1" applyFill="1" applyBorder="1" applyAlignment="1">
      <alignment horizontal="center"/>
    </xf>
    <xf numFmtId="9" fontId="7" fillId="36" borderId="6" xfId="2" applyFont="1" applyFill="1" applyBorder="1" applyAlignment="1">
      <alignment horizontal="center"/>
    </xf>
    <xf numFmtId="9" fontId="7" fillId="36" borderId="51" xfId="2" applyFont="1" applyFill="1" applyBorder="1" applyAlignment="1">
      <alignment horizontal="center"/>
    </xf>
    <xf numFmtId="9" fontId="7" fillId="36" borderId="43" xfId="2" applyFont="1" applyFill="1" applyBorder="1" applyAlignment="1">
      <alignment horizontal="center"/>
    </xf>
    <xf numFmtId="9" fontId="35" fillId="34" borderId="45" xfId="2" applyFont="1" applyFill="1" applyBorder="1" applyAlignment="1">
      <alignment horizontal="center"/>
    </xf>
    <xf numFmtId="9" fontId="7" fillId="33" borderId="39" xfId="2" applyFont="1" applyFill="1" applyBorder="1" applyAlignment="1">
      <alignment horizontal="center"/>
    </xf>
    <xf numFmtId="9" fontId="7" fillId="33" borderId="51" xfId="2" applyFont="1" applyFill="1" applyBorder="1" applyAlignment="1">
      <alignment horizontal="center"/>
    </xf>
    <xf numFmtId="9" fontId="7" fillId="33" borderId="76" xfId="2" applyFont="1" applyFill="1" applyBorder="1" applyAlignment="1">
      <alignment horizontal="center"/>
    </xf>
    <xf numFmtId="9" fontId="35" fillId="34" borderId="7" xfId="2" applyFont="1" applyFill="1" applyBorder="1" applyAlignment="1">
      <alignment horizontal="center"/>
    </xf>
    <xf numFmtId="10" fontId="6" fillId="43" borderId="54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right" vertical="center"/>
    </xf>
    <xf numFmtId="164" fontId="35" fillId="4" borderId="77" xfId="0" applyNumberFormat="1" applyFont="1" applyFill="1" applyBorder="1" applyAlignment="1">
      <alignment horizontal="right" vertical="center"/>
    </xf>
    <xf numFmtId="0" fontId="0" fillId="0" borderId="23" xfId="0" applyNumberFormat="1" applyFont="1" applyBorder="1" applyAlignment="1">
      <alignment horizontal="right"/>
    </xf>
    <xf numFmtId="0" fontId="0" fillId="4" borderId="81" xfId="0" applyNumberFormat="1" applyFont="1" applyFill="1" applyBorder="1" applyAlignment="1">
      <alignment horizontal="right"/>
    </xf>
    <xf numFmtId="0" fontId="7" fillId="4" borderId="69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171" fontId="0" fillId="4" borderId="0" xfId="0" applyNumberFormat="1" applyFont="1" applyFill="1" applyAlignment="1">
      <alignment horizontal="center" vertical="center"/>
    </xf>
    <xf numFmtId="0" fontId="53" fillId="43" borderId="1" xfId="0" applyFont="1" applyFill="1" applyBorder="1" applyAlignment="1">
      <alignment horizontal="center" vertical="center"/>
    </xf>
    <xf numFmtId="0" fontId="53" fillId="43" borderId="54" xfId="0" applyFont="1" applyFill="1" applyBorder="1" applyAlignment="1">
      <alignment horizontal="center" vertical="center"/>
    </xf>
    <xf numFmtId="167" fontId="3" fillId="28" borderId="10" xfId="0" applyNumberFormat="1" applyFont="1" applyFill="1" applyBorder="1" applyAlignment="1">
      <alignment horizontal="center"/>
    </xf>
    <xf numFmtId="167" fontId="3" fillId="28" borderId="13" xfId="0" applyNumberFormat="1" applyFont="1" applyFill="1" applyBorder="1" applyAlignment="1">
      <alignment horizontal="center"/>
    </xf>
    <xf numFmtId="167" fontId="3" fillId="28" borderId="14" xfId="0" applyNumberFormat="1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41" xfId="0" applyFont="1" applyFill="1" applyBorder="1" applyAlignment="1">
      <alignment horizontal="center" vertical="center" wrapText="1"/>
    </xf>
    <xf numFmtId="0" fontId="3" fillId="28" borderId="22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42" xfId="0" applyFont="1" applyFill="1" applyBorder="1" applyAlignment="1">
      <alignment horizontal="center" vertical="center" wrapText="1"/>
    </xf>
    <xf numFmtId="0" fontId="53" fillId="43" borderId="18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7" fillId="27" borderId="82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7" fillId="27" borderId="73" xfId="0" applyFont="1" applyFill="1" applyBorder="1" applyAlignment="1">
      <alignment horizontal="center" vertical="center" wrapText="1"/>
    </xf>
    <xf numFmtId="0" fontId="7" fillId="27" borderId="46" xfId="0" applyFont="1" applyFill="1" applyBorder="1" applyAlignment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32" borderId="0" xfId="0" applyFont="1" applyFill="1" applyBorder="1" applyAlignment="1">
      <alignment horizontal="center"/>
    </xf>
    <xf numFmtId="0" fontId="7" fillId="27" borderId="5" xfId="0" applyFont="1" applyFill="1" applyBorder="1" applyAlignment="1">
      <alignment horizontal="center" vertical="center" wrapText="1"/>
    </xf>
    <xf numFmtId="168" fontId="38" fillId="32" borderId="0" xfId="0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19" xfId="0" applyFont="1" applyFill="1" applyBorder="1"/>
    <xf numFmtId="0" fontId="0" fillId="33" borderId="82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164" fontId="3" fillId="4" borderId="64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5" fillId="36" borderId="52" xfId="0" applyFont="1" applyFill="1" applyBorder="1" applyAlignment="1">
      <alignment horizontal="center" vertical="center"/>
    </xf>
    <xf numFmtId="0" fontId="35" fillId="36" borderId="66" xfId="0" applyFont="1" applyFill="1" applyBorder="1" applyAlignment="1">
      <alignment horizontal="center" vertical="center"/>
    </xf>
    <xf numFmtId="164" fontId="3" fillId="36" borderId="64" xfId="0" applyNumberFormat="1" applyFont="1" applyFill="1" applyBorder="1" applyAlignment="1">
      <alignment horizontal="center" vertical="center"/>
    </xf>
    <xf numFmtId="164" fontId="3" fillId="36" borderId="12" xfId="0" applyNumberFormat="1" applyFont="1" applyFill="1" applyBorder="1" applyAlignment="1">
      <alignment horizontal="center" vertical="center"/>
    </xf>
    <xf numFmtId="9" fontId="3" fillId="36" borderId="64" xfId="2" applyFont="1" applyFill="1" applyBorder="1" applyAlignment="1">
      <alignment horizontal="center" vertical="center"/>
    </xf>
    <xf numFmtId="9" fontId="3" fillId="36" borderId="12" xfId="2" applyFont="1" applyFill="1" applyBorder="1" applyAlignment="1">
      <alignment horizontal="center" vertical="center"/>
    </xf>
    <xf numFmtId="164" fontId="35" fillId="36" borderId="64" xfId="0" applyNumberFormat="1" applyFont="1" applyFill="1" applyBorder="1" applyAlignment="1">
      <alignment horizontal="center" vertical="center"/>
    </xf>
    <xf numFmtId="164" fontId="35" fillId="36" borderId="12" xfId="0" applyNumberFormat="1" applyFont="1" applyFill="1" applyBorder="1" applyAlignment="1">
      <alignment horizontal="center" vertical="center"/>
    </xf>
    <xf numFmtId="0" fontId="51" fillId="34" borderId="68" xfId="0" applyFont="1" applyFill="1" applyBorder="1" applyAlignment="1">
      <alignment horizontal="center" vertical="center" wrapText="1"/>
    </xf>
    <xf numFmtId="0" fontId="51" fillId="34" borderId="80" xfId="0" applyFont="1" applyFill="1" applyBorder="1" applyAlignment="1">
      <alignment horizontal="center" vertical="center" wrapText="1"/>
    </xf>
    <xf numFmtId="0" fontId="51" fillId="34" borderId="10" xfId="0" applyFont="1" applyFill="1" applyBorder="1" applyAlignment="1">
      <alignment horizontal="center" vertical="center" wrapText="1"/>
    </xf>
    <xf numFmtId="0" fontId="51" fillId="34" borderId="14" xfId="0" applyFont="1" applyFill="1" applyBorder="1" applyAlignment="1">
      <alignment horizontal="center" vertical="center" wrapText="1"/>
    </xf>
    <xf numFmtId="0" fontId="51" fillId="34" borderId="8" xfId="0" applyFont="1" applyFill="1" applyBorder="1" applyAlignment="1">
      <alignment horizontal="center" vertical="center" wrapText="1"/>
    </xf>
    <xf numFmtId="0" fontId="51" fillId="34" borderId="16" xfId="0" applyFont="1" applyFill="1" applyBorder="1" applyAlignment="1">
      <alignment horizontal="center" vertical="center" wrapText="1"/>
    </xf>
    <xf numFmtId="0" fontId="51" fillId="34" borderId="41" xfId="0" applyFont="1" applyFill="1" applyBorder="1" applyAlignment="1">
      <alignment horizontal="center" vertical="center" wrapText="1"/>
    </xf>
    <xf numFmtId="0" fontId="51" fillId="34" borderId="22" xfId="0" applyFont="1" applyFill="1" applyBorder="1" applyAlignment="1">
      <alignment horizontal="center" vertical="center" wrapText="1"/>
    </xf>
    <xf numFmtId="0" fontId="51" fillId="34" borderId="0" xfId="0" applyFont="1" applyFill="1" applyBorder="1" applyAlignment="1">
      <alignment horizontal="center" vertical="center" wrapText="1"/>
    </xf>
    <xf numFmtId="0" fontId="51" fillId="34" borderId="42" xfId="0" applyFont="1" applyFill="1" applyBorder="1" applyAlignment="1">
      <alignment horizontal="center" vertical="center" wrapText="1"/>
    </xf>
    <xf numFmtId="0" fontId="51" fillId="34" borderId="13" xfId="0" applyFont="1" applyFill="1" applyBorder="1" applyAlignment="1">
      <alignment horizontal="center" vertical="center" wrapText="1"/>
    </xf>
    <xf numFmtId="2" fontId="51" fillId="34" borderId="8" xfId="0" applyNumberFormat="1" applyFont="1" applyFill="1" applyBorder="1" applyAlignment="1">
      <alignment horizontal="center" vertical="center"/>
    </xf>
    <xf numFmtId="2" fontId="51" fillId="34" borderId="10" xfId="0" applyNumberFormat="1" applyFont="1" applyFill="1" applyBorder="1" applyAlignment="1">
      <alignment horizontal="center" vertical="center"/>
    </xf>
    <xf numFmtId="9" fontId="51" fillId="34" borderId="9" xfId="2" applyNumberFormat="1" applyFont="1" applyFill="1" applyBorder="1" applyAlignment="1">
      <alignment horizontal="center" vertical="center"/>
    </xf>
    <xf numFmtId="9" fontId="51" fillId="34" borderId="15" xfId="2" applyNumberFormat="1" applyFont="1" applyFill="1" applyBorder="1" applyAlignment="1">
      <alignment horizontal="center" vertical="center"/>
    </xf>
    <xf numFmtId="164" fontId="3" fillId="36" borderId="5" xfId="0" applyNumberFormat="1" applyFont="1" applyFill="1" applyBorder="1" applyAlignment="1">
      <alignment horizontal="center" vertical="center"/>
    </xf>
    <xf numFmtId="0" fontId="35" fillId="36" borderId="26" xfId="0" applyFont="1" applyFill="1" applyBorder="1" applyAlignment="1">
      <alignment horizontal="center" vertical="center"/>
    </xf>
    <xf numFmtId="164" fontId="35" fillId="36" borderId="5" xfId="0" applyNumberFormat="1" applyFont="1" applyFill="1" applyBorder="1" applyAlignment="1">
      <alignment horizontal="center" vertical="center"/>
    </xf>
    <xf numFmtId="10" fontId="3" fillId="36" borderId="5" xfId="2" applyNumberFormat="1" applyFont="1" applyFill="1" applyBorder="1" applyAlignment="1">
      <alignment horizontal="center" vertical="center"/>
    </xf>
    <xf numFmtId="10" fontId="3" fillId="36" borderId="12" xfId="2" applyNumberFormat="1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9" fontId="0" fillId="0" borderId="9" xfId="2" applyNumberFormat="1" applyFont="1" applyFill="1" applyBorder="1" applyAlignment="1">
      <alignment horizontal="center" vertical="center"/>
    </xf>
    <xf numFmtId="9" fontId="0" fillId="0" borderId="15" xfId="2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9" fontId="0" fillId="0" borderId="18" xfId="2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52" fillId="28" borderId="8" xfId="0" applyFont="1" applyFill="1" applyBorder="1" applyAlignment="1">
      <alignment horizontal="center" vertical="center" wrapText="1"/>
    </xf>
    <xf numFmtId="0" fontId="52" fillId="28" borderId="16" xfId="0" applyFont="1" applyFill="1" applyBorder="1" applyAlignment="1">
      <alignment horizontal="center" vertical="center" wrapText="1"/>
    </xf>
    <xf numFmtId="0" fontId="52" fillId="28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0" fillId="0" borderId="22" xfId="0" applyBorder="1" applyAlignment="1">
      <alignment vertical="center"/>
    </xf>
    <xf numFmtId="10" fontId="0" fillId="0" borderId="18" xfId="2" applyNumberFormat="1" applyFont="1" applyFill="1" applyBorder="1" applyAlignment="1">
      <alignment horizontal="center" vertical="center"/>
    </xf>
    <xf numFmtId="172" fontId="7" fillId="28" borderId="13" xfId="0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5" xfId="2" applyNumberFormat="1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54" fillId="27" borderId="75" xfId="0" applyFont="1" applyFill="1" applyBorder="1" applyAlignment="1">
      <alignment horizontal="center" vertical="center" wrapText="1"/>
    </xf>
    <xf numFmtId="0" fontId="54" fillId="27" borderId="27" xfId="0" applyFont="1" applyFill="1" applyBorder="1" applyAlignment="1">
      <alignment horizontal="center" vertical="center" wrapText="1"/>
    </xf>
    <xf numFmtId="0" fontId="54" fillId="27" borderId="49" xfId="0" applyFont="1" applyFill="1" applyBorder="1" applyAlignment="1">
      <alignment horizontal="center" vertical="center"/>
    </xf>
    <xf numFmtId="0" fontId="54" fillId="27" borderId="24" xfId="0" applyFont="1" applyFill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center" vertical="center"/>
    </xf>
    <xf numFmtId="164" fontId="7" fillId="4" borderId="83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82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9" fontId="7" fillId="4" borderId="82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0" fontId="35" fillId="4" borderId="79" xfId="0" applyFont="1" applyFill="1" applyBorder="1" applyAlignment="1">
      <alignment horizontal="center" vertical="center"/>
    </xf>
    <xf numFmtId="0" fontId="35" fillId="28" borderId="77" xfId="0" applyFont="1" applyFill="1" applyBorder="1" applyAlignment="1">
      <alignment horizontal="center" vertical="center"/>
    </xf>
    <xf numFmtId="0" fontId="35" fillId="28" borderId="79" xfId="0" applyFont="1" applyFill="1" applyBorder="1" applyAlignment="1">
      <alignment horizontal="center" vertical="center"/>
    </xf>
    <xf numFmtId="0" fontId="35" fillId="28" borderId="71" xfId="0" applyFont="1" applyFill="1" applyBorder="1" applyAlignment="1">
      <alignment horizontal="center" vertical="center"/>
    </xf>
    <xf numFmtId="164" fontId="0" fillId="4" borderId="82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83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9" fontId="1" fillId="0" borderId="23" xfId="2" applyFont="1" applyBorder="1" applyAlignment="1">
      <alignment horizontal="center" vertical="center"/>
    </xf>
    <xf numFmtId="9" fontId="1" fillId="0" borderId="82" xfId="2" applyFont="1" applyFill="1" applyBorder="1" applyAlignment="1">
      <alignment horizontal="center" vertical="center"/>
    </xf>
    <xf numFmtId="9" fontId="1" fillId="0" borderId="19" xfId="2" applyFont="1" applyFill="1" applyBorder="1" applyAlignment="1">
      <alignment horizontal="center" vertical="center"/>
    </xf>
    <xf numFmtId="9" fontId="1" fillId="0" borderId="82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169" fontId="58" fillId="34" borderId="82" xfId="0" applyNumberFormat="1" applyFont="1" applyFill="1" applyBorder="1" applyAlignment="1">
      <alignment horizontal="center" vertical="center"/>
    </xf>
    <xf numFmtId="169" fontId="58" fillId="34" borderId="19" xfId="0" applyNumberFormat="1" applyFont="1" applyFill="1" applyBorder="1" applyAlignment="1">
      <alignment horizontal="center" vertical="center"/>
    </xf>
    <xf numFmtId="1" fontId="58" fillId="34" borderId="79" xfId="0" applyNumberFormat="1" applyFont="1" applyFill="1" applyBorder="1" applyAlignment="1">
      <alignment horizontal="center" vertical="center"/>
    </xf>
    <xf numFmtId="1" fontId="58" fillId="34" borderId="78" xfId="0" applyNumberFormat="1" applyFont="1" applyFill="1" applyBorder="1" applyAlignment="1">
      <alignment horizontal="center" vertical="center"/>
    </xf>
    <xf numFmtId="1" fontId="58" fillId="34" borderId="47" xfId="0" applyNumberFormat="1" applyFont="1" applyFill="1" applyBorder="1" applyAlignment="1">
      <alignment horizontal="center" vertical="center"/>
    </xf>
    <xf numFmtId="1" fontId="58" fillId="34" borderId="84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/>
    </xf>
    <xf numFmtId="164" fontId="58" fillId="34" borderId="82" xfId="0" applyNumberFormat="1" applyFont="1" applyFill="1" applyBorder="1" applyAlignment="1">
      <alignment horizontal="center" vertical="center"/>
    </xf>
    <xf numFmtId="164" fontId="58" fillId="34" borderId="19" xfId="0" applyNumberFormat="1" applyFont="1" applyFill="1" applyBorder="1" applyAlignment="1">
      <alignment horizontal="center" vertical="center"/>
    </xf>
    <xf numFmtId="164" fontId="58" fillId="34" borderId="82" xfId="0" applyNumberFormat="1" applyFont="1" applyFill="1" applyBorder="1" applyAlignment="1">
      <alignment horizontal="center" vertical="center" wrapText="1"/>
    </xf>
    <xf numFmtId="0" fontId="58" fillId="34" borderId="19" xfId="0" applyFont="1" applyFill="1" applyBorder="1" applyAlignment="1">
      <alignment horizontal="center" vertical="center" wrapText="1"/>
    </xf>
    <xf numFmtId="0" fontId="62" fillId="37" borderId="82" xfId="0" applyFont="1" applyFill="1" applyBorder="1" applyAlignment="1">
      <alignment horizontal="center" vertical="center"/>
    </xf>
    <xf numFmtId="0" fontId="62" fillId="37" borderId="23" xfId="0" applyFont="1" applyFill="1" applyBorder="1" applyAlignment="1">
      <alignment horizontal="center" vertical="center"/>
    </xf>
    <xf numFmtId="9" fontId="1" fillId="0" borderId="23" xfId="2" applyFont="1" applyFill="1" applyBorder="1" applyAlignment="1">
      <alignment horizontal="center" vertical="center"/>
    </xf>
    <xf numFmtId="0" fontId="62" fillId="37" borderId="19" xfId="0" applyFont="1" applyFill="1" applyBorder="1" applyAlignment="1">
      <alignment horizontal="center" vertical="center"/>
    </xf>
    <xf numFmtId="0" fontId="7" fillId="37" borderId="82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61" fillId="34" borderId="25" xfId="0" applyFont="1" applyFill="1" applyBorder="1" applyAlignment="1">
      <alignment horizontal="center" vertical="center" textRotation="90"/>
    </xf>
    <xf numFmtId="0" fontId="58" fillId="34" borderId="82" xfId="27279" applyFont="1" applyFill="1" applyBorder="1" applyAlignment="1">
      <alignment horizontal="center" vertical="center" wrapText="1"/>
    </xf>
    <xf numFmtId="0" fontId="58" fillId="34" borderId="19" xfId="27279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41" fillId="35" borderId="71" xfId="42097" applyFont="1" applyFill="1" applyBorder="1" applyAlignment="1">
      <alignment horizontal="center" vertical="center" wrapText="1"/>
    </xf>
    <xf numFmtId="0" fontId="41" fillId="35" borderId="86" xfId="42097" applyFont="1" applyFill="1" applyBorder="1" applyAlignment="1">
      <alignment horizontal="center" vertical="center" wrapText="1"/>
    </xf>
    <xf numFmtId="0" fontId="41" fillId="35" borderId="79" xfId="42097" applyFont="1" applyFill="1" applyBorder="1" applyAlignment="1">
      <alignment horizontal="center" vertical="center" wrapText="1"/>
    </xf>
    <xf numFmtId="0" fontId="3" fillId="42" borderId="77" xfId="0" applyFont="1" applyFill="1" applyBorder="1" applyAlignment="1">
      <alignment horizontal="center"/>
    </xf>
    <xf numFmtId="0" fontId="64" fillId="4" borderId="84" xfId="0" applyFont="1" applyFill="1" applyBorder="1" applyAlignment="1">
      <alignment horizontal="center" vertical="center"/>
    </xf>
    <xf numFmtId="0" fontId="64" fillId="4" borderId="21" xfId="0" applyFont="1" applyFill="1" applyBorder="1" applyAlignment="1">
      <alignment horizontal="center" vertical="center"/>
    </xf>
    <xf numFmtId="0" fontId="64" fillId="39" borderId="82" xfId="0" applyFont="1" applyFill="1" applyBorder="1" applyAlignment="1">
      <alignment horizontal="center" vertical="center"/>
    </xf>
    <xf numFmtId="0" fontId="64" fillId="39" borderId="19" xfId="0" applyFont="1" applyFill="1" applyBorder="1" applyAlignment="1">
      <alignment horizontal="center" vertical="center"/>
    </xf>
    <xf numFmtId="0" fontId="64" fillId="39" borderId="77" xfId="0" applyFont="1" applyFill="1" applyBorder="1" applyAlignment="1">
      <alignment horizontal="center" vertical="center"/>
    </xf>
    <xf numFmtId="164" fontId="64" fillId="35" borderId="82" xfId="0" applyNumberFormat="1" applyFont="1" applyFill="1" applyBorder="1" applyAlignment="1">
      <alignment horizontal="center" vertical="center" wrapText="1"/>
    </xf>
    <xf numFmtId="164" fontId="64" fillId="35" borderId="19" xfId="0" applyNumberFormat="1" applyFont="1" applyFill="1" applyBorder="1" applyAlignment="1">
      <alignment horizontal="center" vertical="center" wrapText="1"/>
    </xf>
    <xf numFmtId="0" fontId="59" fillId="35" borderId="84" xfId="0" applyFont="1" applyFill="1" applyBorder="1" applyAlignment="1">
      <alignment horizontal="center" vertical="center"/>
    </xf>
    <xf numFmtId="0" fontId="59" fillId="35" borderId="78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47" xfId="0" applyFont="1" applyFill="1" applyBorder="1" applyAlignment="1">
      <alignment horizontal="center" vertical="center"/>
    </xf>
    <xf numFmtId="0" fontId="59" fillId="48" borderId="84" xfId="0" applyFont="1" applyFill="1" applyBorder="1" applyAlignment="1">
      <alignment horizontal="center" vertical="center"/>
    </xf>
    <xf numFmtId="0" fontId="59" fillId="48" borderId="78" xfId="0" applyFont="1" applyFill="1" applyBorder="1" applyAlignment="1">
      <alignment horizontal="center" vertical="center"/>
    </xf>
    <xf numFmtId="0" fontId="59" fillId="48" borderId="21" xfId="0" applyFont="1" applyFill="1" applyBorder="1" applyAlignment="1">
      <alignment horizontal="center" vertical="center"/>
    </xf>
    <xf numFmtId="0" fontId="59" fillId="48" borderId="47" xfId="0" applyFont="1" applyFill="1" applyBorder="1" applyAlignment="1">
      <alignment horizontal="center" vertical="center"/>
    </xf>
    <xf numFmtId="175" fontId="64" fillId="4" borderId="84" xfId="0" applyNumberFormat="1" applyFont="1" applyFill="1" applyBorder="1" applyAlignment="1">
      <alignment horizontal="center" vertical="center"/>
    </xf>
    <xf numFmtId="175" fontId="64" fillId="4" borderId="21" xfId="0" applyNumberFormat="1" applyFont="1" applyFill="1" applyBorder="1" applyAlignment="1">
      <alignment horizontal="center" vertical="center"/>
    </xf>
    <xf numFmtId="0" fontId="64" fillId="31" borderId="77" xfId="0" applyFont="1" applyFill="1" applyBorder="1" applyAlignment="1">
      <alignment horizontal="center" vertical="center"/>
    </xf>
    <xf numFmtId="164" fontId="42" fillId="31" borderId="82" xfId="0" applyNumberFormat="1" applyFont="1" applyFill="1" applyBorder="1" applyAlignment="1">
      <alignment horizontal="center" vertical="center" wrapText="1"/>
    </xf>
    <xf numFmtId="164" fontId="42" fillId="31" borderId="19" xfId="0" applyNumberFormat="1" applyFont="1" applyFill="1" applyBorder="1" applyAlignment="1">
      <alignment horizontal="center" vertical="center" wrapText="1"/>
    </xf>
    <xf numFmtId="175" fontId="42" fillId="35" borderId="82" xfId="0" applyNumberFormat="1" applyFont="1" applyFill="1" applyBorder="1" applyAlignment="1">
      <alignment horizontal="center" vertical="center" wrapText="1"/>
    </xf>
    <xf numFmtId="175" fontId="42" fillId="35" borderId="19" xfId="0" applyNumberFormat="1" applyFont="1" applyFill="1" applyBorder="1" applyAlignment="1">
      <alignment horizontal="center" vertical="center" wrapText="1"/>
    </xf>
    <xf numFmtId="0" fontId="57" fillId="38" borderId="71" xfId="0" applyFont="1" applyFill="1" applyBorder="1" applyAlignment="1">
      <alignment horizontal="center" vertical="center" wrapText="1"/>
    </xf>
    <xf numFmtId="0" fontId="57" fillId="38" borderId="79" xfId="0" applyFont="1" applyFill="1" applyBorder="1" applyAlignment="1">
      <alignment horizontal="center" vertical="center" wrapText="1"/>
    </xf>
    <xf numFmtId="0" fontId="59" fillId="46" borderId="84" xfId="0" applyFont="1" applyFill="1" applyBorder="1" applyAlignment="1">
      <alignment horizontal="center" vertical="center"/>
    </xf>
    <xf numFmtId="0" fontId="59" fillId="46" borderId="78" xfId="0" applyFont="1" applyFill="1" applyBorder="1" applyAlignment="1">
      <alignment horizontal="center" vertical="center"/>
    </xf>
    <xf numFmtId="0" fontId="59" fillId="46" borderId="21" xfId="0" applyFont="1" applyFill="1" applyBorder="1" applyAlignment="1">
      <alignment horizontal="center" vertical="center"/>
    </xf>
    <xf numFmtId="0" fontId="59" fillId="46" borderId="47" xfId="0" applyFont="1" applyFill="1" applyBorder="1" applyAlignment="1">
      <alignment horizontal="center" vertical="center"/>
    </xf>
    <xf numFmtId="0" fontId="59" fillId="48" borderId="77" xfId="0" applyFont="1" applyFill="1" applyBorder="1" applyAlignment="1">
      <alignment horizontal="center" vertical="center"/>
    </xf>
    <xf numFmtId="164" fontId="42" fillId="31" borderId="77" xfId="0" applyNumberFormat="1" applyFont="1" applyFill="1" applyBorder="1" applyAlignment="1">
      <alignment horizontal="center" vertical="center" wrapText="1"/>
    </xf>
    <xf numFmtId="175" fontId="42" fillId="35" borderId="77" xfId="0" applyNumberFormat="1" applyFont="1" applyFill="1" applyBorder="1" applyAlignment="1">
      <alignment horizontal="center" vertical="center" wrapText="1"/>
    </xf>
    <xf numFmtId="164" fontId="64" fillId="35" borderId="77" xfId="0" applyNumberFormat="1" applyFont="1" applyFill="1" applyBorder="1" applyAlignment="1">
      <alignment horizontal="center" vertical="center" wrapText="1"/>
    </xf>
    <xf numFmtId="0" fontId="50" fillId="60" borderId="71" xfId="0" applyFont="1" applyFill="1" applyBorder="1" applyAlignment="1">
      <alignment horizontal="center" vertical="center"/>
    </xf>
    <xf numFmtId="0" fontId="50" fillId="60" borderId="72" xfId="0" applyFont="1" applyFill="1" applyBorder="1" applyAlignment="1">
      <alignment horizontal="center" vertical="center"/>
    </xf>
    <xf numFmtId="0" fontId="50" fillId="60" borderId="79" xfId="0" applyFont="1" applyFill="1" applyBorder="1" applyAlignment="1">
      <alignment horizontal="center" vertical="center"/>
    </xf>
    <xf numFmtId="175" fontId="22" fillId="35" borderId="82" xfId="0" applyNumberFormat="1" applyFont="1" applyFill="1" applyBorder="1" applyAlignment="1">
      <alignment horizontal="center" vertical="center" wrapText="1"/>
    </xf>
    <xf numFmtId="175" fontId="22" fillId="35" borderId="19" xfId="0" applyNumberFormat="1" applyFont="1" applyFill="1" applyBorder="1" applyAlignment="1">
      <alignment horizontal="center" vertical="center" wrapText="1"/>
    </xf>
    <xf numFmtId="164" fontId="22" fillId="31" borderId="82" xfId="0" applyNumberFormat="1" applyFont="1" applyFill="1" applyBorder="1" applyAlignment="1">
      <alignment horizontal="center" vertical="center" wrapText="1"/>
    </xf>
    <xf numFmtId="164" fontId="22" fillId="31" borderId="19" xfId="0" applyNumberFormat="1" applyFont="1" applyFill="1" applyBorder="1" applyAlignment="1">
      <alignment horizontal="center" vertical="center" wrapText="1"/>
    </xf>
    <xf numFmtId="0" fontId="48" fillId="53" borderId="71" xfId="0" applyFont="1" applyFill="1" applyBorder="1" applyAlignment="1">
      <alignment horizontal="center" vertical="center"/>
    </xf>
    <xf numFmtId="0" fontId="48" fillId="53" borderId="72" xfId="0" applyFont="1" applyFill="1" applyBorder="1" applyAlignment="1">
      <alignment horizontal="center" vertical="center"/>
    </xf>
    <xf numFmtId="0" fontId="48" fillId="53" borderId="79" xfId="0" applyFont="1" applyFill="1" applyBorder="1" applyAlignment="1">
      <alignment horizontal="center" vertical="center"/>
    </xf>
    <xf numFmtId="0" fontId="48" fillId="54" borderId="77" xfId="0" applyFont="1" applyFill="1" applyBorder="1" applyAlignment="1">
      <alignment horizontal="center" vertical="center"/>
    </xf>
    <xf numFmtId="0" fontId="50" fillId="54" borderId="71" xfId="0" applyFont="1" applyFill="1" applyBorder="1" applyAlignment="1">
      <alignment horizontal="center" vertical="center" wrapText="1"/>
    </xf>
    <xf numFmtId="0" fontId="50" fillId="54" borderId="86" xfId="0" applyFont="1" applyFill="1" applyBorder="1" applyAlignment="1">
      <alignment horizontal="center" vertical="center" wrapText="1"/>
    </xf>
    <xf numFmtId="0" fontId="50" fillId="54" borderId="79" xfId="0" applyFont="1" applyFill="1" applyBorder="1" applyAlignment="1">
      <alignment horizontal="center" vertical="center" wrapText="1"/>
    </xf>
    <xf numFmtId="0" fontId="50" fillId="53" borderId="71" xfId="0" applyFont="1" applyFill="1" applyBorder="1" applyAlignment="1">
      <alignment horizontal="center" vertical="center" wrapText="1"/>
    </xf>
    <xf numFmtId="0" fontId="50" fillId="53" borderId="72" xfId="0" applyFont="1" applyFill="1" applyBorder="1" applyAlignment="1">
      <alignment horizontal="center" vertical="center" wrapText="1"/>
    </xf>
    <xf numFmtId="0" fontId="50" fillId="53" borderId="79" xfId="0" applyFont="1" applyFill="1" applyBorder="1" applyAlignment="1">
      <alignment horizontal="center" vertical="center" wrapText="1"/>
    </xf>
    <xf numFmtId="0" fontId="22" fillId="62" borderId="71" xfId="0" applyFont="1" applyFill="1" applyBorder="1" applyAlignment="1">
      <alignment horizontal="left" vertical="center" wrapText="1"/>
    </xf>
    <xf numFmtId="0" fontId="22" fillId="62" borderId="72" xfId="0" applyFont="1" applyFill="1" applyBorder="1" applyAlignment="1">
      <alignment horizontal="left" vertical="center" wrapText="1"/>
    </xf>
    <xf numFmtId="0" fontId="22" fillId="62" borderId="79" xfId="0" applyFont="1" applyFill="1" applyBorder="1" applyAlignment="1">
      <alignment horizontal="left" vertical="center" wrapText="1"/>
    </xf>
    <xf numFmtId="0" fontId="49" fillId="4" borderId="71" xfId="0" applyFont="1" applyFill="1" applyBorder="1" applyAlignment="1">
      <alignment horizontal="left" vertical="center" wrapText="1"/>
    </xf>
    <xf numFmtId="0" fontId="49" fillId="4" borderId="72" xfId="0" applyFont="1" applyFill="1" applyBorder="1" applyAlignment="1">
      <alignment horizontal="left" vertical="center" wrapText="1"/>
    </xf>
    <xf numFmtId="0" fontId="49" fillId="4" borderId="79" xfId="0" applyFont="1" applyFill="1" applyBorder="1" applyAlignment="1">
      <alignment horizontal="left" vertical="center" wrapText="1"/>
    </xf>
    <xf numFmtId="0" fontId="49" fillId="35" borderId="71" xfId="0" applyFont="1" applyFill="1" applyBorder="1" applyAlignment="1">
      <alignment horizontal="left" vertical="center" wrapText="1"/>
    </xf>
    <xf numFmtId="0" fontId="49" fillId="35" borderId="72" xfId="0" applyFont="1" applyFill="1" applyBorder="1" applyAlignment="1">
      <alignment horizontal="left" vertical="center" wrapText="1"/>
    </xf>
    <xf numFmtId="0" fontId="49" fillId="35" borderId="79" xfId="0" applyFont="1" applyFill="1" applyBorder="1" applyAlignment="1">
      <alignment horizontal="left" vertical="center" wrapText="1"/>
    </xf>
    <xf numFmtId="0" fontId="49" fillId="46" borderId="71" xfId="0" applyFont="1" applyFill="1" applyBorder="1" applyAlignment="1">
      <alignment horizontal="left" vertical="center" wrapText="1"/>
    </xf>
    <xf numFmtId="0" fontId="49" fillId="46" borderId="72" xfId="0" applyFont="1" applyFill="1" applyBorder="1" applyAlignment="1">
      <alignment horizontal="left" vertical="center" wrapText="1"/>
    </xf>
    <xf numFmtId="0" fontId="49" fillId="46" borderId="79" xfId="0" applyFont="1" applyFill="1" applyBorder="1" applyAlignment="1">
      <alignment horizontal="left" vertical="center" wrapText="1"/>
    </xf>
    <xf numFmtId="0" fontId="49" fillId="46" borderId="77" xfId="0" applyFont="1" applyFill="1" applyBorder="1" applyAlignment="1">
      <alignment horizontal="center" vertical="center" wrapText="1"/>
    </xf>
    <xf numFmtId="10" fontId="58" fillId="34" borderId="82" xfId="2" applyNumberFormat="1" applyFont="1" applyFill="1" applyBorder="1" applyAlignment="1">
      <alignment horizontal="center" vertical="center"/>
    </xf>
    <xf numFmtId="10" fontId="58" fillId="34" borderId="19" xfId="2" applyNumberFormat="1" applyFont="1" applyFill="1" applyBorder="1" applyAlignment="1">
      <alignment horizontal="center" vertical="center"/>
    </xf>
  </cellXfs>
  <cellStyles count="42098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Pesca Investigacion-Fauna Acomp" xfId="42097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" xfId="2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E7EE"/>
      <color rgb="FF74DFF4"/>
      <color rgb="FFCC00FF"/>
      <color rgb="FFFE8CEE"/>
      <color rgb="FFCCCCFF"/>
      <color rgb="FFFFFF99"/>
      <color rgb="FFE1B1DE"/>
      <color rgb="FF66FFCC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706</xdr:rowOff>
    </xdr:from>
    <xdr:to>
      <xdr:col>1</xdr:col>
      <xdr:colOff>1104900</xdr:colOff>
      <xdr:row>3</xdr:row>
      <xdr:rowOff>142875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91206"/>
          <a:ext cx="1162050" cy="589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75178</xdr:rowOff>
    </xdr:from>
    <xdr:to>
      <xdr:col>1</xdr:col>
      <xdr:colOff>1463788</xdr:colOff>
      <xdr:row>2</xdr:row>
      <xdr:rowOff>128473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920" y="253772"/>
          <a:ext cx="1259681" cy="44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</xdr:colOff>
      <xdr:row>1</xdr:row>
      <xdr:rowOff>22202</xdr:rowOff>
    </xdr:from>
    <xdr:to>
      <xdr:col>1</xdr:col>
      <xdr:colOff>1182806</xdr:colOff>
      <xdr:row>2</xdr:row>
      <xdr:rowOff>89812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434" y="215545"/>
          <a:ext cx="1171432" cy="40997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38855</xdr:colOff>
      <xdr:row>1</xdr:row>
      <xdr:rowOff>30783</xdr:rowOff>
    </xdr:from>
    <xdr:to>
      <xdr:col>1</xdr:col>
      <xdr:colOff>467133</xdr:colOff>
      <xdr:row>3</xdr:row>
      <xdr:rowOff>170330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55" y="214714"/>
          <a:ext cx="1636968" cy="67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ban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I24"/>
  <sheetViews>
    <sheetView zoomScale="80" zoomScaleNormal="80" workbookViewId="0">
      <selection activeCell="H25" sqref="H25"/>
    </sheetView>
  </sheetViews>
  <sheetFormatPr baseColWidth="10" defaultColWidth="11.5703125" defaultRowHeight="15"/>
  <cols>
    <col min="1" max="1" width="7.5703125" style="231" customWidth="1"/>
    <col min="2" max="2" width="24.140625" style="200" customWidth="1"/>
    <col min="3" max="3" width="46" style="200" customWidth="1"/>
    <col min="4" max="4" width="13.28515625" style="200" customWidth="1"/>
    <col min="5" max="5" width="14.140625" style="200" customWidth="1"/>
    <col min="6" max="6" width="15.42578125" style="200" customWidth="1"/>
    <col min="7" max="7" width="16.7109375" style="200" customWidth="1"/>
    <col min="8" max="8" width="11.5703125" style="200"/>
    <col min="9" max="9" width="15.140625" style="200" customWidth="1"/>
    <col min="10" max="11" width="10.85546875" style="200" customWidth="1"/>
    <col min="12" max="16384" width="11.5703125" style="200"/>
  </cols>
  <sheetData>
    <row r="1" spans="2:9" ht="15.75" thickBot="1"/>
    <row r="2" spans="2:9" ht="20.45" customHeight="1">
      <c r="B2" s="442" t="s">
        <v>140</v>
      </c>
      <c r="C2" s="443"/>
      <c r="D2" s="443"/>
      <c r="E2" s="443"/>
      <c r="F2" s="443"/>
      <c r="G2" s="443"/>
      <c r="H2" s="443"/>
      <c r="I2" s="444"/>
    </row>
    <row r="3" spans="2:9" ht="15" customHeight="1">
      <c r="B3" s="445" t="s">
        <v>139</v>
      </c>
      <c r="C3" s="446"/>
      <c r="D3" s="446"/>
      <c r="E3" s="446"/>
      <c r="F3" s="446"/>
      <c r="G3" s="446"/>
      <c r="H3" s="446"/>
      <c r="I3" s="447"/>
    </row>
    <row r="4" spans="2:9" ht="15.75" thickBot="1">
      <c r="B4" s="439">
        <v>43803</v>
      </c>
      <c r="C4" s="440"/>
      <c r="D4" s="440"/>
      <c r="E4" s="440"/>
      <c r="F4" s="440"/>
      <c r="G4" s="440"/>
      <c r="H4" s="440"/>
      <c r="I4" s="441"/>
    </row>
    <row r="6" spans="2:9" ht="31.9" customHeight="1" thickBot="1">
      <c r="B6" s="95" t="s">
        <v>47</v>
      </c>
      <c r="C6" s="96" t="s">
        <v>102</v>
      </c>
      <c r="D6" s="96" t="s">
        <v>22</v>
      </c>
      <c r="E6" s="96" t="s">
        <v>4</v>
      </c>
      <c r="F6" s="96" t="s">
        <v>5</v>
      </c>
      <c r="G6" s="96" t="s">
        <v>6</v>
      </c>
      <c r="H6" s="96" t="s">
        <v>7</v>
      </c>
      <c r="I6" s="96" t="s">
        <v>27</v>
      </c>
    </row>
    <row r="7" spans="2:9" ht="16.350000000000001" customHeight="1">
      <c r="B7" s="448" t="s">
        <v>64</v>
      </c>
      <c r="C7" s="21" t="s">
        <v>43</v>
      </c>
      <c r="D7" s="22">
        <f>'Resumen periodo'!E7+'Resumen periodo'!E8</f>
        <v>5</v>
      </c>
      <c r="E7" s="90">
        <f>'Resumen periodo'!F7+'Resumen periodo'!F8</f>
        <v>0</v>
      </c>
      <c r="F7" s="22">
        <f>D7+E7</f>
        <v>5</v>
      </c>
      <c r="G7" s="31">
        <f>'Resumen periodo'!H7+'Resumen periodo'!H8</f>
        <v>0</v>
      </c>
      <c r="H7" s="22">
        <f>F7-G7</f>
        <v>5</v>
      </c>
      <c r="I7" s="421">
        <f>G7/F7</f>
        <v>0</v>
      </c>
    </row>
    <row r="8" spans="2:9">
      <c r="B8" s="448"/>
      <c r="C8" s="23" t="s">
        <v>42</v>
      </c>
      <c r="D8" s="24">
        <f>'Resumen periodo'!E9+'Resumen periodo'!E10</f>
        <v>20</v>
      </c>
      <c r="E8" s="91">
        <f>'Resumen periodo'!F9+'Resumen periodo'!F10</f>
        <v>0</v>
      </c>
      <c r="F8" s="24">
        <f t="shared" ref="F8:F21" si="0">D8+E8</f>
        <v>20</v>
      </c>
      <c r="G8" s="32">
        <f>'Resumen periodo'!H8+'Resumen periodo'!H9</f>
        <v>0</v>
      </c>
      <c r="H8" s="24">
        <f t="shared" ref="H8:H23" si="1">F8-G8</f>
        <v>20</v>
      </c>
      <c r="I8" s="422">
        <f t="shared" ref="I8:I23" si="2">G8/F8</f>
        <v>0</v>
      </c>
    </row>
    <row r="9" spans="2:9">
      <c r="B9" s="448"/>
      <c r="C9" s="23" t="s">
        <v>74</v>
      </c>
      <c r="D9" s="24">
        <f>'Resumen periodo'!E11+'Resumen periodo'!E12</f>
        <v>758</v>
      </c>
      <c r="E9" s="352">
        <f>'Resumen periodo'!F11</f>
        <v>-21.981999999999999</v>
      </c>
      <c r="F9" s="24">
        <f>D9+E9</f>
        <v>736.01800000000003</v>
      </c>
      <c r="G9" s="32">
        <f>'Resumen periodo'!$H$11+'Resumen periodo'!$H$12</f>
        <v>445</v>
      </c>
      <c r="H9" s="24">
        <f t="shared" si="1"/>
        <v>291.01800000000003</v>
      </c>
      <c r="I9" s="422">
        <f t="shared" si="2"/>
        <v>0.60460477868747775</v>
      </c>
    </row>
    <row r="10" spans="2:9">
      <c r="B10" s="448"/>
      <c r="C10" s="23" t="s">
        <v>41</v>
      </c>
      <c r="D10" s="24">
        <f>'Resumen periodo'!E13+'Resumen periodo'!E14+'Resumen periodo'!E15</f>
        <v>578</v>
      </c>
      <c r="E10" s="4">
        <f>'Resumen periodo'!F13+'Resumen periodo'!F14+'Resumen periodo'!F15</f>
        <v>0</v>
      </c>
      <c r="F10" s="24">
        <f t="shared" si="0"/>
        <v>578</v>
      </c>
      <c r="G10" s="32">
        <f>'Resumen periodo'!$H$13+'Resumen periodo'!$H$14+'Resumen periodo'!$H$15</f>
        <v>578.45000000000005</v>
      </c>
      <c r="H10" s="97">
        <f t="shared" si="1"/>
        <v>-0.45000000000004547</v>
      </c>
      <c r="I10" s="422">
        <f t="shared" si="2"/>
        <v>1.0007785467128028</v>
      </c>
    </row>
    <row r="11" spans="2:9">
      <c r="B11" s="448"/>
      <c r="C11" s="23" t="s">
        <v>40</v>
      </c>
      <c r="D11" s="24">
        <f>'Resumen periodo'!E16+'Resumen periodo'!E17</f>
        <v>6</v>
      </c>
      <c r="E11" s="4">
        <f>'Resumen periodo'!F16+'Resumen periodo'!F17</f>
        <v>0</v>
      </c>
      <c r="F11" s="24">
        <f t="shared" si="0"/>
        <v>6</v>
      </c>
      <c r="G11" s="32">
        <f>'Resumen periodo'!$H$16+'Resumen periodo'!$H$17</f>
        <v>0</v>
      </c>
      <c r="H11" s="24">
        <f t="shared" si="1"/>
        <v>6</v>
      </c>
      <c r="I11" s="422">
        <f t="shared" si="2"/>
        <v>0</v>
      </c>
    </row>
    <row r="12" spans="2:9">
      <c r="B12" s="448"/>
      <c r="C12" s="23" t="s">
        <v>39</v>
      </c>
      <c r="D12" s="24">
        <f>'Resumen periodo'!E18+'Resumen periodo'!E19</f>
        <v>6</v>
      </c>
      <c r="E12" s="4">
        <f>'Resumen periodo'!F18+'Resumen periodo'!F19</f>
        <v>0</v>
      </c>
      <c r="F12" s="24">
        <f t="shared" si="0"/>
        <v>6</v>
      </c>
      <c r="G12" s="32">
        <f>'Resumen periodo'!H18+'Resumen periodo'!H19</f>
        <v>0</v>
      </c>
      <c r="H12" s="24">
        <f t="shared" si="1"/>
        <v>6</v>
      </c>
      <c r="I12" s="422">
        <f t="shared" si="2"/>
        <v>0</v>
      </c>
    </row>
    <row r="13" spans="2:9">
      <c r="B13" s="448"/>
      <c r="C13" s="25" t="s">
        <v>38</v>
      </c>
      <c r="D13" s="26">
        <f>'Resumen periodo'!E20+'Resumen periodo'!E21</f>
        <v>6</v>
      </c>
      <c r="E13" s="5">
        <f>'Resumen periodo'!F20+'Resumen periodo'!F21</f>
        <v>0</v>
      </c>
      <c r="F13" s="26">
        <f t="shared" si="0"/>
        <v>6</v>
      </c>
      <c r="G13" s="38">
        <f>'Resumen periodo'!$H$20+'Resumen periodo'!$H$21</f>
        <v>0</v>
      </c>
      <c r="H13" s="26">
        <f t="shared" si="1"/>
        <v>6</v>
      </c>
      <c r="I13" s="423">
        <f t="shared" si="2"/>
        <v>0</v>
      </c>
    </row>
    <row r="14" spans="2:9" ht="15.75" thickBot="1">
      <c r="B14" s="448"/>
      <c r="C14" s="360" t="s">
        <v>137</v>
      </c>
      <c r="D14" s="26">
        <f>'Resumen periodo'!E22</f>
        <v>25</v>
      </c>
      <c r="E14" s="5">
        <f>'Resumen periodo'!F22</f>
        <v>0</v>
      </c>
      <c r="F14" s="26">
        <f t="shared" si="0"/>
        <v>25</v>
      </c>
      <c r="G14" s="38">
        <v>0.83899999999999997</v>
      </c>
      <c r="H14" s="26">
        <f t="shared" si="1"/>
        <v>24.161000000000001</v>
      </c>
      <c r="I14" s="423">
        <f t="shared" si="2"/>
        <v>3.356E-2</v>
      </c>
    </row>
    <row r="15" spans="2:9" ht="15.75" thickBot="1">
      <c r="B15" s="448"/>
      <c r="C15" s="92" t="s">
        <v>136</v>
      </c>
      <c r="D15" s="93">
        <f>SUM(D7:D14)</f>
        <v>1404</v>
      </c>
      <c r="E15" s="93">
        <f>SUM(E7:E14)</f>
        <v>-21.981999999999999</v>
      </c>
      <c r="F15" s="93">
        <f t="shared" ref="F15" si="3">D15+E15</f>
        <v>1382.018</v>
      </c>
      <c r="G15" s="93">
        <f>SUM(G7:G14)</f>
        <v>1024.289</v>
      </c>
      <c r="H15" s="93">
        <f t="shared" ref="H15" si="4">F15-G15</f>
        <v>357.72900000000004</v>
      </c>
      <c r="I15" s="424">
        <f>G15/F15</f>
        <v>0.74115460145960466</v>
      </c>
    </row>
    <row r="16" spans="2:9">
      <c r="B16" s="448"/>
      <c r="C16" s="27" t="s">
        <v>51</v>
      </c>
      <c r="D16" s="28">
        <f>+'Resumen periodo'!E23+'Resumen periodo'!E24</f>
        <v>46.999985899999992</v>
      </c>
      <c r="E16" s="348">
        <f>+'Resumen periodo'!F23+'Resumen periodo'!F24</f>
        <v>0</v>
      </c>
      <c r="F16" s="28">
        <f>D16+E16</f>
        <v>46.999985899999992</v>
      </c>
      <c r="G16" s="94">
        <f>+'Resumen periodo'!H23+'Resumen periodo'!H24</f>
        <v>0</v>
      </c>
      <c r="H16" s="28">
        <f t="shared" si="1"/>
        <v>46.999985899999992</v>
      </c>
      <c r="I16" s="425">
        <f t="shared" si="2"/>
        <v>0</v>
      </c>
    </row>
    <row r="17" spans="2:9">
      <c r="B17" s="448"/>
      <c r="C17" s="19" t="s">
        <v>134</v>
      </c>
      <c r="D17" s="28">
        <f>+'Resumen periodo'!E25+'Resumen periodo'!E26</f>
        <v>751.99977439999986</v>
      </c>
      <c r="E17" s="349">
        <f>+'Resumen periodo'!F25+'Resumen periodo'!F26</f>
        <v>21.981999999999999</v>
      </c>
      <c r="F17" s="20">
        <f t="shared" si="0"/>
        <v>773.98177439999984</v>
      </c>
      <c r="G17" s="32">
        <f>+'Resumen periodo'!H24+'Resumen periodo'!H25</f>
        <v>179.82400000000001</v>
      </c>
      <c r="H17" s="20">
        <f t="shared" si="1"/>
        <v>594.15777439999988</v>
      </c>
      <c r="I17" s="426">
        <f t="shared" si="2"/>
        <v>0.23233622024162234</v>
      </c>
    </row>
    <row r="18" spans="2:9">
      <c r="B18" s="448"/>
      <c r="C18" s="19" t="s">
        <v>52</v>
      </c>
      <c r="D18" s="28">
        <f>+'Resumen periodo'!E27+'Resumen periodo'!E28</f>
        <v>949.99971500000038</v>
      </c>
      <c r="E18" s="350">
        <f>+'Resumen periodo'!F27+'Resumen periodo'!F28</f>
        <v>-5.5649929109335972E-15</v>
      </c>
      <c r="F18" s="20">
        <f t="shared" si="0"/>
        <v>949.99971500000038</v>
      </c>
      <c r="G18" s="32">
        <f>+'Resumen periodo'!H27+'Resumen periodo'!H28</f>
        <v>674.096</v>
      </c>
      <c r="H18" s="20">
        <f t="shared" si="1"/>
        <v>275.90371500000037</v>
      </c>
      <c r="I18" s="426">
        <f t="shared" si="2"/>
        <v>0.7095749497145899</v>
      </c>
    </row>
    <row r="19" spans="2:9">
      <c r="B19" s="448"/>
      <c r="C19" s="19" t="s">
        <v>53</v>
      </c>
      <c r="D19" s="28">
        <f>+'Resumen periodo'!E29+'Resumen periodo'!E30</f>
        <v>699.99979000000008</v>
      </c>
      <c r="E19" s="350">
        <f>+'Resumen periodo'!F29+'Resumen periodo'!F30</f>
        <v>-5.5649929109335972E-15</v>
      </c>
      <c r="F19" s="20">
        <f t="shared" si="0"/>
        <v>699.99979000000008</v>
      </c>
      <c r="G19" s="32">
        <f>+'Resumen periodo'!H29+'Resumen periodo'!H30</f>
        <v>501.66500000000002</v>
      </c>
      <c r="H19" s="20">
        <f t="shared" si="1"/>
        <v>198.33479000000005</v>
      </c>
      <c r="I19" s="426">
        <f t="shared" si="2"/>
        <v>0.71666450071363585</v>
      </c>
    </row>
    <row r="20" spans="2:9">
      <c r="B20" s="448"/>
      <c r="C20" s="19" t="s">
        <v>54</v>
      </c>
      <c r="D20" s="28">
        <f>+'Resumen periodo'!E31+'Resumen periodo'!E32</f>
        <v>1449.9995649999996</v>
      </c>
      <c r="E20" s="350">
        <f>+'Resumen periodo'!F31+'Resumen periodo'!F32</f>
        <v>2.4424906541753444E-15</v>
      </c>
      <c r="F20" s="20">
        <f t="shared" si="0"/>
        <v>1449.9995649999996</v>
      </c>
      <c r="G20" s="32">
        <f>+'Resumen periodo'!H30+'Resumen periodo'!H31</f>
        <v>1156.4940000000001</v>
      </c>
      <c r="H20" s="20">
        <f t="shared" si="1"/>
        <v>293.50556499999948</v>
      </c>
      <c r="I20" s="426">
        <f t="shared" si="2"/>
        <v>0.79758230824021004</v>
      </c>
    </row>
    <row r="21" spans="2:9" ht="15.75" thickBot="1">
      <c r="B21" s="448"/>
      <c r="C21" s="43" t="s">
        <v>55</v>
      </c>
      <c r="D21" s="46">
        <f>+'Resumen periodo'!E33+'Resumen periodo'!E34</f>
        <v>569.99982899999998</v>
      </c>
      <c r="E21" s="351">
        <f>+'Resumen periodo'!F33+'Resumen periodo'!F34</f>
        <v>1.8318679906315083E-15</v>
      </c>
      <c r="F21" s="40">
        <f t="shared" si="0"/>
        <v>569.99982899999998</v>
      </c>
      <c r="G21" s="45">
        <f>+'Resumen periodo'!H33+'Resumen periodo'!H34</f>
        <v>241.21600000000001</v>
      </c>
      <c r="H21" s="40">
        <f t="shared" si="1"/>
        <v>328.78382899999997</v>
      </c>
      <c r="I21" s="427">
        <f t="shared" si="2"/>
        <v>0.42318609186810829</v>
      </c>
    </row>
    <row r="22" spans="2:9" ht="15.75" thickBot="1">
      <c r="B22" s="448"/>
      <c r="C22" s="92" t="s">
        <v>135</v>
      </c>
      <c r="D22" s="93">
        <f>SUM(D16:D21)</f>
        <v>4468.9986592999994</v>
      </c>
      <c r="E22" s="93">
        <f>SUM(E16:E21)</f>
        <v>21.981999999999992</v>
      </c>
      <c r="F22" s="93">
        <f>+D22+E22</f>
        <v>4490.9806592999994</v>
      </c>
      <c r="G22" s="116">
        <f>SUM(G16:G21)</f>
        <v>2753.2950000000001</v>
      </c>
      <c r="H22" s="93">
        <f>+F22-G22</f>
        <v>1737.6856592999993</v>
      </c>
      <c r="I22" s="424">
        <f>G22/F22</f>
        <v>0.61307211250140425</v>
      </c>
    </row>
    <row r="23" spans="2:9" ht="15.75" thickBot="1">
      <c r="B23" s="448"/>
      <c r="C23" s="369" t="s">
        <v>128</v>
      </c>
      <c r="D23" s="370">
        <v>119</v>
      </c>
      <c r="E23" s="371">
        <v>0</v>
      </c>
      <c r="F23" s="370">
        <f>D23+E23</f>
        <v>119</v>
      </c>
      <c r="G23" s="372">
        <f>+'PESCA INVES y FA'!J9</f>
        <v>84.251000000000005</v>
      </c>
      <c r="H23" s="370">
        <f t="shared" si="1"/>
        <v>34.748999999999995</v>
      </c>
      <c r="I23" s="428">
        <f t="shared" si="2"/>
        <v>0.70799159663865552</v>
      </c>
    </row>
    <row r="24" spans="2:9" ht="24" customHeight="1" thickBot="1">
      <c r="B24" s="437" t="s">
        <v>138</v>
      </c>
      <c r="C24" s="438"/>
      <c r="D24" s="373">
        <f>+D15+D22+D23</f>
        <v>5991.9986592999994</v>
      </c>
      <c r="E24" s="373">
        <f>+E15+E22+E23</f>
        <v>-7.1054273576010019E-15</v>
      </c>
      <c r="F24" s="373">
        <f>+F15+F22+F23</f>
        <v>5991.9986592999994</v>
      </c>
      <c r="G24" s="373">
        <f>+G15+G22+G23</f>
        <v>3861.835</v>
      </c>
      <c r="H24" s="373">
        <f>+F24-G24</f>
        <v>2130.1636592999994</v>
      </c>
      <c r="I24" s="429">
        <f>+G24/F24</f>
        <v>0.64449864220282549</v>
      </c>
    </row>
  </sheetData>
  <mergeCells count="5">
    <mergeCell ref="B24:C24"/>
    <mergeCell ref="B4:I4"/>
    <mergeCell ref="B2:I2"/>
    <mergeCell ref="B3:I3"/>
    <mergeCell ref="B7:B23"/>
  </mergeCells>
  <conditionalFormatting sqref="I7:I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{E147E6D3-86FD-4FC5-AE7F-531FEBA27DB9}</x14:id>
        </ext>
      </extLst>
    </cfRule>
  </conditionalFormatting>
  <pageMargins left="0.7" right="0.7" top="0.75" bottom="0.75" header="0.3" footer="0.3"/>
  <pageSetup paperSize="177" scale="71" orientation="portrait" r:id="rId1"/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47E6D3-86FD-4FC5-AE7F-531FEBA27D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I7:I24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K35"/>
  <sheetViews>
    <sheetView zoomScale="80" zoomScaleNormal="80" workbookViewId="0">
      <selection activeCell="M20" sqref="M20"/>
    </sheetView>
  </sheetViews>
  <sheetFormatPr baseColWidth="10" defaultColWidth="11.5703125" defaultRowHeight="15"/>
  <cols>
    <col min="1" max="1" width="5.85546875" style="200" customWidth="1"/>
    <col min="2" max="2" width="24.42578125" style="200" customWidth="1"/>
    <col min="3" max="3" width="25" style="200" customWidth="1"/>
    <col min="4" max="4" width="20.140625" style="200" customWidth="1"/>
    <col min="5" max="5" width="16.42578125" style="200" customWidth="1"/>
    <col min="6" max="6" width="14.42578125" style="202" customWidth="1"/>
    <col min="7" max="7" width="15.140625" style="200" customWidth="1"/>
    <col min="8" max="8" width="19" style="200" customWidth="1"/>
    <col min="9" max="9" width="16.42578125" style="200" customWidth="1"/>
    <col min="10" max="10" width="14.7109375" style="200" customWidth="1"/>
    <col min="11" max="11" width="11.28515625" style="200" hidden="1" customWidth="1"/>
    <col min="12" max="306" width="11.42578125" style="200" customWidth="1"/>
    <col min="307" max="16384" width="11.5703125" style="200"/>
  </cols>
  <sheetData>
    <row r="1" spans="2:11">
      <c r="E1" s="201"/>
    </row>
    <row r="2" spans="2:11" ht="30.75" customHeight="1">
      <c r="B2" s="455" t="s">
        <v>130</v>
      </c>
      <c r="C2" s="455"/>
      <c r="D2" s="455"/>
      <c r="E2" s="455"/>
      <c r="F2" s="455"/>
      <c r="G2" s="455"/>
      <c r="H2" s="455"/>
      <c r="I2" s="455"/>
      <c r="J2" s="455"/>
    </row>
    <row r="3" spans="2:11" ht="15.6" customHeight="1">
      <c r="B3" s="456" t="str">
        <f>+'Resumen anual_'!B3</f>
        <v>Dto Ex N° 526 21-12-2018</v>
      </c>
      <c r="C3" s="456"/>
      <c r="D3" s="456"/>
      <c r="E3" s="456"/>
      <c r="F3" s="456"/>
      <c r="G3" s="456"/>
      <c r="H3" s="456"/>
      <c r="I3" s="456"/>
      <c r="J3" s="456"/>
    </row>
    <row r="4" spans="2:11" ht="21" customHeight="1">
      <c r="B4" s="458">
        <f>+'Resumen anual_'!B4</f>
        <v>43803</v>
      </c>
      <c r="C4" s="458"/>
      <c r="D4" s="458"/>
      <c r="E4" s="458"/>
      <c r="F4" s="458"/>
      <c r="G4" s="458"/>
      <c r="H4" s="458"/>
      <c r="I4" s="458"/>
      <c r="J4" s="458"/>
    </row>
    <row r="5" spans="2:11" ht="15.75" thickBot="1">
      <c r="E5" s="201"/>
    </row>
    <row r="6" spans="2:11" ht="36" customHeight="1" thickBot="1">
      <c r="B6" s="209" t="s">
        <v>47</v>
      </c>
      <c r="C6" s="211" t="s">
        <v>46</v>
      </c>
      <c r="D6" s="210" t="s">
        <v>73</v>
      </c>
      <c r="E6" s="210" t="s">
        <v>22</v>
      </c>
      <c r="F6" s="211" t="s">
        <v>4</v>
      </c>
      <c r="G6" s="211" t="s">
        <v>5</v>
      </c>
      <c r="H6" s="211" t="s">
        <v>6</v>
      </c>
      <c r="I6" s="211" t="s">
        <v>7</v>
      </c>
      <c r="J6" s="211" t="s">
        <v>27</v>
      </c>
      <c r="K6" s="203" t="s">
        <v>9</v>
      </c>
    </row>
    <row r="7" spans="2:11">
      <c r="B7" s="449" t="s">
        <v>44</v>
      </c>
      <c r="C7" s="459" t="s">
        <v>56</v>
      </c>
      <c r="D7" s="8" t="s">
        <v>48</v>
      </c>
      <c r="E7" s="29">
        <f>'Control Cuota Artesanal'!E7</f>
        <v>4</v>
      </c>
      <c r="F7" s="17">
        <f>'Control Cuota Artesanal'!F7</f>
        <v>0</v>
      </c>
      <c r="G7" s="30">
        <f>E7+F7</f>
        <v>4</v>
      </c>
      <c r="H7" s="212">
        <f>'Control Cuota Artesanal'!H7</f>
        <v>0</v>
      </c>
      <c r="I7" s="18">
        <f>G7-H7</f>
        <v>4</v>
      </c>
      <c r="J7" s="213">
        <f t="shared" ref="J7:J34" si="0">+H7/G7</f>
        <v>0</v>
      </c>
      <c r="K7" s="204"/>
    </row>
    <row r="8" spans="2:11">
      <c r="B8" s="449"/>
      <c r="C8" s="460"/>
      <c r="D8" s="7" t="s">
        <v>49</v>
      </c>
      <c r="E8" s="214">
        <f>'Control Cuota Artesanal'!E8</f>
        <v>1</v>
      </c>
      <c r="F8" s="215">
        <f>'Control Cuota Artesanal'!F8</f>
        <v>0</v>
      </c>
      <c r="G8" s="216">
        <f>E8+F8+I7</f>
        <v>5</v>
      </c>
      <c r="H8" s="215">
        <f>'Control Cuota Artesanal'!H8</f>
        <v>0</v>
      </c>
      <c r="I8" s="217">
        <f>G8-H8</f>
        <v>5</v>
      </c>
      <c r="J8" s="218">
        <f t="shared" si="0"/>
        <v>0</v>
      </c>
      <c r="K8" s="205"/>
    </row>
    <row r="9" spans="2:11">
      <c r="B9" s="449"/>
      <c r="C9" s="461" t="s">
        <v>57</v>
      </c>
      <c r="D9" s="219" t="s">
        <v>48</v>
      </c>
      <c r="E9" s="214">
        <f>'Control Cuota Artesanal'!E9</f>
        <v>18</v>
      </c>
      <c r="F9" s="215">
        <f>'Control Cuota Artesanal'!F9</f>
        <v>0</v>
      </c>
      <c r="G9" s="216">
        <f>E9+F9</f>
        <v>18</v>
      </c>
      <c r="H9" s="215">
        <f>'Control Cuota Artesanal'!H9</f>
        <v>0</v>
      </c>
      <c r="I9" s="217">
        <f t="shared" ref="I9:I22" si="1">G9-H9</f>
        <v>18</v>
      </c>
      <c r="J9" s="218">
        <f t="shared" si="0"/>
        <v>0</v>
      </c>
      <c r="K9" s="205"/>
    </row>
    <row r="10" spans="2:11">
      <c r="B10" s="449"/>
      <c r="C10" s="460"/>
      <c r="D10" s="7" t="s">
        <v>49</v>
      </c>
      <c r="E10" s="214">
        <f>'Control Cuota Artesanal'!E10</f>
        <v>2</v>
      </c>
      <c r="F10" s="215">
        <f>'Control Cuota Artesanal'!F10</f>
        <v>0</v>
      </c>
      <c r="G10" s="216">
        <f>E10+F10+I9</f>
        <v>20</v>
      </c>
      <c r="H10" s="215">
        <f>'Control Cuota Artesanal'!H10</f>
        <v>0</v>
      </c>
      <c r="I10" s="217">
        <f t="shared" si="1"/>
        <v>20</v>
      </c>
      <c r="J10" s="218">
        <f t="shared" si="0"/>
        <v>0</v>
      </c>
      <c r="K10" s="205"/>
    </row>
    <row r="11" spans="2:11">
      <c r="B11" s="449"/>
      <c r="C11" s="461" t="s">
        <v>58</v>
      </c>
      <c r="D11" s="219" t="s">
        <v>48</v>
      </c>
      <c r="E11" s="214">
        <f>'Control Cuota Artesanal'!E15+'Control Cuota Artesanal'!E17+'Control Cuota Artesanal'!E11+'Control Cuota Artesanal'!E13+'Control Cuota Artesanal'!E19</f>
        <v>682</v>
      </c>
      <c r="F11" s="215">
        <f>'Control Cuota Artesanal'!F11+'Control Cuota Artesanal'!F13+'Control Cuota Artesanal'!F15+'Control Cuota Artesanal'!F17+'Control Cuota Artesanal'!F19</f>
        <v>-21.981999999999999</v>
      </c>
      <c r="G11" s="216">
        <f>E11+F11</f>
        <v>660.01800000000003</v>
      </c>
      <c r="H11" s="215">
        <f>'Control Cuota Artesanal'!H15+'Control Cuota Artesanal'!H17+'Control Cuota Artesanal'!H11+'Control Cuota Artesanal'!H13+'Control Cuota Artesanal'!H19</f>
        <v>424.19799999999998</v>
      </c>
      <c r="I11" s="217">
        <f t="shared" si="1"/>
        <v>235.82000000000005</v>
      </c>
      <c r="J11" s="218">
        <f t="shared" si="0"/>
        <v>0.64270671405931346</v>
      </c>
      <c r="K11" s="205"/>
    </row>
    <row r="12" spans="2:11">
      <c r="B12" s="449"/>
      <c r="C12" s="462"/>
      <c r="D12" s="7" t="s">
        <v>49</v>
      </c>
      <c r="E12" s="214">
        <f>'Control Cuota Artesanal'!E16+'Control Cuota Artesanal'!E18+'Control Cuota Artesanal'!E12+'Control Cuota Artesanal'!E14+'Control Cuota Artesanal'!E20</f>
        <v>76</v>
      </c>
      <c r="F12" s="215">
        <f>'Control Cuota Artesanal'!F16+'Control Cuota Artesanal'!F18+'Control Cuota Artesanal'!F12+'Control Cuota Artesanal'!F14+'Control Cuota Artesanal'!F20</f>
        <v>0</v>
      </c>
      <c r="G12" s="216">
        <f>E12+F12+I11</f>
        <v>311.82000000000005</v>
      </c>
      <c r="H12" s="215">
        <f>'Control Cuota Artesanal'!H16+'Control Cuota Artesanal'!H18+'Control Cuota Artesanal'!H12+'Control Cuota Artesanal'!H14+'Control Cuota Artesanal'!H20</f>
        <v>20.802</v>
      </c>
      <c r="I12" s="217">
        <f t="shared" si="1"/>
        <v>291.01800000000003</v>
      </c>
      <c r="J12" s="218">
        <f t="shared" si="0"/>
        <v>6.6711564364056175E-2</v>
      </c>
      <c r="K12" s="205"/>
    </row>
    <row r="13" spans="2:11">
      <c r="B13" s="449"/>
      <c r="C13" s="461" t="s">
        <v>59</v>
      </c>
      <c r="D13" s="219" t="s">
        <v>50</v>
      </c>
      <c r="E13" s="214">
        <f>'Control Cuota Artesanal'!E21</f>
        <v>193</v>
      </c>
      <c r="F13" s="215">
        <f>'Control Cuota Artesanal'!F21</f>
        <v>0</v>
      </c>
      <c r="G13" s="216">
        <f>E13+F13</f>
        <v>193</v>
      </c>
      <c r="H13" s="215">
        <f>'Control Cuota Artesanal'!H21</f>
        <v>193.47799999999998</v>
      </c>
      <c r="I13" s="381">
        <f t="shared" si="1"/>
        <v>-0.47799999999998022</v>
      </c>
      <c r="J13" s="218">
        <f t="shared" si="0"/>
        <v>1.0024766839378236</v>
      </c>
      <c r="K13" s="206">
        <f>+'Control Cuota Artesanal'!K21</f>
        <v>43508</v>
      </c>
    </row>
    <row r="14" spans="2:11">
      <c r="B14" s="449"/>
      <c r="C14" s="463"/>
      <c r="D14" s="42" t="s">
        <v>122</v>
      </c>
      <c r="E14" s="214">
        <f>'Control Cuota Artesanal'!E22</f>
        <v>193</v>
      </c>
      <c r="F14" s="215">
        <f>'Control Cuota Artesanal'!F22</f>
        <v>0</v>
      </c>
      <c r="G14" s="216">
        <f>E14+F14+I13</f>
        <v>192.52200000000002</v>
      </c>
      <c r="H14" s="215">
        <f>'Control Cuota Artesanal'!H22</f>
        <v>196.39000000000001</v>
      </c>
      <c r="I14" s="381">
        <f t="shared" si="1"/>
        <v>-3.867999999999995</v>
      </c>
      <c r="J14" s="218">
        <f t="shared" si="0"/>
        <v>1.0200912103551802</v>
      </c>
      <c r="K14" s="206"/>
    </row>
    <row r="15" spans="2:11">
      <c r="B15" s="449"/>
      <c r="C15" s="462"/>
      <c r="D15" s="7" t="s">
        <v>49</v>
      </c>
      <c r="E15" s="214">
        <f>'Control Cuota Artesanal'!E23</f>
        <v>192</v>
      </c>
      <c r="F15" s="215">
        <f>'Control Cuota Artesanal'!F23</f>
        <v>0</v>
      </c>
      <c r="G15" s="216">
        <f>E15+F15+I14</f>
        <v>188.13200000000001</v>
      </c>
      <c r="H15" s="215">
        <f>'Control Cuota Artesanal'!H23</f>
        <v>188.58199999999999</v>
      </c>
      <c r="I15" s="217">
        <f t="shared" si="1"/>
        <v>-0.44999999999998863</v>
      </c>
      <c r="J15" s="218">
        <f t="shared" si="0"/>
        <v>1.0023919375757446</v>
      </c>
      <c r="K15" s="206"/>
    </row>
    <row r="16" spans="2:11">
      <c r="B16" s="449"/>
      <c r="C16" s="461" t="s">
        <v>60</v>
      </c>
      <c r="D16" s="219" t="s">
        <v>48</v>
      </c>
      <c r="E16" s="214">
        <f>'Control Cuota Artesanal'!E24</f>
        <v>5</v>
      </c>
      <c r="F16" s="215">
        <f>'Control Cuota Artesanal'!F24</f>
        <v>0</v>
      </c>
      <c r="G16" s="216">
        <f>E16+F16</f>
        <v>5</v>
      </c>
      <c r="H16" s="215">
        <f>'Control Cuota Artesanal'!H24</f>
        <v>0</v>
      </c>
      <c r="I16" s="217">
        <f t="shared" si="1"/>
        <v>5</v>
      </c>
      <c r="J16" s="218">
        <f t="shared" si="0"/>
        <v>0</v>
      </c>
      <c r="K16" s="205"/>
    </row>
    <row r="17" spans="2:11">
      <c r="B17" s="449"/>
      <c r="C17" s="462"/>
      <c r="D17" s="7" t="s">
        <v>49</v>
      </c>
      <c r="E17" s="214">
        <f>'Control Cuota Artesanal'!E25</f>
        <v>1</v>
      </c>
      <c r="F17" s="215">
        <f>'Control Cuota Artesanal'!F25</f>
        <v>0</v>
      </c>
      <c r="G17" s="216">
        <f>E17+F17+I16</f>
        <v>6</v>
      </c>
      <c r="H17" s="215">
        <f>'Control Cuota Artesanal'!H25</f>
        <v>0</v>
      </c>
      <c r="I17" s="217">
        <f t="shared" si="1"/>
        <v>6</v>
      </c>
      <c r="J17" s="218">
        <f t="shared" si="0"/>
        <v>0</v>
      </c>
      <c r="K17" s="205"/>
    </row>
    <row r="18" spans="2:11">
      <c r="B18" s="449"/>
      <c r="C18" s="461" t="s">
        <v>45</v>
      </c>
      <c r="D18" s="219" t="s">
        <v>48</v>
      </c>
      <c r="E18" s="214">
        <f>'Control Cuota Artesanal'!E26</f>
        <v>5</v>
      </c>
      <c r="F18" s="215">
        <f>'Control Cuota Artesanal'!F26</f>
        <v>0</v>
      </c>
      <c r="G18" s="216">
        <f>E18+F18</f>
        <v>5</v>
      </c>
      <c r="H18" s="215">
        <f>'Control Cuota Artesanal'!H26</f>
        <v>0</v>
      </c>
      <c r="I18" s="217">
        <f t="shared" si="1"/>
        <v>5</v>
      </c>
      <c r="J18" s="218">
        <f t="shared" si="0"/>
        <v>0</v>
      </c>
      <c r="K18" s="205"/>
    </row>
    <row r="19" spans="2:11">
      <c r="B19" s="449"/>
      <c r="C19" s="462"/>
      <c r="D19" s="7" t="s">
        <v>49</v>
      </c>
      <c r="E19" s="214">
        <f>'Control Cuota Artesanal'!E27</f>
        <v>1</v>
      </c>
      <c r="F19" s="215">
        <f>'Control Cuota Artesanal'!F27</f>
        <v>0</v>
      </c>
      <c r="G19" s="216">
        <f>E19+F19+I18</f>
        <v>6</v>
      </c>
      <c r="H19" s="215">
        <f>'Control Cuota Artesanal'!H27</f>
        <v>0</v>
      </c>
      <c r="I19" s="217">
        <f t="shared" si="1"/>
        <v>6</v>
      </c>
      <c r="J19" s="218">
        <f t="shared" si="0"/>
        <v>0</v>
      </c>
      <c r="K19" s="205"/>
    </row>
    <row r="20" spans="2:11">
      <c r="B20" s="449"/>
      <c r="C20" s="461" t="s">
        <v>61</v>
      </c>
      <c r="D20" s="219" t="s">
        <v>48</v>
      </c>
      <c r="E20" s="214">
        <f>'Control Cuota Artesanal'!E28</f>
        <v>5</v>
      </c>
      <c r="F20" s="215">
        <f>'Control Cuota Artesanal'!F28</f>
        <v>0</v>
      </c>
      <c r="G20" s="216">
        <f>E20+F20</f>
        <v>5</v>
      </c>
      <c r="H20" s="215">
        <f>'Control Cuota Artesanal'!H28</f>
        <v>0</v>
      </c>
      <c r="I20" s="217">
        <f t="shared" si="1"/>
        <v>5</v>
      </c>
      <c r="J20" s="218">
        <f t="shared" si="0"/>
        <v>0</v>
      </c>
      <c r="K20" s="205"/>
    </row>
    <row r="21" spans="2:11">
      <c r="B21" s="449"/>
      <c r="C21" s="462"/>
      <c r="D21" s="7" t="s">
        <v>49</v>
      </c>
      <c r="E21" s="214">
        <f>'Control Cuota Artesanal'!E29</f>
        <v>1</v>
      </c>
      <c r="F21" s="215">
        <f>'Control Cuota Artesanal'!F29</f>
        <v>0</v>
      </c>
      <c r="G21" s="216">
        <f>E21+F21+I20</f>
        <v>6</v>
      </c>
      <c r="H21" s="215">
        <f>'Control Cuota Artesanal'!H29</f>
        <v>0</v>
      </c>
      <c r="I21" s="217">
        <f t="shared" si="1"/>
        <v>6</v>
      </c>
      <c r="J21" s="218">
        <f t="shared" si="0"/>
        <v>0</v>
      </c>
      <c r="K21" s="205"/>
    </row>
    <row r="22" spans="2:11" ht="15.75" thickBot="1">
      <c r="B22" s="449"/>
      <c r="C22" s="230" t="s">
        <v>20</v>
      </c>
      <c r="D22" s="220" t="s">
        <v>21</v>
      </c>
      <c r="E22" s="221">
        <v>25</v>
      </c>
      <c r="F22" s="212">
        <v>0</v>
      </c>
      <c r="G22" s="222">
        <f>E22</f>
        <v>25</v>
      </c>
      <c r="H22" s="44">
        <v>0</v>
      </c>
      <c r="I22" s="223">
        <f t="shared" si="1"/>
        <v>25</v>
      </c>
      <c r="J22" s="224">
        <f t="shared" si="0"/>
        <v>0</v>
      </c>
      <c r="K22" s="207"/>
    </row>
    <row r="23" spans="2:11">
      <c r="B23" s="449"/>
      <c r="C23" s="457" t="s">
        <v>62</v>
      </c>
      <c r="D23" s="34" t="s">
        <v>48</v>
      </c>
      <c r="E23" s="35">
        <f>+'Control Cuota LTP'!G57</f>
        <v>41.999987399999988</v>
      </c>
      <c r="F23" s="36">
        <f>+'Control Cuota LTP'!H57</f>
        <v>0</v>
      </c>
      <c r="G23" s="37">
        <f>E23+F23</f>
        <v>41.999987399999988</v>
      </c>
      <c r="H23" s="36">
        <f>+'Control Cuota LTP'!H57</f>
        <v>0</v>
      </c>
      <c r="I23" s="35">
        <f>G23-H23</f>
        <v>41.999987399999988</v>
      </c>
      <c r="J23" s="225">
        <f t="shared" si="0"/>
        <v>0</v>
      </c>
      <c r="K23" s="204"/>
    </row>
    <row r="24" spans="2:11">
      <c r="B24" s="449"/>
      <c r="C24" s="452"/>
      <c r="D24" s="6" t="s">
        <v>49</v>
      </c>
      <c r="E24" s="226">
        <f>+'Control Cuota LTP'!G58</f>
        <v>4.9999985000000011</v>
      </c>
      <c r="F24" s="63">
        <f>+'Control Cuota LTP'!H58</f>
        <v>0</v>
      </c>
      <c r="G24" s="227">
        <f>E24+F24+I23</f>
        <v>46.999985899999992</v>
      </c>
      <c r="H24" s="63">
        <f>+'Control Cuota LTP'!H58</f>
        <v>0</v>
      </c>
      <c r="I24" s="226">
        <f t="shared" ref="I24:I34" si="2">G24-H24</f>
        <v>46.999985899999992</v>
      </c>
      <c r="J24" s="228">
        <f t="shared" si="0"/>
        <v>0</v>
      </c>
      <c r="K24" s="205"/>
    </row>
    <row r="25" spans="2:11">
      <c r="B25" s="449"/>
      <c r="C25" s="451" t="s">
        <v>63</v>
      </c>
      <c r="D25" s="229" t="s">
        <v>48</v>
      </c>
      <c r="E25" s="226">
        <f>+'Control Cuota LTP'!K57</f>
        <v>676.99979689999986</v>
      </c>
      <c r="F25" s="63">
        <f>+'Control Cuota LTP'!L57</f>
        <v>21.981999999999999</v>
      </c>
      <c r="G25" s="227">
        <f>E25+F25</f>
        <v>698.98179689999984</v>
      </c>
      <c r="H25" s="63">
        <f>+'Control Cuota LTP'!N57</f>
        <v>179.82400000000001</v>
      </c>
      <c r="I25" s="226">
        <f t="shared" si="2"/>
        <v>519.15779689999977</v>
      </c>
      <c r="J25" s="228">
        <f t="shared" si="0"/>
        <v>0.25726564096164384</v>
      </c>
      <c r="K25" s="205"/>
    </row>
    <row r="26" spans="2:11">
      <c r="B26" s="449"/>
      <c r="C26" s="452"/>
      <c r="D26" s="6" t="s">
        <v>49</v>
      </c>
      <c r="E26" s="226">
        <f>+'Control Cuota LTP'!K58</f>
        <v>74.999977499999986</v>
      </c>
      <c r="F26" s="63">
        <f>+'Control Cuota LTP'!L58</f>
        <v>0</v>
      </c>
      <c r="G26" s="227">
        <f>E26+F26+I25</f>
        <v>594.15777439999977</v>
      </c>
      <c r="H26" s="63">
        <f>+'Control Cuota LTP'!N58</f>
        <v>35.725000000000001</v>
      </c>
      <c r="I26" s="226">
        <f t="shared" si="2"/>
        <v>558.43277439999974</v>
      </c>
      <c r="J26" s="228">
        <f t="shared" si="0"/>
        <v>6.0127127068355359E-2</v>
      </c>
      <c r="K26" s="205"/>
    </row>
    <row r="27" spans="2:11">
      <c r="B27" s="449"/>
      <c r="C27" s="451" t="s">
        <v>52</v>
      </c>
      <c r="D27" s="229" t="s">
        <v>48</v>
      </c>
      <c r="E27" s="226">
        <f>+'Control Cuota LTP'!Q57</f>
        <v>854.99974350000036</v>
      </c>
      <c r="F27" s="63">
        <f>+'Control Cuota LTP'!R57</f>
        <v>-5.5649929109335972E-15</v>
      </c>
      <c r="G27" s="227">
        <f>E27+F27</f>
        <v>854.99974350000036</v>
      </c>
      <c r="H27" s="63">
        <f>+'Control Cuota LTP'!T57</f>
        <v>528.05600000000004</v>
      </c>
      <c r="I27" s="226">
        <f t="shared" si="2"/>
        <v>326.94374350000032</v>
      </c>
      <c r="J27" s="228">
        <f t="shared" si="0"/>
        <v>0.61760954200800855</v>
      </c>
      <c r="K27" s="205"/>
    </row>
    <row r="28" spans="2:11">
      <c r="B28" s="449"/>
      <c r="C28" s="452"/>
      <c r="D28" s="6" t="s">
        <v>49</v>
      </c>
      <c r="E28" s="226">
        <f>+'Control Cuota LTP'!Q58</f>
        <v>94.999971500000015</v>
      </c>
      <c r="F28" s="63">
        <f>+'Control Cuota LTP'!R58</f>
        <v>0</v>
      </c>
      <c r="G28" s="227">
        <f>E28+F28+I27</f>
        <v>421.94371500000034</v>
      </c>
      <c r="H28" s="63">
        <f>+'Control Cuota LTP'!T58</f>
        <v>146.04</v>
      </c>
      <c r="I28" s="226">
        <f t="shared" si="2"/>
        <v>275.90371500000037</v>
      </c>
      <c r="J28" s="228">
        <f t="shared" si="0"/>
        <v>0.3461125140825948</v>
      </c>
      <c r="K28" s="205"/>
    </row>
    <row r="29" spans="2:11">
      <c r="B29" s="449"/>
      <c r="C29" s="451" t="s">
        <v>53</v>
      </c>
      <c r="D29" s="229" t="s">
        <v>48</v>
      </c>
      <c r="E29" s="226">
        <f>+'Control Cuota LTP'!W57</f>
        <v>629.99981100000014</v>
      </c>
      <c r="F29" s="63">
        <f>+'Control Cuota LTP'!X57</f>
        <v>-5.5649929109335972E-15</v>
      </c>
      <c r="G29" s="227">
        <f>E29+F29</f>
        <v>629.99981100000014</v>
      </c>
      <c r="H29" s="63">
        <f>+'Control Cuota LTP'!Z57</f>
        <v>383.68</v>
      </c>
      <c r="I29" s="226">
        <f t="shared" si="2"/>
        <v>246.31981100000013</v>
      </c>
      <c r="J29" s="228">
        <f t="shared" si="0"/>
        <v>0.60901605572068962</v>
      </c>
      <c r="K29" s="205"/>
    </row>
    <row r="30" spans="2:11">
      <c r="B30" s="449"/>
      <c r="C30" s="452"/>
      <c r="D30" s="6" t="s">
        <v>49</v>
      </c>
      <c r="E30" s="226">
        <f>+'Control Cuota LTP'!W58</f>
        <v>69.999978999999996</v>
      </c>
      <c r="F30" s="63">
        <f>+'Control Cuota LTP'!X58</f>
        <v>0</v>
      </c>
      <c r="G30" s="227">
        <f>E30+F30+I29</f>
        <v>316.31979000000013</v>
      </c>
      <c r="H30" s="63">
        <f>+'Control Cuota LTP'!Z58</f>
        <v>117.985</v>
      </c>
      <c r="I30" s="226">
        <f t="shared" si="2"/>
        <v>198.33479000000011</v>
      </c>
      <c r="J30" s="228">
        <f t="shared" si="0"/>
        <v>0.37299278682500375</v>
      </c>
      <c r="K30" s="205"/>
    </row>
    <row r="31" spans="2:11">
      <c r="B31" s="449"/>
      <c r="C31" s="451" t="s">
        <v>54</v>
      </c>
      <c r="D31" s="229" t="s">
        <v>48</v>
      </c>
      <c r="E31" s="226">
        <f>+'Control Cuota LTP'!AC57</f>
        <v>1304.9996084999996</v>
      </c>
      <c r="F31" s="63">
        <f>+'Control Cuota LTP'!AD57</f>
        <v>2.4424906541753444E-15</v>
      </c>
      <c r="G31" s="227">
        <f>E31+F31</f>
        <v>1304.9996084999996</v>
      </c>
      <c r="H31" s="63">
        <f>+'Control Cuota LTP'!AF57</f>
        <v>1038.5090000000002</v>
      </c>
      <c r="I31" s="226">
        <f t="shared" si="2"/>
        <v>266.49060849999933</v>
      </c>
      <c r="J31" s="228">
        <f t="shared" si="0"/>
        <v>0.79579257590252417</v>
      </c>
      <c r="K31" s="205"/>
    </row>
    <row r="32" spans="2:11">
      <c r="B32" s="449"/>
      <c r="C32" s="452"/>
      <c r="D32" s="6" t="s">
        <v>49</v>
      </c>
      <c r="E32" s="226">
        <f>+'Control Cuota LTP'!AC58</f>
        <v>144.99995650000002</v>
      </c>
      <c r="F32" s="63">
        <f>+'Control Cuota LTP'!AD58</f>
        <v>0</v>
      </c>
      <c r="G32" s="227">
        <f>E32+F32+I31</f>
        <v>411.49056499999938</v>
      </c>
      <c r="H32" s="63">
        <f>+'Control Cuota LTP'!AF58</f>
        <v>221.13800000000001</v>
      </c>
      <c r="I32" s="226">
        <f t="shared" si="2"/>
        <v>190.35256499999937</v>
      </c>
      <c r="J32" s="228">
        <f t="shared" si="0"/>
        <v>0.53740721855919182</v>
      </c>
      <c r="K32" s="205"/>
    </row>
    <row r="33" spans="2:11">
      <c r="B33" s="449"/>
      <c r="C33" s="453" t="s">
        <v>55</v>
      </c>
      <c r="D33" s="229" t="s">
        <v>48</v>
      </c>
      <c r="E33" s="226">
        <f>+'Control Cuota LTP'!AI57</f>
        <v>512.99984610000001</v>
      </c>
      <c r="F33" s="63">
        <f>+'Control Cuota LTP'!AJ57</f>
        <v>1.8318679906315083E-15</v>
      </c>
      <c r="G33" s="227">
        <f>E33+F33</f>
        <v>512.99984610000001</v>
      </c>
      <c r="H33" s="63">
        <f>+'Control Cuota LTP'!AL57</f>
        <v>114.25</v>
      </c>
      <c r="I33" s="226">
        <f t="shared" si="2"/>
        <v>398.74984610000001</v>
      </c>
      <c r="J33" s="228">
        <f t="shared" si="0"/>
        <v>0.22270961846980561</v>
      </c>
      <c r="K33" s="205"/>
    </row>
    <row r="34" spans="2:11" ht="15.75" thickBot="1">
      <c r="B34" s="450"/>
      <c r="C34" s="454"/>
      <c r="D34" s="6" t="s">
        <v>49</v>
      </c>
      <c r="E34" s="226">
        <f>+'Control Cuota LTP'!AI58</f>
        <v>56.999982900000013</v>
      </c>
      <c r="F34" s="63">
        <f>+'Control Cuota LTP'!AJ58</f>
        <v>0</v>
      </c>
      <c r="G34" s="227">
        <f>E34+F34+I33</f>
        <v>455.74982900000003</v>
      </c>
      <c r="H34" s="63">
        <f>+'Control Cuota LTP'!AL58</f>
        <v>126.96599999999999</v>
      </c>
      <c r="I34" s="226">
        <f t="shared" si="2"/>
        <v>328.78382900000003</v>
      </c>
      <c r="J34" s="228">
        <f t="shared" si="0"/>
        <v>0.27858704912426852</v>
      </c>
      <c r="K34" s="208"/>
    </row>
    <row r="35" spans="2:11">
      <c r="I35" s="202"/>
    </row>
  </sheetData>
  <mergeCells count="17">
    <mergeCell ref="C20:C21"/>
    <mergeCell ref="B7:B34"/>
    <mergeCell ref="C29:C30"/>
    <mergeCell ref="C31:C32"/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</mergeCells>
  <conditionalFormatting sqref="J7:J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{9C7CA6C7-3BB8-4D52-AA61-BD99DF7BE5EE}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7CA6C7-3BB8-4D52-AA61-BD99DF7BE5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FF"/>
  </sheetPr>
  <dimension ref="A1:FF337"/>
  <sheetViews>
    <sheetView zoomScale="90" zoomScaleNormal="90" workbookViewId="0">
      <selection activeCell="H11" sqref="H11:H20"/>
    </sheetView>
  </sheetViews>
  <sheetFormatPr baseColWidth="10" defaultRowHeight="15"/>
  <cols>
    <col min="1" max="1" width="5.7109375" style="1" customWidth="1"/>
    <col min="2" max="2" width="21.42578125" customWidth="1"/>
    <col min="3" max="3" width="16.140625" customWidth="1"/>
    <col min="4" max="4" width="15.28515625" style="3" customWidth="1"/>
    <col min="5" max="5" width="15.85546875" customWidth="1"/>
    <col min="6" max="6" width="14.42578125" customWidth="1"/>
    <col min="7" max="7" width="15.28515625" customWidth="1"/>
    <col min="8" max="8" width="13.7109375" customWidth="1"/>
    <col min="9" max="9" width="16.7109375" customWidth="1"/>
    <col min="10" max="10" width="10.42578125" customWidth="1"/>
    <col min="11" max="11" width="22.85546875" customWidth="1"/>
    <col min="12" max="12" width="12.5703125" style="1" customWidth="1"/>
    <col min="13" max="13" width="11.7109375" style="1" customWidth="1"/>
    <col min="14" max="14" width="15.5703125" style="1" customWidth="1"/>
    <col min="15" max="15" width="14.42578125" style="1" customWidth="1"/>
    <col min="16" max="16" width="11.5703125" style="1" customWidth="1"/>
    <col min="17" max="17" width="11.85546875" style="1" customWidth="1"/>
    <col min="18" max="162" width="11.42578125" style="1" customWidth="1"/>
  </cols>
  <sheetData>
    <row r="1" spans="1:21" s="1" customFormat="1" ht="15.75" thickBot="1">
      <c r="D1" s="2"/>
    </row>
    <row r="2" spans="1:21" s="1" customFormat="1" ht="27.6" customHeight="1">
      <c r="B2" s="520" t="s">
        <v>129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2"/>
    </row>
    <row r="3" spans="1:21" ht="15.6" customHeight="1" thickBot="1">
      <c r="B3" s="130"/>
      <c r="C3" s="131"/>
      <c r="D3" s="131"/>
      <c r="E3" s="131"/>
      <c r="F3" s="131"/>
      <c r="G3" s="131"/>
      <c r="H3" s="528">
        <f>+'Resumen anual_'!B4</f>
        <v>43803</v>
      </c>
      <c r="I3" s="528"/>
      <c r="J3" s="528"/>
      <c r="K3" s="131"/>
      <c r="L3" s="131"/>
      <c r="M3" s="131"/>
      <c r="N3" s="131"/>
      <c r="O3" s="131"/>
      <c r="P3" s="131"/>
      <c r="Q3" s="132"/>
    </row>
    <row r="4" spans="1:21" s="1" customFormat="1" ht="14.45" customHeight="1" thickBot="1">
      <c r="D4" s="2"/>
    </row>
    <row r="5" spans="1:21" s="1" customFormat="1" ht="15.75" thickBot="1">
      <c r="D5" s="2"/>
      <c r="L5" s="523" t="s">
        <v>142</v>
      </c>
      <c r="M5" s="524"/>
      <c r="N5" s="524"/>
      <c r="O5" s="524"/>
      <c r="P5" s="524"/>
      <c r="Q5" s="525"/>
    </row>
    <row r="6" spans="1:21" ht="32.25" thickBot="1">
      <c r="B6" s="13" t="s">
        <v>0</v>
      </c>
      <c r="C6" s="14" t="s">
        <v>1</v>
      </c>
      <c r="D6" s="15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33" t="s">
        <v>9</v>
      </c>
      <c r="L6" s="16" t="s">
        <v>3</v>
      </c>
      <c r="M6" s="16" t="s">
        <v>4</v>
      </c>
      <c r="N6" s="16" t="s">
        <v>5</v>
      </c>
      <c r="O6" s="16" t="s">
        <v>6</v>
      </c>
      <c r="P6" s="16" t="s">
        <v>7</v>
      </c>
      <c r="Q6" s="16" t="s">
        <v>8</v>
      </c>
    </row>
    <row r="7" spans="1:21" ht="15" customHeight="1">
      <c r="A7" s="81">
        <v>3</v>
      </c>
      <c r="B7" s="501" t="s">
        <v>10</v>
      </c>
      <c r="C7" s="502" t="s">
        <v>109</v>
      </c>
      <c r="D7" s="12" t="s">
        <v>11</v>
      </c>
      <c r="E7" s="52">
        <v>4</v>
      </c>
      <c r="F7" s="53"/>
      <c r="G7" s="52">
        <f>E7+F7</f>
        <v>4</v>
      </c>
      <c r="H7" s="73"/>
      <c r="I7" s="52">
        <f t="shared" ref="I7:I10" si="0">G7-H7</f>
        <v>4</v>
      </c>
      <c r="J7" s="412">
        <f t="shared" ref="J7:J18" si="1">(H7/G7)</f>
        <v>0</v>
      </c>
      <c r="K7" s="124" t="s">
        <v>116</v>
      </c>
      <c r="L7" s="505">
        <f>E7+E8</f>
        <v>5</v>
      </c>
      <c r="M7" s="506">
        <f>F7+F8</f>
        <v>0</v>
      </c>
      <c r="N7" s="506">
        <f>L7+M7</f>
        <v>5</v>
      </c>
      <c r="O7" s="506">
        <f>H7+H8</f>
        <v>0</v>
      </c>
      <c r="P7" s="506">
        <f>N7-O7</f>
        <v>5</v>
      </c>
      <c r="Q7" s="527">
        <f>O7/N7</f>
        <v>0</v>
      </c>
    </row>
    <row r="8" spans="1:21" ht="15.75" thickBot="1">
      <c r="A8" s="81">
        <v>1</v>
      </c>
      <c r="B8" s="526"/>
      <c r="C8" s="503"/>
      <c r="D8" s="50" t="s">
        <v>12</v>
      </c>
      <c r="E8" s="59">
        <v>1</v>
      </c>
      <c r="F8" s="60"/>
      <c r="G8" s="59">
        <f>E8+F8+I7</f>
        <v>5</v>
      </c>
      <c r="H8" s="61"/>
      <c r="I8" s="62">
        <f t="shared" si="0"/>
        <v>5</v>
      </c>
      <c r="J8" s="413">
        <f t="shared" si="1"/>
        <v>0</v>
      </c>
      <c r="K8" s="125" t="s">
        <v>116</v>
      </c>
      <c r="L8" s="505"/>
      <c r="M8" s="506"/>
      <c r="N8" s="506"/>
      <c r="O8" s="506"/>
      <c r="P8" s="506"/>
      <c r="Q8" s="527"/>
    </row>
    <row r="9" spans="1:21" ht="15" customHeight="1">
      <c r="A9" s="81">
        <v>13</v>
      </c>
      <c r="B9" s="500" t="s">
        <v>13</v>
      </c>
      <c r="C9" s="502" t="s">
        <v>109</v>
      </c>
      <c r="D9" s="11" t="s">
        <v>11</v>
      </c>
      <c r="E9" s="57">
        <v>18</v>
      </c>
      <c r="F9" s="58"/>
      <c r="G9" s="57">
        <f>E9+F9</f>
        <v>18</v>
      </c>
      <c r="H9" s="74"/>
      <c r="I9" s="57">
        <f t="shared" si="0"/>
        <v>18</v>
      </c>
      <c r="J9" s="414">
        <f t="shared" si="1"/>
        <v>0</v>
      </c>
      <c r="K9" s="128" t="s">
        <v>116</v>
      </c>
      <c r="L9" s="511">
        <f>E9+E10</f>
        <v>20</v>
      </c>
      <c r="M9" s="514">
        <f>F9+F10</f>
        <v>0</v>
      </c>
      <c r="N9" s="514">
        <f>L9+M9</f>
        <v>20</v>
      </c>
      <c r="O9" s="514">
        <f>H9+H10</f>
        <v>0</v>
      </c>
      <c r="P9" s="514">
        <f>N9-O9</f>
        <v>20</v>
      </c>
      <c r="Q9" s="529">
        <f>O9/N9</f>
        <v>0</v>
      </c>
    </row>
    <row r="10" spans="1:21" ht="15.75" thickBot="1">
      <c r="A10" s="81">
        <v>2</v>
      </c>
      <c r="B10" s="509"/>
      <c r="C10" s="510"/>
      <c r="D10" s="10" t="s">
        <v>12</v>
      </c>
      <c r="E10" s="54">
        <v>2</v>
      </c>
      <c r="F10" s="55"/>
      <c r="G10" s="54">
        <f>E10+F10+I9</f>
        <v>20</v>
      </c>
      <c r="H10" s="56"/>
      <c r="I10" s="111">
        <f t="shared" si="0"/>
        <v>20</v>
      </c>
      <c r="J10" s="415">
        <f t="shared" si="1"/>
        <v>0</v>
      </c>
      <c r="K10" s="129" t="s">
        <v>116</v>
      </c>
      <c r="L10" s="513"/>
      <c r="M10" s="516"/>
      <c r="N10" s="516"/>
      <c r="O10" s="516"/>
      <c r="P10" s="516"/>
      <c r="Q10" s="530"/>
    </row>
    <row r="11" spans="1:21" ht="15" customHeight="1">
      <c r="A11" s="81">
        <v>202.13</v>
      </c>
      <c r="B11" s="531" t="s">
        <v>23</v>
      </c>
      <c r="C11" s="537" t="s">
        <v>112</v>
      </c>
      <c r="D11" s="126" t="s">
        <v>11</v>
      </c>
      <c r="E11" s="119">
        <v>143.22</v>
      </c>
      <c r="F11" s="52"/>
      <c r="G11" s="52">
        <f>E11+F11</f>
        <v>143.22</v>
      </c>
      <c r="H11" s="435">
        <f>+C47</f>
        <v>67.61399999999999</v>
      </c>
      <c r="I11" s="52">
        <f t="shared" ref="I11:I18" si="2">G11-H11</f>
        <v>75.606000000000009</v>
      </c>
      <c r="J11" s="412">
        <f t="shared" si="1"/>
        <v>0.47209886887306235</v>
      </c>
      <c r="K11" s="127" t="s">
        <v>116</v>
      </c>
      <c r="L11" s="505">
        <f>E11+E12</f>
        <v>159.18</v>
      </c>
      <c r="M11" s="506">
        <f>F11+F12</f>
        <v>0</v>
      </c>
      <c r="N11" s="506">
        <f>L11+M11</f>
        <v>159.18</v>
      </c>
      <c r="O11" s="506">
        <f>H11+H12</f>
        <v>67.61399999999999</v>
      </c>
      <c r="P11" s="506">
        <f>N11-O11</f>
        <v>91.566000000000017</v>
      </c>
      <c r="Q11" s="507">
        <f>O11/N11</f>
        <v>0.42476441764040701</v>
      </c>
      <c r="S11" s="47"/>
      <c r="T11" s="48"/>
      <c r="U11" s="47"/>
    </row>
    <row r="12" spans="1:21" ht="15.75" thickBot="1">
      <c r="A12" s="81">
        <v>22.62</v>
      </c>
      <c r="B12" s="532"/>
      <c r="C12" s="536"/>
      <c r="D12" s="120" t="s">
        <v>12</v>
      </c>
      <c r="E12" s="109">
        <v>15.96</v>
      </c>
      <c r="F12" s="64"/>
      <c r="G12" s="68">
        <f>E12+F12+I11</f>
        <v>91.566000000000003</v>
      </c>
      <c r="H12" s="430"/>
      <c r="I12" s="108">
        <f t="shared" si="2"/>
        <v>91.566000000000003</v>
      </c>
      <c r="J12" s="412">
        <f t="shared" si="1"/>
        <v>0</v>
      </c>
      <c r="K12" s="124" t="s">
        <v>116</v>
      </c>
      <c r="L12" s="508"/>
      <c r="M12" s="497"/>
      <c r="N12" s="497"/>
      <c r="O12" s="497"/>
      <c r="P12" s="497"/>
      <c r="Q12" s="499"/>
      <c r="S12" s="47"/>
    </row>
    <row r="13" spans="1:21">
      <c r="A13" s="81">
        <v>189.58</v>
      </c>
      <c r="B13" s="532"/>
      <c r="C13" s="536" t="s">
        <v>117</v>
      </c>
      <c r="D13" s="120" t="s">
        <v>11</v>
      </c>
      <c r="E13" s="109">
        <v>135.036</v>
      </c>
      <c r="F13" s="64"/>
      <c r="G13" s="68">
        <f>E13+F13</f>
        <v>135.036</v>
      </c>
      <c r="H13" s="432">
        <f>+C48</f>
        <v>105.16900000000001</v>
      </c>
      <c r="I13" s="108">
        <f t="shared" si="2"/>
        <v>29.86699999999999</v>
      </c>
      <c r="J13" s="412">
        <f t="shared" si="1"/>
        <v>0.77882194377795555</v>
      </c>
      <c r="K13" s="124" t="s">
        <v>116</v>
      </c>
      <c r="L13" s="504">
        <f>E13+E14</f>
        <v>150.084</v>
      </c>
      <c r="M13" s="496">
        <f>F13+F14</f>
        <v>0</v>
      </c>
      <c r="N13" s="496">
        <f>L13+M13</f>
        <v>150.084</v>
      </c>
      <c r="O13" s="496">
        <f>H13+H14</f>
        <v>105.16900000000001</v>
      </c>
      <c r="P13" s="496">
        <f>N13-O13</f>
        <v>44.914999999999992</v>
      </c>
      <c r="Q13" s="498">
        <f>O13/N13</f>
        <v>0.70073425548359591</v>
      </c>
    </row>
    <row r="14" spans="1:21" ht="15.75" thickBot="1">
      <c r="A14" s="81">
        <v>21.22</v>
      </c>
      <c r="B14" s="532"/>
      <c r="C14" s="536"/>
      <c r="D14" s="120" t="s">
        <v>12</v>
      </c>
      <c r="E14" s="109">
        <v>15.048</v>
      </c>
      <c r="F14" s="64"/>
      <c r="G14" s="134">
        <f>E14+F14+I13</f>
        <v>44.914999999999992</v>
      </c>
      <c r="H14" s="431"/>
      <c r="I14" s="135">
        <f t="shared" si="2"/>
        <v>44.914999999999992</v>
      </c>
      <c r="J14" s="412">
        <f t="shared" si="1"/>
        <v>0</v>
      </c>
      <c r="K14" s="124" t="s">
        <v>116</v>
      </c>
      <c r="L14" s="508"/>
      <c r="M14" s="497"/>
      <c r="N14" s="497"/>
      <c r="O14" s="497"/>
      <c r="P14" s="497"/>
      <c r="Q14" s="499"/>
      <c r="T14" s="47"/>
    </row>
    <row r="15" spans="1:21">
      <c r="A15" s="81">
        <v>146.37</v>
      </c>
      <c r="B15" s="532"/>
      <c r="C15" s="536" t="s">
        <v>110</v>
      </c>
      <c r="D15" s="118" t="s">
        <v>11</v>
      </c>
      <c r="E15" s="119">
        <v>197.78</v>
      </c>
      <c r="F15" s="133">
        <v>-21.981999999999999</v>
      </c>
      <c r="G15" s="68">
        <f>E15+F15</f>
        <v>175.798</v>
      </c>
      <c r="H15" s="432">
        <f>+C49</f>
        <v>110.51700000000001</v>
      </c>
      <c r="I15" s="66">
        <f t="shared" si="2"/>
        <v>65.280999999999992</v>
      </c>
      <c r="J15" s="412">
        <f t="shared" si="1"/>
        <v>0.62865902911295923</v>
      </c>
      <c r="K15" s="124" t="s">
        <v>116</v>
      </c>
      <c r="L15" s="504">
        <f>E15+E16</f>
        <v>219.82</v>
      </c>
      <c r="M15" s="496">
        <f>F15+F16</f>
        <v>-21.981999999999999</v>
      </c>
      <c r="N15" s="496">
        <f>L15+M15</f>
        <v>197.83799999999999</v>
      </c>
      <c r="O15" s="496">
        <f>H15+H16</f>
        <v>128.49900000000002</v>
      </c>
      <c r="P15" s="496">
        <f>N15-O15</f>
        <v>69.33899999999997</v>
      </c>
      <c r="Q15" s="498">
        <f>O15/N15</f>
        <v>0.64951627088830266</v>
      </c>
      <c r="T15" s="47"/>
    </row>
    <row r="16" spans="1:21" ht="15.75" thickBot="1">
      <c r="A16" s="81">
        <v>16.38</v>
      </c>
      <c r="B16" s="532"/>
      <c r="C16" s="536"/>
      <c r="D16" s="117" t="s">
        <v>12</v>
      </c>
      <c r="E16" s="109">
        <v>22.04</v>
      </c>
      <c r="F16" s="108"/>
      <c r="G16" s="134">
        <f>E16+F16+I15</f>
        <v>87.320999999999998</v>
      </c>
      <c r="H16" s="430">
        <v>17.981999999999999</v>
      </c>
      <c r="I16" s="108">
        <f t="shared" si="2"/>
        <v>69.338999999999999</v>
      </c>
      <c r="J16" s="412">
        <f t="shared" si="1"/>
        <v>0.20592984505445425</v>
      </c>
      <c r="K16" s="124" t="s">
        <v>116</v>
      </c>
      <c r="L16" s="508"/>
      <c r="M16" s="497"/>
      <c r="N16" s="497"/>
      <c r="O16" s="497"/>
      <c r="P16" s="497"/>
      <c r="Q16" s="499"/>
      <c r="S16" s="47"/>
      <c r="T16" s="47"/>
      <c r="U16" s="48"/>
    </row>
    <row r="17" spans="1:17">
      <c r="A17" s="81">
        <v>138.01</v>
      </c>
      <c r="B17" s="532"/>
      <c r="C17" s="536" t="s">
        <v>111</v>
      </c>
      <c r="D17" s="120" t="s">
        <v>11</v>
      </c>
      <c r="E17" s="109">
        <v>185.50399999999999</v>
      </c>
      <c r="F17" s="64"/>
      <c r="G17" s="68">
        <f>E17+F17</f>
        <v>185.50399999999999</v>
      </c>
      <c r="H17" s="432">
        <f>+C51</f>
        <v>123.20699999999999</v>
      </c>
      <c r="I17" s="108">
        <f t="shared" si="2"/>
        <v>62.296999999999997</v>
      </c>
      <c r="J17" s="412">
        <f t="shared" si="1"/>
        <v>0.66417435742625497</v>
      </c>
      <c r="K17" s="124" t="s">
        <v>116</v>
      </c>
      <c r="L17" s="504">
        <f>E17+E18</f>
        <v>206.17599999999999</v>
      </c>
      <c r="M17" s="496">
        <f>F17+F18</f>
        <v>0</v>
      </c>
      <c r="N17" s="496">
        <f>L17+M17</f>
        <v>206.17599999999999</v>
      </c>
      <c r="O17" s="496">
        <f>H17+H18</f>
        <v>124.70099999999999</v>
      </c>
      <c r="P17" s="496">
        <f>N17-O17</f>
        <v>81.474999999999994</v>
      </c>
      <c r="Q17" s="498">
        <f>O17/N17</f>
        <v>0.6048279140152103</v>
      </c>
    </row>
    <row r="18" spans="1:17" ht="18.600000000000001" customHeight="1" thickBot="1">
      <c r="A18" s="81">
        <v>15.44</v>
      </c>
      <c r="B18" s="532"/>
      <c r="C18" s="536"/>
      <c r="D18" s="120" t="s">
        <v>12</v>
      </c>
      <c r="E18" s="109">
        <v>20.672000000000001</v>
      </c>
      <c r="F18" s="64"/>
      <c r="G18" s="68">
        <f>E18+F18+I17</f>
        <v>82.968999999999994</v>
      </c>
      <c r="H18" s="430">
        <v>1.494</v>
      </c>
      <c r="I18" s="108">
        <f t="shared" si="2"/>
        <v>81.474999999999994</v>
      </c>
      <c r="J18" s="412">
        <f t="shared" si="1"/>
        <v>1.8006725403463944E-2</v>
      </c>
      <c r="K18" s="124" t="s">
        <v>116</v>
      </c>
      <c r="L18" s="508"/>
      <c r="M18" s="497"/>
      <c r="N18" s="497"/>
      <c r="O18" s="497"/>
      <c r="P18" s="497"/>
      <c r="Q18" s="499"/>
    </row>
    <row r="19" spans="1:17" ht="18" customHeight="1">
      <c r="A19" s="81">
        <v>20.91</v>
      </c>
      <c r="B19" s="532"/>
      <c r="C19" s="534" t="s">
        <v>113</v>
      </c>
      <c r="D19" s="117" t="s">
        <v>11</v>
      </c>
      <c r="E19" s="110">
        <v>20.46</v>
      </c>
      <c r="G19" s="68">
        <f>E19+F19</f>
        <v>20.46</v>
      </c>
      <c r="H19" s="432">
        <f>C50</f>
        <v>17.691000000000006</v>
      </c>
      <c r="I19" s="108">
        <f>G19-H19</f>
        <v>2.7689999999999948</v>
      </c>
      <c r="J19" s="412">
        <f t="shared" ref="J19:J20" si="3">(H19/G19)</f>
        <v>0.86466275659824077</v>
      </c>
      <c r="K19" s="124" t="s">
        <v>116</v>
      </c>
      <c r="L19" s="504">
        <f>E19+E20</f>
        <v>22.740000000000002</v>
      </c>
      <c r="M19" s="496">
        <f>F19+F20</f>
        <v>0</v>
      </c>
      <c r="N19" s="496">
        <f>L19+M19</f>
        <v>22.740000000000002</v>
      </c>
      <c r="O19" s="496">
        <f>H19+H20</f>
        <v>19.017000000000007</v>
      </c>
      <c r="P19" s="496">
        <f>N19-O19</f>
        <v>3.7229999999999954</v>
      </c>
      <c r="Q19" s="498">
        <f>O19/N19</f>
        <v>0.83627968337730896</v>
      </c>
    </row>
    <row r="20" spans="1:17" ht="14.45" customHeight="1" thickBot="1">
      <c r="A20" s="81">
        <v>2.34</v>
      </c>
      <c r="B20" s="533"/>
      <c r="C20" s="535"/>
      <c r="D20" s="122" t="s">
        <v>12</v>
      </c>
      <c r="E20" s="123">
        <v>2.2799999999999998</v>
      </c>
      <c r="F20" s="77"/>
      <c r="G20" s="68">
        <f>E20+F20+I19</f>
        <v>5.0489999999999942</v>
      </c>
      <c r="H20" s="430">
        <v>1.3260000000000001</v>
      </c>
      <c r="I20" s="77">
        <f t="shared" ref="I20" si="4">G20-H20</f>
        <v>3.7229999999999941</v>
      </c>
      <c r="J20" s="416">
        <f t="shared" si="3"/>
        <v>0.26262626262626293</v>
      </c>
      <c r="K20" s="125" t="s">
        <v>116</v>
      </c>
      <c r="L20" s="505"/>
      <c r="M20" s="497"/>
      <c r="N20" s="506"/>
      <c r="O20" s="506"/>
      <c r="P20" s="506"/>
      <c r="Q20" s="507"/>
    </row>
    <row r="21" spans="1:17" ht="15" customHeight="1">
      <c r="A21" s="81">
        <v>249</v>
      </c>
      <c r="B21" s="500" t="s">
        <v>14</v>
      </c>
      <c r="C21" s="502" t="s">
        <v>109</v>
      </c>
      <c r="D21" s="11" t="s">
        <v>15</v>
      </c>
      <c r="E21" s="57">
        <v>193</v>
      </c>
      <c r="F21" s="58"/>
      <c r="G21" s="71">
        <f>E21+F21</f>
        <v>193</v>
      </c>
      <c r="H21" s="433">
        <f>+E46</f>
        <v>193.47799999999998</v>
      </c>
      <c r="I21" s="332">
        <f t="shared" ref="I21:I30" si="5">G21-H21</f>
        <v>-0.47799999999998022</v>
      </c>
      <c r="J21" s="414">
        <f>(H21/G21)</f>
        <v>1.0024766839378236</v>
      </c>
      <c r="K21" s="420">
        <v>43508</v>
      </c>
      <c r="L21" s="511">
        <f>E21+E22+E23</f>
        <v>578</v>
      </c>
      <c r="M21" s="514">
        <f>F21+F22+F23</f>
        <v>0</v>
      </c>
      <c r="N21" s="514">
        <f>L21+M21</f>
        <v>578</v>
      </c>
      <c r="O21" s="514">
        <f>H21+H22+H23</f>
        <v>578.45000000000005</v>
      </c>
      <c r="P21" s="517">
        <f>N21-O21</f>
        <v>-0.45000000000004547</v>
      </c>
      <c r="Q21" s="498">
        <f>O21/N21</f>
        <v>1.0007785467128028</v>
      </c>
    </row>
    <row r="22" spans="1:17">
      <c r="A22" s="81">
        <v>207</v>
      </c>
      <c r="B22" s="501"/>
      <c r="C22" s="503"/>
      <c r="D22" s="80" t="s">
        <v>16</v>
      </c>
      <c r="E22" s="64">
        <v>193</v>
      </c>
      <c r="F22" s="67"/>
      <c r="G22" s="68">
        <f>E22+F22+I21</f>
        <v>192.52200000000002</v>
      </c>
      <c r="H22" s="197">
        <f>+E49</f>
        <v>196.39000000000001</v>
      </c>
      <c r="I22" s="133">
        <f t="shared" si="5"/>
        <v>-3.867999999999995</v>
      </c>
      <c r="J22" s="412">
        <f t="shared" ref="J22:J29" si="6">(H22/G22)</f>
        <v>1.0200912103551802</v>
      </c>
      <c r="K22" s="124">
        <v>43608</v>
      </c>
      <c r="L22" s="512"/>
      <c r="M22" s="515"/>
      <c r="N22" s="515"/>
      <c r="O22" s="515"/>
      <c r="P22" s="518"/>
      <c r="Q22" s="507"/>
    </row>
    <row r="23" spans="1:17" ht="15.75" thickBot="1">
      <c r="A23" s="81">
        <v>114</v>
      </c>
      <c r="B23" s="509"/>
      <c r="C23" s="510"/>
      <c r="D23" s="10" t="s">
        <v>12</v>
      </c>
      <c r="E23" s="54">
        <v>192</v>
      </c>
      <c r="F23" s="55"/>
      <c r="G23" s="69">
        <f>E23+F23+I22</f>
        <v>188.13200000000001</v>
      </c>
      <c r="H23" s="434">
        <v>188.58199999999999</v>
      </c>
      <c r="I23" s="70">
        <f t="shared" si="5"/>
        <v>-0.44999999999998863</v>
      </c>
      <c r="J23" s="417">
        <f t="shared" si="6"/>
        <v>1.0023919375757446</v>
      </c>
      <c r="K23" s="129">
        <v>43790</v>
      </c>
      <c r="L23" s="513"/>
      <c r="M23" s="516"/>
      <c r="N23" s="516"/>
      <c r="O23" s="516"/>
      <c r="P23" s="519"/>
      <c r="Q23" s="499"/>
    </row>
    <row r="24" spans="1:17" ht="15" customHeight="1">
      <c r="A24" s="81">
        <v>4</v>
      </c>
      <c r="B24" s="501" t="s">
        <v>17</v>
      </c>
      <c r="C24" s="503" t="s">
        <v>109</v>
      </c>
      <c r="D24" s="12" t="s">
        <v>11</v>
      </c>
      <c r="E24" s="52">
        <v>5</v>
      </c>
      <c r="F24" s="53"/>
      <c r="G24" s="65">
        <f>E24+F24</f>
        <v>5</v>
      </c>
      <c r="H24" s="52"/>
      <c r="I24" s="66">
        <f t="shared" si="5"/>
        <v>5</v>
      </c>
      <c r="J24" s="412">
        <f t="shared" si="6"/>
        <v>0</v>
      </c>
      <c r="K24" s="127" t="s">
        <v>116</v>
      </c>
      <c r="L24" s="505">
        <f>E24+E25</f>
        <v>6</v>
      </c>
      <c r="M24" s="506">
        <f>F24+F25</f>
        <v>0</v>
      </c>
      <c r="N24" s="506">
        <f>L24+M24</f>
        <v>6</v>
      </c>
      <c r="O24" s="506">
        <f>H24+H25</f>
        <v>0</v>
      </c>
      <c r="P24" s="506">
        <f>N24-O24</f>
        <v>6</v>
      </c>
      <c r="Q24" s="507">
        <f>O24/N24</f>
        <v>0</v>
      </c>
    </row>
    <row r="25" spans="1:17" ht="15.75" thickBot="1">
      <c r="A25" s="81">
        <v>1</v>
      </c>
      <c r="B25" s="509"/>
      <c r="C25" s="510"/>
      <c r="D25" s="10" t="s">
        <v>12</v>
      </c>
      <c r="E25" s="54">
        <v>1</v>
      </c>
      <c r="F25" s="55"/>
      <c r="G25" s="69">
        <f>E25+F25+I24</f>
        <v>6</v>
      </c>
      <c r="H25" s="137"/>
      <c r="I25" s="70">
        <f t="shared" si="5"/>
        <v>6</v>
      </c>
      <c r="J25" s="415">
        <f t="shared" si="6"/>
        <v>0</v>
      </c>
      <c r="K25" s="124" t="s">
        <v>116</v>
      </c>
      <c r="L25" s="508"/>
      <c r="M25" s="497"/>
      <c r="N25" s="497"/>
      <c r="O25" s="497"/>
      <c r="P25" s="497"/>
      <c r="Q25" s="499"/>
    </row>
    <row r="26" spans="1:17" ht="15" customHeight="1">
      <c r="A26" s="81">
        <v>4</v>
      </c>
      <c r="B26" s="501" t="s">
        <v>18</v>
      </c>
      <c r="C26" s="503" t="s">
        <v>109</v>
      </c>
      <c r="D26" s="12" t="s">
        <v>11</v>
      </c>
      <c r="E26" s="52">
        <v>5</v>
      </c>
      <c r="F26" s="53"/>
      <c r="G26" s="65">
        <f>E26+F26</f>
        <v>5</v>
      </c>
      <c r="H26" s="79"/>
      <c r="I26" s="66">
        <f t="shared" si="5"/>
        <v>5</v>
      </c>
      <c r="J26" s="418">
        <f t="shared" si="6"/>
        <v>0</v>
      </c>
      <c r="K26" s="124" t="s">
        <v>116</v>
      </c>
      <c r="L26" s="504">
        <f>E26+E27</f>
        <v>6</v>
      </c>
      <c r="M26" s="496">
        <f>F26+F27</f>
        <v>0</v>
      </c>
      <c r="N26" s="496">
        <f>L26+M26</f>
        <v>6</v>
      </c>
      <c r="O26" s="496">
        <f>H26+H27</f>
        <v>0</v>
      </c>
      <c r="P26" s="496">
        <f>N26-O26</f>
        <v>6</v>
      </c>
      <c r="Q26" s="498">
        <f>O26/N26</f>
        <v>0</v>
      </c>
    </row>
    <row r="27" spans="1:17" ht="15.75" thickBot="1">
      <c r="A27" s="81">
        <v>1</v>
      </c>
      <c r="B27" s="501"/>
      <c r="C27" s="503"/>
      <c r="D27" s="50" t="s">
        <v>12</v>
      </c>
      <c r="E27" s="59">
        <v>1</v>
      </c>
      <c r="F27" s="60"/>
      <c r="G27" s="75">
        <f>E27+F27+I26</f>
        <v>6</v>
      </c>
      <c r="H27" s="76"/>
      <c r="I27" s="77">
        <f t="shared" si="5"/>
        <v>6</v>
      </c>
      <c r="J27" s="413">
        <f t="shared" si="6"/>
        <v>0</v>
      </c>
      <c r="K27" s="124" t="s">
        <v>116</v>
      </c>
      <c r="L27" s="508"/>
      <c r="M27" s="497"/>
      <c r="N27" s="497"/>
      <c r="O27" s="497"/>
      <c r="P27" s="497"/>
      <c r="Q27" s="499"/>
    </row>
    <row r="28" spans="1:17" ht="15" customHeight="1">
      <c r="A28" s="81">
        <v>4</v>
      </c>
      <c r="B28" s="500" t="s">
        <v>19</v>
      </c>
      <c r="C28" s="502" t="s">
        <v>109</v>
      </c>
      <c r="D28" s="11" t="s">
        <v>11</v>
      </c>
      <c r="E28" s="57">
        <v>5</v>
      </c>
      <c r="F28" s="58"/>
      <c r="G28" s="71">
        <f>E28+F28</f>
        <v>5</v>
      </c>
      <c r="H28" s="78"/>
      <c r="I28" s="72">
        <f t="shared" si="5"/>
        <v>5</v>
      </c>
      <c r="J28" s="414">
        <f t="shared" si="6"/>
        <v>0</v>
      </c>
      <c r="K28" s="124" t="s">
        <v>116</v>
      </c>
      <c r="L28" s="504">
        <f>E28+E29</f>
        <v>6</v>
      </c>
      <c r="M28" s="496">
        <f>F28+F29</f>
        <v>0</v>
      </c>
      <c r="N28" s="496">
        <f>L28+M28</f>
        <v>6</v>
      </c>
      <c r="O28" s="496">
        <f>H28+H29</f>
        <v>0</v>
      </c>
      <c r="P28" s="496">
        <f>N28-O28</f>
        <v>6</v>
      </c>
      <c r="Q28" s="498">
        <f>O28/N28</f>
        <v>0</v>
      </c>
    </row>
    <row r="29" spans="1:17" ht="15.75" thickBot="1">
      <c r="A29" s="81">
        <v>1</v>
      </c>
      <c r="B29" s="501"/>
      <c r="C29" s="503"/>
      <c r="D29" s="50" t="s">
        <v>12</v>
      </c>
      <c r="E29" s="59">
        <v>1</v>
      </c>
      <c r="F29" s="60"/>
      <c r="G29" s="75">
        <f>E29+F29+I28</f>
        <v>6</v>
      </c>
      <c r="H29" s="76"/>
      <c r="I29" s="77">
        <f t="shared" si="5"/>
        <v>6</v>
      </c>
      <c r="J29" s="413">
        <f t="shared" si="6"/>
        <v>0</v>
      </c>
      <c r="K29" s="125" t="s">
        <v>116</v>
      </c>
      <c r="L29" s="505"/>
      <c r="M29" s="506"/>
      <c r="N29" s="506"/>
      <c r="O29" s="506"/>
      <c r="P29" s="506"/>
      <c r="Q29" s="507"/>
    </row>
    <row r="30" spans="1:17" ht="15" customHeight="1">
      <c r="B30" s="480" t="s">
        <v>141</v>
      </c>
      <c r="C30" s="482"/>
      <c r="D30" s="492" t="s">
        <v>114</v>
      </c>
      <c r="E30" s="491">
        <f>SUM(E7:E29)</f>
        <v>1379</v>
      </c>
      <c r="F30" s="493">
        <f>SUM(F7:F29)</f>
        <v>-21.981999999999999</v>
      </c>
      <c r="G30" s="491">
        <f>E30+F30</f>
        <v>1357.018</v>
      </c>
      <c r="H30" s="491">
        <f>SUM(H7:H29)</f>
        <v>1023.45</v>
      </c>
      <c r="I30" s="491">
        <f t="shared" si="5"/>
        <v>333.56799999999998</v>
      </c>
      <c r="J30" s="494">
        <f>(H30/G30)</f>
        <v>0.75419043815188891</v>
      </c>
      <c r="K30" s="112" t="s">
        <v>116</v>
      </c>
      <c r="L30" s="487">
        <f>E30+E31</f>
        <v>1379</v>
      </c>
      <c r="M30" s="487">
        <f>F30+F31</f>
        <v>-21.981999999999999</v>
      </c>
      <c r="N30" s="487">
        <f>L30+M30</f>
        <v>1357.018</v>
      </c>
      <c r="O30" s="487">
        <f>H30+H31</f>
        <v>1023.45</v>
      </c>
      <c r="P30" s="487">
        <f>N30-O30</f>
        <v>333.56799999999998</v>
      </c>
      <c r="Q30" s="489">
        <f>O30/N30</f>
        <v>0.75419043815188891</v>
      </c>
    </row>
    <row r="31" spans="1:17" ht="15.75" thickBot="1">
      <c r="B31" s="478"/>
      <c r="C31" s="479"/>
      <c r="D31" s="469"/>
      <c r="E31" s="471"/>
      <c r="F31" s="475"/>
      <c r="G31" s="471"/>
      <c r="H31" s="471"/>
      <c r="I31" s="471"/>
      <c r="J31" s="495"/>
      <c r="K31" s="113" t="s">
        <v>116</v>
      </c>
      <c r="L31" s="488"/>
      <c r="M31" s="488"/>
      <c r="N31" s="488"/>
      <c r="O31" s="488"/>
      <c r="P31" s="488"/>
      <c r="Q31" s="490"/>
    </row>
    <row r="32" spans="1:17" s="1" customFormat="1"/>
    <row r="33" spans="2:11" s="1" customFormat="1">
      <c r="B33" s="476" t="s">
        <v>143</v>
      </c>
      <c r="C33" s="477"/>
      <c r="D33" s="468" t="s">
        <v>114</v>
      </c>
      <c r="E33" s="470">
        <f>+'Resumen anual_'!D14</f>
        <v>25</v>
      </c>
      <c r="F33" s="474" t="s">
        <v>144</v>
      </c>
      <c r="G33" s="470">
        <f>+E33</f>
        <v>25</v>
      </c>
      <c r="H33" s="466">
        <v>0</v>
      </c>
      <c r="I33" s="470">
        <f>+E33-H33</f>
        <v>25</v>
      </c>
      <c r="J33" s="472">
        <f>+H33/E33</f>
        <v>0</v>
      </c>
      <c r="K33" s="114" t="s">
        <v>116</v>
      </c>
    </row>
    <row r="34" spans="2:11" s="1" customFormat="1" ht="15.95" customHeight="1" thickBot="1">
      <c r="B34" s="478"/>
      <c r="C34" s="479"/>
      <c r="D34" s="469"/>
      <c r="E34" s="471"/>
      <c r="F34" s="475"/>
      <c r="G34" s="471"/>
      <c r="H34" s="467"/>
      <c r="I34" s="471"/>
      <c r="J34" s="473"/>
      <c r="K34" s="115" t="s">
        <v>116</v>
      </c>
    </row>
    <row r="35" spans="2:11" s="1" customFormat="1">
      <c r="D35" s="2"/>
    </row>
    <row r="36" spans="2:11" s="1" customFormat="1">
      <c r="D36" s="2"/>
      <c r="H36" s="39"/>
    </row>
    <row r="37" spans="2:11" s="1" customFormat="1" ht="15.75" thickBot="1">
      <c r="D37" s="2"/>
    </row>
    <row r="38" spans="2:11" s="1" customFormat="1" ht="14.45" customHeight="1">
      <c r="B38" s="480" t="s">
        <v>72</v>
      </c>
      <c r="C38" s="481"/>
      <c r="D38" s="481"/>
      <c r="E38" s="482"/>
    </row>
    <row r="39" spans="2:11" s="1" customFormat="1" ht="14.45" customHeight="1">
      <c r="B39" s="483"/>
      <c r="C39" s="484"/>
      <c r="D39" s="484"/>
      <c r="E39" s="485"/>
    </row>
    <row r="40" spans="2:11" s="1" customFormat="1" ht="14.45" customHeight="1">
      <c r="B40" s="483"/>
      <c r="C40" s="484"/>
      <c r="D40" s="484"/>
      <c r="E40" s="485"/>
    </row>
    <row r="41" spans="2:11" s="1" customFormat="1" ht="14.45" customHeight="1">
      <c r="B41" s="483"/>
      <c r="C41" s="484"/>
      <c r="D41" s="484"/>
      <c r="E41" s="485"/>
    </row>
    <row r="42" spans="2:11" s="1" customFormat="1" ht="15" customHeight="1" thickBot="1">
      <c r="B42" s="478"/>
      <c r="C42" s="486"/>
      <c r="D42" s="486"/>
      <c r="E42" s="479"/>
    </row>
    <row r="43" spans="2:11" s="1" customFormat="1">
      <c r="D43" s="2"/>
    </row>
    <row r="44" spans="2:11" s="1" customFormat="1">
      <c r="D44" s="2"/>
    </row>
    <row r="45" spans="2:11" s="1" customFormat="1">
      <c r="B45" s="464" t="s">
        <v>85</v>
      </c>
      <c r="C45" s="465"/>
      <c r="D45" s="464" t="s">
        <v>86</v>
      </c>
      <c r="E45" s="465"/>
    </row>
    <row r="46" spans="2:11" s="1" customFormat="1">
      <c r="B46" s="343" t="s">
        <v>209</v>
      </c>
      <c r="C46" s="343">
        <f>SUM(C47:C51)</f>
        <v>424.19800000000004</v>
      </c>
      <c r="D46" s="121" t="s">
        <v>196</v>
      </c>
      <c r="E46" s="121">
        <f>+E47+E48</f>
        <v>193.47799999999998</v>
      </c>
    </row>
    <row r="47" spans="2:11" s="1" customFormat="1">
      <c r="B47" s="342" t="s">
        <v>112</v>
      </c>
      <c r="C47" s="41">
        <v>67.61399999999999</v>
      </c>
      <c r="D47" s="344" t="s">
        <v>150</v>
      </c>
      <c r="E47" s="345">
        <v>113.24799999999998</v>
      </c>
    </row>
    <row r="48" spans="2:11" s="1" customFormat="1">
      <c r="B48" s="342" t="s">
        <v>117</v>
      </c>
      <c r="C48" s="41">
        <v>105.16900000000001</v>
      </c>
      <c r="D48" s="344" t="s">
        <v>151</v>
      </c>
      <c r="E48" s="345">
        <v>80.23</v>
      </c>
    </row>
    <row r="49" spans="2:6" s="1" customFormat="1">
      <c r="B49" s="342" t="s">
        <v>110</v>
      </c>
      <c r="C49" s="41">
        <v>110.51700000000001</v>
      </c>
      <c r="D49" s="121" t="s">
        <v>197</v>
      </c>
      <c r="E49" s="121">
        <f>SUM(E50:E51)</f>
        <v>196.39000000000001</v>
      </c>
    </row>
    <row r="50" spans="2:6" s="1" customFormat="1">
      <c r="B50" s="342" t="s">
        <v>148</v>
      </c>
      <c r="C50" s="41">
        <v>17.691000000000006</v>
      </c>
      <c r="D50" s="344" t="s">
        <v>150</v>
      </c>
      <c r="E50" s="41">
        <v>73.738</v>
      </c>
    </row>
    <row r="51" spans="2:6" s="1" customFormat="1">
      <c r="B51" s="342" t="s">
        <v>149</v>
      </c>
      <c r="C51" s="41">
        <v>123.20699999999999</v>
      </c>
      <c r="D51" s="344" t="s">
        <v>151</v>
      </c>
      <c r="E51" s="41">
        <v>122.65200000000002</v>
      </c>
    </row>
    <row r="52" spans="2:6" s="1" customFormat="1">
      <c r="B52" s="343" t="s">
        <v>121</v>
      </c>
      <c r="C52" s="121">
        <f>+C46</f>
        <v>424.19800000000004</v>
      </c>
      <c r="D52" s="121" t="s">
        <v>121</v>
      </c>
      <c r="E52" s="121">
        <f>+E49+E46</f>
        <v>389.86799999999999</v>
      </c>
      <c r="F52" s="353">
        <f>+E52+C52</f>
        <v>814.06600000000003</v>
      </c>
    </row>
    <row r="53" spans="2:6" s="1" customFormat="1">
      <c r="D53" s="2"/>
    </row>
    <row r="54" spans="2:6" s="1" customFormat="1">
      <c r="D54" s="2"/>
    </row>
    <row r="55" spans="2:6" s="1" customFormat="1">
      <c r="D55" s="2"/>
    </row>
    <row r="56" spans="2:6" s="1" customFormat="1">
      <c r="D56" s="2"/>
    </row>
    <row r="57" spans="2:6" s="1" customFormat="1">
      <c r="D57" s="2"/>
    </row>
    <row r="58" spans="2:6" s="1" customFormat="1">
      <c r="D58" s="2"/>
    </row>
    <row r="59" spans="2:6" s="1" customFormat="1">
      <c r="D59" s="2"/>
    </row>
    <row r="60" spans="2:6" s="1" customFormat="1">
      <c r="D60" s="2"/>
    </row>
    <row r="61" spans="2:6" s="1" customFormat="1">
      <c r="D61" s="2"/>
    </row>
    <row r="62" spans="2:6" s="1" customFormat="1">
      <c r="D62" s="2"/>
    </row>
    <row r="63" spans="2:6" s="1" customFormat="1">
      <c r="D63" s="2"/>
    </row>
    <row r="64" spans="2:6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</sheetData>
  <mergeCells count="112">
    <mergeCell ref="P9:P10"/>
    <mergeCell ref="Q9:Q10"/>
    <mergeCell ref="L17:L18"/>
    <mergeCell ref="M17:M18"/>
    <mergeCell ref="L11:L12"/>
    <mergeCell ref="L13:L14"/>
    <mergeCell ref="B11:B20"/>
    <mergeCell ref="L15:L16"/>
    <mergeCell ref="M15:M16"/>
    <mergeCell ref="N15:N16"/>
    <mergeCell ref="O15:O16"/>
    <mergeCell ref="C19:C20"/>
    <mergeCell ref="L19:L20"/>
    <mergeCell ref="B9:B10"/>
    <mergeCell ref="C9:C10"/>
    <mergeCell ref="L9:L10"/>
    <mergeCell ref="M9:M10"/>
    <mergeCell ref="N9:N10"/>
    <mergeCell ref="O9:O10"/>
    <mergeCell ref="Q17:Q18"/>
    <mergeCell ref="C13:C14"/>
    <mergeCell ref="C15:C16"/>
    <mergeCell ref="C17:C18"/>
    <mergeCell ref="C11:C12"/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24:P25"/>
    <mergeCell ref="Q24:Q25"/>
    <mergeCell ref="P21:P23"/>
    <mergeCell ref="Q21:Q23"/>
    <mergeCell ref="M11:M12"/>
    <mergeCell ref="N11:N12"/>
    <mergeCell ref="O11:O12"/>
    <mergeCell ref="P11:P12"/>
    <mergeCell ref="N19:N20"/>
    <mergeCell ref="O19:O20"/>
    <mergeCell ref="P19:P20"/>
    <mergeCell ref="Q19:Q20"/>
    <mergeCell ref="M13:M14"/>
    <mergeCell ref="N13:N14"/>
    <mergeCell ref="O13:O14"/>
    <mergeCell ref="Q11:Q12"/>
    <mergeCell ref="P15:P16"/>
    <mergeCell ref="Q15:Q16"/>
    <mergeCell ref="M19:M20"/>
    <mergeCell ref="N17:N18"/>
    <mergeCell ref="O17:O18"/>
    <mergeCell ref="P17:P18"/>
    <mergeCell ref="Q13:Q14"/>
    <mergeCell ref="P13:P14"/>
    <mergeCell ref="B21:B23"/>
    <mergeCell ref="C21:C23"/>
    <mergeCell ref="L21:L23"/>
    <mergeCell ref="M21:M23"/>
    <mergeCell ref="N21:N23"/>
    <mergeCell ref="O21:O23"/>
    <mergeCell ref="B24:B25"/>
    <mergeCell ref="C24:C25"/>
    <mergeCell ref="L24:L25"/>
    <mergeCell ref="M24:M25"/>
    <mergeCell ref="N24:N25"/>
    <mergeCell ref="O24:O25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B30:C31"/>
    <mergeCell ref="P30:P31"/>
    <mergeCell ref="Q30:Q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O30:O31"/>
    <mergeCell ref="B45:C45"/>
    <mergeCell ref="D45:E45"/>
    <mergeCell ref="H33:H34"/>
    <mergeCell ref="D33:D34"/>
    <mergeCell ref="E33:E34"/>
    <mergeCell ref="I33:I34"/>
    <mergeCell ref="J33:J34"/>
    <mergeCell ref="F33:F34"/>
    <mergeCell ref="G33:G34"/>
    <mergeCell ref="B33:C34"/>
    <mergeCell ref="B38:E42"/>
  </mergeCells>
  <conditionalFormatting sqref="J7:J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{7F92BAE9-C4D9-4E4F-BD37-B22114C9A4EA}</x14:id>
        </ext>
      </extLst>
    </cfRule>
  </conditionalFormatting>
  <conditionalFormatting sqref="Q7:Q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{3302688F-3AD4-404B-AE26-1C6D19C15902}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H32 G8 G10:G12 N7:N10 N19:N32 G21 G24:G29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92BAE9-C4D9-4E4F-BD37-B22114C9A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J7:J31</xm:sqref>
        </x14:conditionalFormatting>
        <x14:conditionalFormatting xmlns:xm="http://schemas.microsoft.com/office/excel/2006/main">
          <x14:cfRule type="dataBar" id="{3302688F-3AD4-404B-AE26-1C6D19C159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Q7:Q31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1B1DE"/>
  </sheetPr>
  <dimension ref="A1:EL80"/>
  <sheetViews>
    <sheetView tabSelected="1" zoomScale="80" zoomScaleNormal="80" workbookViewId="0">
      <pane xSplit="4" ySplit="8" topLeftCell="E33" activePane="bottomRight" state="frozen"/>
      <selection pane="topRight" activeCell="D1" sqref="D1"/>
      <selection pane="bottomLeft" activeCell="A7" sqref="A7"/>
      <selection pane="bottomRight" activeCell="L62" sqref="L62"/>
    </sheetView>
  </sheetViews>
  <sheetFormatPr baseColWidth="10" defaultColWidth="11.42578125" defaultRowHeight="15"/>
  <cols>
    <col min="1" max="1" width="17.7109375" style="232" customWidth="1"/>
    <col min="2" max="2" width="37" style="232" customWidth="1"/>
    <col min="3" max="3" width="13" style="233" customWidth="1"/>
    <col min="4" max="4" width="12" style="232" customWidth="1"/>
    <col min="5" max="5" width="13.7109375" style="232" customWidth="1"/>
    <col min="6" max="6" width="17.7109375" style="232" customWidth="1"/>
    <col min="7" max="7" width="9" style="232" customWidth="1"/>
    <col min="8" max="8" width="9.42578125" style="232" customWidth="1"/>
    <col min="9" max="9" width="9.7109375" style="232" customWidth="1"/>
    <col min="10" max="10" width="11.140625" style="232" customWidth="1"/>
    <col min="11" max="11" width="11.7109375" style="232" customWidth="1"/>
    <col min="12" max="12" width="19.140625" style="232" customWidth="1"/>
    <col min="13" max="13" width="9.7109375" style="232" customWidth="1"/>
    <col min="14" max="14" width="11.7109375" style="232" customWidth="1"/>
    <col min="15" max="17" width="9.7109375" style="232" customWidth="1"/>
    <col min="18" max="18" width="12.7109375" style="232" customWidth="1"/>
    <col min="19" max="19" width="9.7109375" style="232" customWidth="1"/>
    <col min="20" max="20" width="9.28515625" style="232" customWidth="1"/>
    <col min="21" max="22" width="9.7109375" style="232" customWidth="1"/>
    <col min="23" max="23" width="11.7109375" style="232" customWidth="1"/>
    <col min="24" max="27" width="9.7109375" style="232" customWidth="1"/>
    <col min="28" max="28" width="11" style="232" customWidth="1"/>
    <col min="29" max="32" width="9.7109375" style="232" customWidth="1"/>
    <col min="33" max="33" width="9.7109375" style="234" customWidth="1"/>
    <col min="34" max="40" width="9.7109375" style="232" customWidth="1"/>
    <col min="41" max="41" width="11.7109375" style="232" customWidth="1"/>
    <col min="42" max="43" width="9.7109375" style="232" customWidth="1"/>
    <col min="44" max="44" width="11.42578125" style="232" customWidth="1"/>
    <col min="45" max="50" width="9.7109375" style="232" customWidth="1"/>
    <col min="51" max="51" width="13.7109375" style="232" customWidth="1"/>
    <col min="52" max="52" width="9.7109375" style="232" customWidth="1"/>
    <col min="53" max="53" width="13.42578125" style="232" hidden="1" customWidth="1"/>
    <col min="54" max="55" width="11.42578125" style="232"/>
    <col min="56" max="56" width="17.42578125" style="232" customWidth="1"/>
    <col min="57" max="57" width="11.42578125" style="232"/>
    <col min="58" max="58" width="20.5703125" style="232" customWidth="1"/>
    <col min="59" max="16384" width="11.42578125" style="232"/>
  </cols>
  <sheetData>
    <row r="1" spans="1:54" ht="6" customHeight="1"/>
    <row r="2" spans="1:54" ht="33.75" customHeight="1">
      <c r="A2" s="242"/>
      <c r="B2" s="242"/>
      <c r="C2" s="585" t="s">
        <v>133</v>
      </c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</row>
    <row r="3" spans="1:54" ht="8.4499999999999993" customHeight="1">
      <c r="A3" s="242"/>
      <c r="B3" s="242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V3" s="237"/>
    </row>
    <row r="4" spans="1:54" ht="17.45" customHeight="1">
      <c r="A4" s="242"/>
      <c r="B4" s="242"/>
      <c r="C4" s="244"/>
      <c r="D4" s="244"/>
      <c r="E4" s="244"/>
      <c r="F4" s="244"/>
      <c r="G4" s="244"/>
      <c r="H4" s="538">
        <f>+'Resumen anual_'!B4</f>
        <v>43803</v>
      </c>
      <c r="I4" s="538"/>
      <c r="J4" s="538"/>
      <c r="K4" s="538"/>
      <c r="L4" s="538"/>
      <c r="M4" s="538"/>
      <c r="N4" s="538"/>
      <c r="O4" s="244"/>
      <c r="P4" s="244"/>
      <c r="Q4" s="244"/>
      <c r="R4" s="244"/>
    </row>
    <row r="5" spans="1:54">
      <c r="C5" s="232"/>
      <c r="AG5" s="232"/>
    </row>
    <row r="6" spans="1:54">
      <c r="C6" s="235"/>
      <c r="D6" s="236"/>
    </row>
    <row r="7" spans="1:54" ht="20.100000000000001" customHeight="1">
      <c r="C7" s="238"/>
      <c r="D7" s="239"/>
      <c r="E7" s="551" t="s">
        <v>66</v>
      </c>
      <c r="F7" s="551"/>
      <c r="G7" s="551"/>
      <c r="H7" s="551"/>
      <c r="I7" s="551"/>
      <c r="J7" s="551"/>
      <c r="K7" s="552" t="s">
        <v>67</v>
      </c>
      <c r="L7" s="551"/>
      <c r="M7" s="551"/>
      <c r="N7" s="551"/>
      <c r="O7" s="551"/>
      <c r="P7" s="553"/>
      <c r="Q7" s="551" t="s">
        <v>68</v>
      </c>
      <c r="R7" s="551"/>
      <c r="S7" s="551"/>
      <c r="T7" s="551"/>
      <c r="U7" s="551"/>
      <c r="V7" s="551"/>
      <c r="W7" s="552" t="s">
        <v>69</v>
      </c>
      <c r="X7" s="551"/>
      <c r="Y7" s="551"/>
      <c r="Z7" s="551"/>
      <c r="AA7" s="551"/>
      <c r="AB7" s="551"/>
      <c r="AC7" s="547" t="s">
        <v>70</v>
      </c>
      <c r="AD7" s="547"/>
      <c r="AE7" s="547"/>
      <c r="AF7" s="547"/>
      <c r="AG7" s="547"/>
      <c r="AH7" s="548"/>
      <c r="AI7" s="547" t="s">
        <v>71</v>
      </c>
      <c r="AJ7" s="547"/>
      <c r="AK7" s="547"/>
      <c r="AL7" s="547"/>
      <c r="AM7" s="547"/>
      <c r="AN7" s="547"/>
      <c r="AO7" s="547" t="s">
        <v>81</v>
      </c>
      <c r="AP7" s="547"/>
      <c r="AQ7" s="547"/>
      <c r="AR7" s="547"/>
      <c r="AS7" s="547"/>
      <c r="AT7" s="547"/>
      <c r="AU7" s="550" t="s">
        <v>77</v>
      </c>
      <c r="AV7" s="547"/>
      <c r="AW7" s="547"/>
      <c r="AX7" s="547"/>
      <c r="AY7" s="547"/>
      <c r="AZ7" s="547"/>
    </row>
    <row r="8" spans="1:54" ht="85.5" customHeight="1">
      <c r="A8" s="148" t="s">
        <v>82</v>
      </c>
      <c r="B8" s="302" t="s">
        <v>65</v>
      </c>
      <c r="C8" s="329" t="s">
        <v>154</v>
      </c>
      <c r="D8" s="330" t="s">
        <v>30</v>
      </c>
      <c r="E8" s="149" t="s">
        <v>29</v>
      </c>
      <c r="F8" s="149" t="s">
        <v>28</v>
      </c>
      <c r="G8" s="149" t="s">
        <v>5</v>
      </c>
      <c r="H8" s="150" t="s">
        <v>6</v>
      </c>
      <c r="I8" s="150" t="s">
        <v>25</v>
      </c>
      <c r="J8" s="150" t="s">
        <v>27</v>
      </c>
      <c r="K8" s="152" t="s">
        <v>29</v>
      </c>
      <c r="L8" s="151" t="s">
        <v>28</v>
      </c>
      <c r="M8" s="151" t="s">
        <v>5</v>
      </c>
      <c r="N8" s="153" t="s">
        <v>6</v>
      </c>
      <c r="O8" s="153" t="s">
        <v>25</v>
      </c>
      <c r="P8" s="322" t="s">
        <v>27</v>
      </c>
      <c r="Q8" s="154" t="s">
        <v>29</v>
      </c>
      <c r="R8" s="154" t="s">
        <v>28</v>
      </c>
      <c r="S8" s="154" t="s">
        <v>5</v>
      </c>
      <c r="T8" s="155" t="s">
        <v>6</v>
      </c>
      <c r="U8" s="155" t="s">
        <v>25</v>
      </c>
      <c r="V8" s="155" t="s">
        <v>37</v>
      </c>
      <c r="W8" s="245" t="s">
        <v>29</v>
      </c>
      <c r="X8" s="246" t="s">
        <v>28</v>
      </c>
      <c r="Y8" s="246" t="s">
        <v>5</v>
      </c>
      <c r="Z8" s="247" t="s">
        <v>6</v>
      </c>
      <c r="AA8" s="247" t="s">
        <v>36</v>
      </c>
      <c r="AB8" s="247" t="s">
        <v>27</v>
      </c>
      <c r="AC8" s="270" t="s">
        <v>29</v>
      </c>
      <c r="AD8" s="270" t="s">
        <v>28</v>
      </c>
      <c r="AE8" s="270" t="s">
        <v>5</v>
      </c>
      <c r="AF8" s="271" t="s">
        <v>6</v>
      </c>
      <c r="AG8" s="272" t="s">
        <v>25</v>
      </c>
      <c r="AH8" s="326" t="s">
        <v>27</v>
      </c>
      <c r="AI8" s="273" t="s">
        <v>29</v>
      </c>
      <c r="AJ8" s="273" t="s">
        <v>28</v>
      </c>
      <c r="AK8" s="273" t="s">
        <v>5</v>
      </c>
      <c r="AL8" s="274" t="s">
        <v>6</v>
      </c>
      <c r="AM8" s="274" t="s">
        <v>25</v>
      </c>
      <c r="AN8" s="274" t="s">
        <v>27</v>
      </c>
      <c r="AO8" s="156" t="s">
        <v>35</v>
      </c>
      <c r="AP8" s="156" t="s">
        <v>26</v>
      </c>
      <c r="AQ8" s="156" t="s">
        <v>5</v>
      </c>
      <c r="AR8" s="157" t="s">
        <v>75</v>
      </c>
      <c r="AS8" s="157" t="s">
        <v>7</v>
      </c>
      <c r="AT8" s="157" t="s">
        <v>80</v>
      </c>
      <c r="AU8" s="324" t="s">
        <v>78</v>
      </c>
      <c r="AV8" s="158" t="s">
        <v>79</v>
      </c>
      <c r="AW8" s="158" t="s">
        <v>5</v>
      </c>
      <c r="AX8" s="159" t="s">
        <v>76</v>
      </c>
      <c r="AY8" s="159" t="s">
        <v>7</v>
      </c>
      <c r="AZ8" s="159" t="s">
        <v>80</v>
      </c>
      <c r="BB8" s="237"/>
    </row>
    <row r="9" spans="1:54">
      <c r="A9" s="582" t="s">
        <v>64</v>
      </c>
      <c r="B9" s="580" t="str">
        <f>+'Movimientos-Camaronailon'!A9</f>
        <v>ANTARTIC SEAFOOD S.A.</v>
      </c>
      <c r="C9" s="576">
        <f>+'Movimientos-Camaronailon'!E9:E10</f>
        <v>0.1616621</v>
      </c>
      <c r="D9" s="304" t="s">
        <v>11</v>
      </c>
      <c r="E9" s="275">
        <f>+$B$61*C9</f>
        <v>6.7898082000000004</v>
      </c>
      <c r="F9" s="9">
        <f>+'Movimientos-Camaronailon'!J9</f>
        <v>0.13019</v>
      </c>
      <c r="G9" s="255">
        <f>E9+F9</f>
        <v>6.9199982000000002</v>
      </c>
      <c r="H9" s="9"/>
      <c r="I9" s="255">
        <f t="shared" ref="I9:I56" si="0">G9-H9</f>
        <v>6.9199982000000002</v>
      </c>
      <c r="J9" s="276">
        <f t="shared" ref="J9:J56" si="1">IF(G9&gt;0,H9/G9,"0%")</f>
        <v>0</v>
      </c>
      <c r="K9" s="255">
        <f>+$C$61*C9</f>
        <v>109.4452417</v>
      </c>
      <c r="L9" s="9">
        <f>+'Movimientos-Camaronailon'!K9</f>
        <v>2.08304</v>
      </c>
      <c r="M9" s="255">
        <f>K9+L9</f>
        <v>111.52828169999999</v>
      </c>
      <c r="N9" s="269">
        <f>+C68</f>
        <v>43.957999999999998</v>
      </c>
      <c r="O9" s="255">
        <f t="shared" ref="O9:O56" si="2">M9-N9</f>
        <v>67.570281699999995</v>
      </c>
      <c r="P9" s="256">
        <f t="shared" ref="P9:P56" si="3">IF(M9&gt;0,N9/M9,"0%")</f>
        <v>0.39414217927469425</v>
      </c>
      <c r="Q9" s="275">
        <f>+$D$61*C9</f>
        <v>138.22109549999999</v>
      </c>
      <c r="R9" s="9">
        <f>+'Movimientos-Camaronailon'!L9</f>
        <v>2.6315</v>
      </c>
      <c r="S9" s="255">
        <f>Q9+R9</f>
        <v>140.85259549999998</v>
      </c>
      <c r="T9" s="269">
        <f>+D68</f>
        <v>132.21700000000001</v>
      </c>
      <c r="U9" s="255">
        <f t="shared" ref="U9:U56" si="4">S9-T9</f>
        <v>8.6355954999999653</v>
      </c>
      <c r="V9" s="276">
        <f t="shared" ref="V9:V56" si="5">IF(S9&gt;0,T9/S9,"0%")</f>
        <v>0.93869054759448878</v>
      </c>
      <c r="W9" s="251">
        <f>+$E$61*C9</f>
        <v>101.847123</v>
      </c>
      <c r="X9" s="9">
        <f>+'Movimientos-Camaronailon'!M9</f>
        <v>1.9389999999999998</v>
      </c>
      <c r="Y9" s="255">
        <f>W9+X9</f>
        <v>103.78612299999999</v>
      </c>
      <c r="Z9" s="269">
        <f>+E68</f>
        <v>28.753</v>
      </c>
      <c r="AA9" s="255">
        <f t="shared" ref="AA9:AA56" si="6">Y9-Z9</f>
        <v>75.033122999999989</v>
      </c>
      <c r="AB9" s="256">
        <f t="shared" ref="AB9:AB56" si="7">IF(Y9&gt;0,Z9/Y9,"0%")</f>
        <v>0.27704089110256103</v>
      </c>
      <c r="AC9" s="248">
        <f>+$F$61*C9</f>
        <v>210.96904050000001</v>
      </c>
      <c r="AD9" s="9">
        <f>+'Movimientos-Camaronailon'!N9</f>
        <v>4.0164999999999997</v>
      </c>
      <c r="AE9" s="255">
        <f>AC9+AD9</f>
        <v>214.98554050000001</v>
      </c>
      <c r="AF9" s="269">
        <f>243.358</f>
        <v>243.358</v>
      </c>
      <c r="AG9" s="9">
        <f t="shared" ref="AG9:AG56" si="8">AE9-AF9</f>
        <v>-28.372459499999991</v>
      </c>
      <c r="AH9" s="256">
        <f t="shared" ref="AH9:AH56" si="9">IF(AE9&gt;0,AF9/AE9,"0%")</f>
        <v>1.1319738036056428</v>
      </c>
      <c r="AI9" s="275">
        <f>+$G$61*C9</f>
        <v>82.932657300000002</v>
      </c>
      <c r="AJ9" s="9">
        <f>+'Movimientos-Camaronailon'!O9</f>
        <v>1.5789</v>
      </c>
      <c r="AK9" s="255">
        <f>AI9+AJ9</f>
        <v>84.511557300000007</v>
      </c>
      <c r="AL9" s="269">
        <f>+G68</f>
        <v>62.639000000000003</v>
      </c>
      <c r="AM9" s="255">
        <f t="shared" ref="AM9:AM56" si="10">AK9-AL9</f>
        <v>21.872557300000004</v>
      </c>
      <c r="AN9" s="276">
        <f t="shared" ref="AN9:AN56" si="11">IF(AK9&gt;0,AL9/AK9,"0%")</f>
        <v>0.74118856640688124</v>
      </c>
      <c r="AO9" s="9">
        <f>+E9+K9+Q9+W9+AC9+AI9</f>
        <v>650.20496619999994</v>
      </c>
      <c r="AP9" s="9">
        <f t="shared" ref="AP9:AP42" si="12">F9+L9+R9+X9+AD9+AJ9</f>
        <v>12.37913</v>
      </c>
      <c r="AQ9" s="255">
        <f>AO9+AP9</f>
        <v>662.58409619999998</v>
      </c>
      <c r="AR9" s="9">
        <f t="shared" ref="AR9:AR42" si="13">H9+N9+T9+Z9+AF9+AL9</f>
        <v>510.92500000000001</v>
      </c>
      <c r="AS9" s="255">
        <f t="shared" ref="AS9:AS56" si="14">AQ9-AR9</f>
        <v>151.65909619999996</v>
      </c>
      <c r="AT9" s="276">
        <f t="shared" ref="AT9:AT56" si="15">IF(AQ9&gt;0,AR9/AQ9,"0%")</f>
        <v>0.77110966431312911</v>
      </c>
      <c r="AU9" s="546">
        <f>AO9+AO10</f>
        <v>722.46792489999996</v>
      </c>
      <c r="AV9" s="554">
        <f>AP9+AP10</f>
        <v>12.37913</v>
      </c>
      <c r="AW9" s="556">
        <f>+AU9+AV9</f>
        <v>734.84705489999999</v>
      </c>
      <c r="AX9" s="555">
        <f>AR9+AR10</f>
        <v>598.56100000000004</v>
      </c>
      <c r="AY9" s="556">
        <f>AW9-AX9</f>
        <v>136.28605489999995</v>
      </c>
      <c r="AZ9" s="560">
        <f>AX9/AW9</f>
        <v>0.81453820357414897</v>
      </c>
      <c r="BA9" s="240">
        <f>+AX9-H68</f>
        <v>87.635999999999967</v>
      </c>
    </row>
    <row r="10" spans="1:54">
      <c r="A10" s="582"/>
      <c r="B10" s="586"/>
      <c r="C10" s="577"/>
      <c r="D10" s="303" t="s">
        <v>12</v>
      </c>
      <c r="E10" s="275">
        <f>+$B$63*C9</f>
        <v>0.80831050000000004</v>
      </c>
      <c r="F10" s="9">
        <f>+'Movimientos-Camaronailon'!J10</f>
        <v>0</v>
      </c>
      <c r="G10" s="255">
        <f>E10+F10+I9</f>
        <v>7.7283087000000004</v>
      </c>
      <c r="H10" s="9"/>
      <c r="I10" s="255">
        <f t="shared" si="0"/>
        <v>7.7283087000000004</v>
      </c>
      <c r="J10" s="276">
        <f t="shared" si="1"/>
        <v>0</v>
      </c>
      <c r="K10" s="255">
        <f>+$C$63*C9</f>
        <v>12.1246575</v>
      </c>
      <c r="L10" s="9">
        <f>+'Movimientos-Camaronailon'!K10</f>
        <v>0</v>
      </c>
      <c r="M10" s="255">
        <f>O9+K10+L10</f>
        <v>79.694939199999993</v>
      </c>
      <c r="N10" s="357">
        <v>21.672000000000001</v>
      </c>
      <c r="O10" s="251">
        <f t="shared" si="2"/>
        <v>58.022939199999996</v>
      </c>
      <c r="P10" s="256">
        <f t="shared" si="3"/>
        <v>0.27193696635632797</v>
      </c>
      <c r="Q10" s="275">
        <f>+$D$63*C9</f>
        <v>15.3578995</v>
      </c>
      <c r="R10" s="9">
        <f>+'Movimientos-Camaronailon'!L10</f>
        <v>0</v>
      </c>
      <c r="S10" s="255">
        <f>U9+Q10+R10</f>
        <v>23.993494999999967</v>
      </c>
      <c r="T10" s="357">
        <v>19.881</v>
      </c>
      <c r="U10" s="251">
        <f t="shared" si="4"/>
        <v>4.1124949999999671</v>
      </c>
      <c r="V10" s="276">
        <f t="shared" si="5"/>
        <v>0.82859958501252229</v>
      </c>
      <c r="W10" s="251">
        <f>+$E$63*C9</f>
        <v>11.316347</v>
      </c>
      <c r="X10" s="9">
        <f>+'Movimientos-Camaronailon'!M10</f>
        <v>0</v>
      </c>
      <c r="Y10" s="255">
        <f>AA9+W10+X10</f>
        <v>86.349469999999997</v>
      </c>
      <c r="Z10" s="357">
        <v>45.24</v>
      </c>
      <c r="AA10" s="251">
        <f t="shared" si="6"/>
        <v>41.109469999999995</v>
      </c>
      <c r="AB10" s="256">
        <f t="shared" si="7"/>
        <v>0.52391751796507846</v>
      </c>
      <c r="AC10" s="248">
        <f>+$F$63*C9</f>
        <v>23.441004500000002</v>
      </c>
      <c r="AD10" s="9">
        <f>+'Movimientos-Camaronailon'!N10</f>
        <v>0</v>
      </c>
      <c r="AE10" s="255">
        <f>AG9+AC10+AD10</f>
        <v>-4.931454999999989</v>
      </c>
      <c r="AF10" s="357">
        <v>0.84299999999999997</v>
      </c>
      <c r="AG10" s="357">
        <f t="shared" si="8"/>
        <v>-5.774454999999989</v>
      </c>
      <c r="AH10" s="256" t="str">
        <f t="shared" si="9"/>
        <v>0%</v>
      </c>
      <c r="AI10" s="275">
        <f>+$G$63*C9</f>
        <v>9.2147397000000009</v>
      </c>
      <c r="AJ10" s="9">
        <f>+'Movimientos-Camaronailon'!O10</f>
        <v>0</v>
      </c>
      <c r="AK10" s="255">
        <f>AM9+AI10+AJ10</f>
        <v>31.087297000000007</v>
      </c>
      <c r="AL10" s="357"/>
      <c r="AM10" s="251">
        <f t="shared" si="10"/>
        <v>31.087297000000007</v>
      </c>
      <c r="AN10" s="276">
        <f t="shared" si="11"/>
        <v>0</v>
      </c>
      <c r="AO10" s="9">
        <f t="shared" ref="AO10:AO38" si="16">+E10+K10+Q10+W10+AC10+AI10</f>
        <v>72.262958699999999</v>
      </c>
      <c r="AP10" s="9">
        <f t="shared" si="12"/>
        <v>0</v>
      </c>
      <c r="AQ10" s="255">
        <f>AS9+AO10+AP10</f>
        <v>223.92205489999998</v>
      </c>
      <c r="AR10" s="9">
        <f t="shared" si="13"/>
        <v>87.63600000000001</v>
      </c>
      <c r="AS10" s="251">
        <f t="shared" si="14"/>
        <v>136.28605489999995</v>
      </c>
      <c r="AT10" s="276">
        <f t="shared" si="15"/>
        <v>0.39136832697938956</v>
      </c>
      <c r="AU10" s="546"/>
      <c r="AV10" s="555"/>
      <c r="AW10" s="556"/>
      <c r="AX10" s="555"/>
      <c r="AY10" s="556"/>
      <c r="AZ10" s="560"/>
    </row>
    <row r="11" spans="1:54">
      <c r="A11" s="582"/>
      <c r="B11" s="580" t="str">
        <f>+'Movimientos-Camaronailon'!A11</f>
        <v>BAYCIC BAYCIC MARIA</v>
      </c>
      <c r="C11" s="576">
        <f>+'Movimientos-Camaronailon'!E11:E12</f>
        <v>3.0000000000000001E-5</v>
      </c>
      <c r="D11" s="304" t="s">
        <v>11</v>
      </c>
      <c r="E11" s="361">
        <f>+$B$61*C11</f>
        <v>1.2600000000000001E-3</v>
      </c>
      <c r="F11" s="354">
        <f>+'Movimientos-Camaronailon'!J11</f>
        <v>0</v>
      </c>
      <c r="G11" s="358">
        <f>E11+F11</f>
        <v>1.2600000000000001E-3</v>
      </c>
      <c r="H11" s="354"/>
      <c r="I11" s="392">
        <f t="shared" si="0"/>
        <v>1.2600000000000001E-3</v>
      </c>
      <c r="J11" s="276">
        <f t="shared" si="1"/>
        <v>0</v>
      </c>
      <c r="K11" s="358">
        <f t="shared" ref="K11" si="17">+$C$61*C11</f>
        <v>2.0310000000000002E-2</v>
      </c>
      <c r="L11" s="354">
        <f>+'Movimientos-Camaronailon'!K11</f>
        <v>0</v>
      </c>
      <c r="M11" s="358">
        <f>K11+L11</f>
        <v>2.0310000000000002E-2</v>
      </c>
      <c r="N11" s="250"/>
      <c r="O11" s="392">
        <f t="shared" si="2"/>
        <v>2.0310000000000002E-2</v>
      </c>
      <c r="P11" s="256">
        <f t="shared" si="3"/>
        <v>0</v>
      </c>
      <c r="Q11" s="361">
        <f t="shared" ref="Q11" si="18">+$D$61*C11</f>
        <v>2.5649999999999999E-2</v>
      </c>
      <c r="R11" s="354">
        <f>+'Movimientos-Camaronailon'!L11</f>
        <v>0</v>
      </c>
      <c r="S11" s="358">
        <f>Q11+R11</f>
        <v>2.5649999999999999E-2</v>
      </c>
      <c r="T11" s="250"/>
      <c r="U11" s="392">
        <f t="shared" si="4"/>
        <v>2.5649999999999999E-2</v>
      </c>
      <c r="V11" s="276">
        <f t="shared" si="5"/>
        <v>0</v>
      </c>
      <c r="W11" s="362">
        <f t="shared" ref="W11" si="19">+$E$61*C11</f>
        <v>1.89E-2</v>
      </c>
      <c r="X11" s="354">
        <f>+'Movimientos-Camaronailon'!M11</f>
        <v>0</v>
      </c>
      <c r="Y11" s="358">
        <f>W11+X11</f>
        <v>1.89E-2</v>
      </c>
      <c r="Z11" s="250"/>
      <c r="AA11" s="392">
        <f t="shared" si="6"/>
        <v>1.89E-2</v>
      </c>
      <c r="AB11" s="256">
        <f t="shared" si="7"/>
        <v>0</v>
      </c>
      <c r="AC11" s="363">
        <f t="shared" ref="AC11" si="20">+$F$61*C11</f>
        <v>3.9150000000000004E-2</v>
      </c>
      <c r="AD11" s="354">
        <f>+'Movimientos-Camaronailon'!N11</f>
        <v>0</v>
      </c>
      <c r="AE11" s="358">
        <f>AC11+AD11</f>
        <v>3.9150000000000004E-2</v>
      </c>
      <c r="AF11" s="250"/>
      <c r="AG11" s="391">
        <f t="shared" si="8"/>
        <v>3.9150000000000004E-2</v>
      </c>
      <c r="AH11" s="256">
        <f t="shared" si="9"/>
        <v>0</v>
      </c>
      <c r="AI11" s="361">
        <f t="shared" ref="AI11" si="21">+$G$61*C11</f>
        <v>1.5390000000000001E-2</v>
      </c>
      <c r="AJ11" s="354">
        <f>+'Movimientos-Camaronailon'!O11</f>
        <v>0</v>
      </c>
      <c r="AK11" s="358">
        <f>AI11+AJ11</f>
        <v>1.5390000000000001E-2</v>
      </c>
      <c r="AL11" s="250"/>
      <c r="AM11" s="392">
        <f t="shared" si="10"/>
        <v>1.5390000000000001E-2</v>
      </c>
      <c r="AN11" s="276">
        <f t="shared" si="11"/>
        <v>0</v>
      </c>
      <c r="AO11" s="354">
        <f t="shared" ref="AO11:AO30" si="22">+E11+K11+Q11+W11+AC11+AI11</f>
        <v>0.12066</v>
      </c>
      <c r="AP11" s="354">
        <f t="shared" ref="AP11:AP30" si="23">F11+L11+R11+X11+AD11+AJ11</f>
        <v>0</v>
      </c>
      <c r="AQ11" s="358">
        <f>AO11+AP11</f>
        <v>0.12066</v>
      </c>
      <c r="AR11" s="354">
        <f t="shared" ref="AR11:AR38" si="24">H11+N11+T11+Z11+AF11+AL11</f>
        <v>0</v>
      </c>
      <c r="AS11" s="392">
        <f t="shared" si="14"/>
        <v>0.12066</v>
      </c>
      <c r="AT11" s="276">
        <f t="shared" si="15"/>
        <v>0</v>
      </c>
      <c r="AU11" s="539">
        <f>AO11+AO12</f>
        <v>0.13406999999999999</v>
      </c>
      <c r="AV11" s="554">
        <f>AP11+AP12</f>
        <v>0</v>
      </c>
      <c r="AW11" s="558">
        <f>AU11+AV11</f>
        <v>0.13406999999999999</v>
      </c>
      <c r="AX11" s="554">
        <f>AR11+AR12</f>
        <v>0</v>
      </c>
      <c r="AY11" s="558">
        <f>AW11-AX11</f>
        <v>0.13406999999999999</v>
      </c>
      <c r="AZ11" s="563">
        <f>AX11/AW11</f>
        <v>0</v>
      </c>
    </row>
    <row r="12" spans="1:54">
      <c r="A12" s="582"/>
      <c r="B12" s="581"/>
      <c r="C12" s="579"/>
      <c r="D12" s="305" t="s">
        <v>12</v>
      </c>
      <c r="E12" s="364">
        <f>+$B$63*C11</f>
        <v>1.5000000000000001E-4</v>
      </c>
      <c r="F12" s="355">
        <f>+'Movimientos-Camaronailon'!J12</f>
        <v>0</v>
      </c>
      <c r="G12" s="359">
        <f>E12+F12+I11</f>
        <v>1.41E-3</v>
      </c>
      <c r="H12" s="355"/>
      <c r="I12" s="392">
        <f t="shared" si="0"/>
        <v>1.41E-3</v>
      </c>
      <c r="J12" s="276">
        <f t="shared" si="1"/>
        <v>0</v>
      </c>
      <c r="K12" s="359">
        <f t="shared" ref="K12" si="25">+$C$63*C11</f>
        <v>2.2500000000000003E-3</v>
      </c>
      <c r="L12" s="355">
        <f>+'Movimientos-Camaronailon'!K12</f>
        <v>0</v>
      </c>
      <c r="M12" s="359">
        <f>O11+K12+L12</f>
        <v>2.2560000000000004E-2</v>
      </c>
      <c r="N12" s="355"/>
      <c r="O12" s="251">
        <f t="shared" si="2"/>
        <v>2.2560000000000004E-2</v>
      </c>
      <c r="P12" s="256">
        <f t="shared" si="3"/>
        <v>0</v>
      </c>
      <c r="Q12" s="364">
        <f t="shared" ref="Q12" si="26">+$D$63*C11</f>
        <v>2.8500000000000001E-3</v>
      </c>
      <c r="R12" s="355">
        <f>+'Movimientos-Camaronailon'!L12</f>
        <v>0</v>
      </c>
      <c r="S12" s="359">
        <f>U11+Q12+R12</f>
        <v>2.8499999999999998E-2</v>
      </c>
      <c r="T12" s="355"/>
      <c r="U12" s="251">
        <f t="shared" si="4"/>
        <v>2.8499999999999998E-2</v>
      </c>
      <c r="V12" s="276">
        <f t="shared" si="5"/>
        <v>0</v>
      </c>
      <c r="W12" s="365">
        <f t="shared" ref="W12" si="27">+$E$63*C11</f>
        <v>2.0999999999999999E-3</v>
      </c>
      <c r="X12" s="355">
        <f>+'Movimientos-Camaronailon'!M12</f>
        <v>0</v>
      </c>
      <c r="Y12" s="359">
        <f>AA11+W12+X12</f>
        <v>2.1000000000000001E-2</v>
      </c>
      <c r="Z12" s="355"/>
      <c r="AA12" s="251">
        <f t="shared" si="6"/>
        <v>2.1000000000000001E-2</v>
      </c>
      <c r="AB12" s="256">
        <f t="shared" si="7"/>
        <v>0</v>
      </c>
      <c r="AC12" s="366">
        <f t="shared" ref="AC12" si="28">+$F$63*C11</f>
        <v>4.3499999999999997E-3</v>
      </c>
      <c r="AD12" s="355">
        <f>+'Movimientos-Camaronailon'!N12</f>
        <v>0</v>
      </c>
      <c r="AE12" s="359">
        <f>AG11+AC12+AD12</f>
        <v>4.3500000000000004E-2</v>
      </c>
      <c r="AF12" s="355"/>
      <c r="AG12" s="391">
        <f t="shared" si="8"/>
        <v>4.3500000000000004E-2</v>
      </c>
      <c r="AH12" s="256">
        <f t="shared" si="9"/>
        <v>0</v>
      </c>
      <c r="AI12" s="364">
        <f t="shared" ref="AI12" si="29">+$G$63*C11</f>
        <v>1.7100000000000001E-3</v>
      </c>
      <c r="AJ12" s="355">
        <f>+'Movimientos-Camaronailon'!O12</f>
        <v>0</v>
      </c>
      <c r="AK12" s="359">
        <f>AM11+AI12+AJ12</f>
        <v>1.7100000000000001E-2</v>
      </c>
      <c r="AL12" s="355"/>
      <c r="AM12" s="251">
        <f t="shared" si="10"/>
        <v>1.7100000000000001E-2</v>
      </c>
      <c r="AN12" s="276">
        <f t="shared" si="11"/>
        <v>0</v>
      </c>
      <c r="AO12" s="355">
        <f t="shared" si="22"/>
        <v>1.341E-2</v>
      </c>
      <c r="AP12" s="355">
        <f t="shared" si="23"/>
        <v>0</v>
      </c>
      <c r="AQ12" s="359">
        <f>AS11+AO12+AP12</f>
        <v>0.13406999999999999</v>
      </c>
      <c r="AR12" s="355">
        <f t="shared" si="24"/>
        <v>0</v>
      </c>
      <c r="AS12" s="251">
        <f t="shared" si="14"/>
        <v>0.13406999999999999</v>
      </c>
      <c r="AT12" s="276">
        <f t="shared" si="15"/>
        <v>0</v>
      </c>
      <c r="AU12" s="540"/>
      <c r="AV12" s="557"/>
      <c r="AW12" s="559"/>
      <c r="AX12" s="557"/>
      <c r="AY12" s="559"/>
      <c r="AZ12" s="564"/>
    </row>
    <row r="13" spans="1:54">
      <c r="A13" s="582"/>
      <c r="B13" s="586" t="str">
        <f>+'Movimientos-Camaronailon'!A13</f>
        <v>BLUMAR S.A.</v>
      </c>
      <c r="C13" s="577">
        <f>+'Movimientos-Camaronailon'!E13:E14</f>
        <v>0</v>
      </c>
      <c r="D13" s="303" t="s">
        <v>11</v>
      </c>
      <c r="E13" s="275">
        <f>+$B$61*C13</f>
        <v>0</v>
      </c>
      <c r="F13" s="9">
        <f>+'Movimientos-Camaronailon'!J13</f>
        <v>0</v>
      </c>
      <c r="G13" s="356">
        <f>E13+F13</f>
        <v>0</v>
      </c>
      <c r="H13" s="357"/>
      <c r="I13" s="392">
        <f t="shared" si="0"/>
        <v>0</v>
      </c>
      <c r="J13" s="276" t="str">
        <f t="shared" si="1"/>
        <v>0%</v>
      </c>
      <c r="K13" s="255">
        <f t="shared" ref="K13" si="30">+$C$61*C13</f>
        <v>0</v>
      </c>
      <c r="L13" s="9">
        <f>+'Movimientos-Camaronailon'!K13</f>
        <v>0</v>
      </c>
      <c r="M13" s="356">
        <f>K13+L13</f>
        <v>0</v>
      </c>
      <c r="N13" s="269"/>
      <c r="O13" s="392">
        <f t="shared" si="2"/>
        <v>0</v>
      </c>
      <c r="P13" s="256" t="str">
        <f t="shared" si="3"/>
        <v>0%</v>
      </c>
      <c r="Q13" s="275">
        <f t="shared" ref="Q13" si="31">+$D$61*C13</f>
        <v>0</v>
      </c>
      <c r="R13" s="9">
        <f>+'Movimientos-Camaronailon'!L13</f>
        <v>0</v>
      </c>
      <c r="S13" s="356">
        <f>Q13+R13</f>
        <v>0</v>
      </c>
      <c r="T13" s="269"/>
      <c r="U13" s="392">
        <f t="shared" si="4"/>
        <v>0</v>
      </c>
      <c r="V13" s="276" t="str">
        <f t="shared" si="5"/>
        <v>0%</v>
      </c>
      <c r="W13" s="251">
        <f t="shared" ref="W13" si="32">+$E$61*C13</f>
        <v>0</v>
      </c>
      <c r="X13" s="9">
        <f>+'Movimientos-Camaronailon'!M13</f>
        <v>0</v>
      </c>
      <c r="Y13" s="356">
        <f>W13+X13</f>
        <v>0</v>
      </c>
      <c r="Z13" s="269"/>
      <c r="AA13" s="392">
        <f t="shared" si="6"/>
        <v>0</v>
      </c>
      <c r="AB13" s="256" t="str">
        <f t="shared" si="7"/>
        <v>0%</v>
      </c>
      <c r="AC13" s="248">
        <f t="shared" ref="AC13" si="33">+$F$61*C13</f>
        <v>0</v>
      </c>
      <c r="AD13" s="9">
        <f>+'Movimientos-Camaronailon'!N13</f>
        <v>0</v>
      </c>
      <c r="AE13" s="356">
        <f>AC13+AD13</f>
        <v>0</v>
      </c>
      <c r="AF13" s="269"/>
      <c r="AG13" s="391">
        <f t="shared" si="8"/>
        <v>0</v>
      </c>
      <c r="AH13" s="256" t="str">
        <f t="shared" si="9"/>
        <v>0%</v>
      </c>
      <c r="AI13" s="275">
        <f t="shared" ref="AI13" si="34">+$G$61*C13</f>
        <v>0</v>
      </c>
      <c r="AJ13" s="9">
        <f>+'Movimientos-Camaronailon'!O13</f>
        <v>0</v>
      </c>
      <c r="AK13" s="356">
        <f>AI13+AJ13</f>
        <v>0</v>
      </c>
      <c r="AL13" s="269"/>
      <c r="AM13" s="392">
        <f t="shared" si="10"/>
        <v>0</v>
      </c>
      <c r="AN13" s="276" t="str">
        <f t="shared" si="11"/>
        <v>0%</v>
      </c>
      <c r="AO13" s="357">
        <f t="shared" si="22"/>
        <v>0</v>
      </c>
      <c r="AP13" s="9">
        <f>F13+L13+R13+X13+AD13+AJ13</f>
        <v>0</v>
      </c>
      <c r="AQ13" s="356">
        <f>AO13+AP13</f>
        <v>0</v>
      </c>
      <c r="AR13" s="357">
        <f t="shared" si="24"/>
        <v>0</v>
      </c>
      <c r="AS13" s="392">
        <f t="shared" si="14"/>
        <v>0</v>
      </c>
      <c r="AT13" s="276" t="str">
        <f t="shared" si="15"/>
        <v>0%</v>
      </c>
      <c r="AU13" s="546">
        <f>AO13+AO14</f>
        <v>0</v>
      </c>
      <c r="AV13" s="555">
        <f>AP13+AP14</f>
        <v>0</v>
      </c>
      <c r="AW13" s="556">
        <f>AU13+AV13</f>
        <v>0</v>
      </c>
      <c r="AX13" s="555">
        <f>AR13+AR14</f>
        <v>0</v>
      </c>
      <c r="AY13" s="556">
        <f>AW13-AX13</f>
        <v>0</v>
      </c>
      <c r="AZ13" s="578">
        <v>0</v>
      </c>
    </row>
    <row r="14" spans="1:54">
      <c r="A14" s="582"/>
      <c r="B14" s="581"/>
      <c r="C14" s="579"/>
      <c r="D14" s="303" t="s">
        <v>12</v>
      </c>
      <c r="E14" s="275">
        <f>+$B$63*C13</f>
        <v>0</v>
      </c>
      <c r="F14" s="9">
        <f>+'Movimientos-Camaronailon'!J14</f>
        <v>0</v>
      </c>
      <c r="G14" s="255">
        <f>E14+F14+I13</f>
        <v>0</v>
      </c>
      <c r="H14" s="9"/>
      <c r="I14" s="392">
        <f t="shared" si="0"/>
        <v>0</v>
      </c>
      <c r="J14" s="276" t="str">
        <f t="shared" si="1"/>
        <v>0%</v>
      </c>
      <c r="K14" s="255">
        <f t="shared" ref="K14" si="35">+$C$63*C13</f>
        <v>0</v>
      </c>
      <c r="L14" s="9">
        <f>+'Movimientos-Camaronailon'!K14</f>
        <v>0</v>
      </c>
      <c r="M14" s="255">
        <f>O13+K14+L14</f>
        <v>0</v>
      </c>
      <c r="N14" s="199"/>
      <c r="O14" s="251">
        <f t="shared" si="2"/>
        <v>0</v>
      </c>
      <c r="P14" s="256" t="str">
        <f t="shared" si="3"/>
        <v>0%</v>
      </c>
      <c r="Q14" s="275">
        <f t="shared" ref="Q14" si="36">+$D$63*C13</f>
        <v>0</v>
      </c>
      <c r="R14" s="9">
        <f>+'Movimientos-Camaronailon'!L14</f>
        <v>0</v>
      </c>
      <c r="S14" s="255">
        <f>U13+Q14+R14</f>
        <v>0</v>
      </c>
      <c r="T14" s="199"/>
      <c r="U14" s="251">
        <f t="shared" si="4"/>
        <v>0</v>
      </c>
      <c r="V14" s="276" t="str">
        <f t="shared" si="5"/>
        <v>0%</v>
      </c>
      <c r="W14" s="251">
        <f t="shared" ref="W14" si="37">+$E$63*C13</f>
        <v>0</v>
      </c>
      <c r="X14" s="9">
        <f>+'Movimientos-Camaronailon'!M14</f>
        <v>0</v>
      </c>
      <c r="Y14" s="255">
        <f>AA13+W14+X14</f>
        <v>0</v>
      </c>
      <c r="Z14" s="199"/>
      <c r="AA14" s="251">
        <f t="shared" si="6"/>
        <v>0</v>
      </c>
      <c r="AB14" s="256" t="str">
        <f t="shared" si="7"/>
        <v>0%</v>
      </c>
      <c r="AC14" s="248">
        <f t="shared" ref="AC14" si="38">+$F$63*C13</f>
        <v>0</v>
      </c>
      <c r="AD14" s="9">
        <f>+'Movimientos-Camaronailon'!N14</f>
        <v>0</v>
      </c>
      <c r="AE14" s="255">
        <f>AG13+AC14+AD14</f>
        <v>0</v>
      </c>
      <c r="AF14" s="199"/>
      <c r="AG14" s="391">
        <f t="shared" si="8"/>
        <v>0</v>
      </c>
      <c r="AH14" s="256" t="str">
        <f t="shared" si="9"/>
        <v>0%</v>
      </c>
      <c r="AI14" s="275">
        <f t="shared" ref="AI14" si="39">+$G$63*C13</f>
        <v>0</v>
      </c>
      <c r="AJ14" s="9">
        <f>+'Movimientos-Camaronailon'!O14</f>
        <v>0</v>
      </c>
      <c r="AK14" s="255">
        <f>AM13+AI14+AJ14</f>
        <v>0</v>
      </c>
      <c r="AL14" s="199"/>
      <c r="AM14" s="251">
        <f t="shared" si="10"/>
        <v>0</v>
      </c>
      <c r="AN14" s="276" t="str">
        <f t="shared" si="11"/>
        <v>0%</v>
      </c>
      <c r="AO14" s="9">
        <f t="shared" si="22"/>
        <v>0</v>
      </c>
      <c r="AP14" s="9">
        <f t="shared" si="23"/>
        <v>0</v>
      </c>
      <c r="AQ14" s="255">
        <f>AS13+AO14+AP14</f>
        <v>0</v>
      </c>
      <c r="AR14" s="9">
        <f t="shared" si="24"/>
        <v>0</v>
      </c>
      <c r="AS14" s="251">
        <f t="shared" si="14"/>
        <v>0</v>
      </c>
      <c r="AT14" s="276" t="str">
        <f t="shared" si="15"/>
        <v>0%</v>
      </c>
      <c r="AU14" s="546"/>
      <c r="AV14" s="557"/>
      <c r="AW14" s="556"/>
      <c r="AX14" s="555"/>
      <c r="AY14" s="556"/>
      <c r="AZ14" s="562"/>
    </row>
    <row r="15" spans="1:54">
      <c r="A15" s="582"/>
      <c r="B15" s="580" t="str">
        <f>+'Movimientos-Camaronailon'!A15</f>
        <v>BRACPESCA S.A.</v>
      </c>
      <c r="C15" s="576">
        <f>+'Movimientos-Camaronailon'!E15:E16</f>
        <v>0.17521150000000002</v>
      </c>
      <c r="D15" s="304" t="s">
        <v>11</v>
      </c>
      <c r="E15" s="275">
        <f t="shared" ref="E15" si="40">+$B$61*C15</f>
        <v>7.3588830000000005</v>
      </c>
      <c r="F15" s="9">
        <f>+'Movimientos-Camaronailon'!J15</f>
        <v>-0.6395807</v>
      </c>
      <c r="G15" s="249">
        <f>E15+F15</f>
        <v>6.7193023000000007</v>
      </c>
      <c r="H15" s="198"/>
      <c r="I15" s="392">
        <f t="shared" si="0"/>
        <v>6.7193023000000007</v>
      </c>
      <c r="J15" s="276">
        <f t="shared" si="1"/>
        <v>0</v>
      </c>
      <c r="K15" s="255">
        <f t="shared" ref="K15" si="41">+$C$61*C15</f>
        <v>118.61818550000001</v>
      </c>
      <c r="L15" s="9">
        <f>+'Movimientos-Camaronailon'!K15+21.982</f>
        <v>11.748708799999999</v>
      </c>
      <c r="M15" s="249">
        <f>K15+L15</f>
        <v>130.36689430000001</v>
      </c>
      <c r="N15" s="250">
        <f>+C69</f>
        <v>7.069</v>
      </c>
      <c r="O15" s="392">
        <f t="shared" si="2"/>
        <v>123.29789430000001</v>
      </c>
      <c r="P15" s="256">
        <f t="shared" si="3"/>
        <v>5.4223888955526031E-2</v>
      </c>
      <c r="Q15" s="275">
        <f t="shared" ref="Q15" si="42">+$D$61*C15</f>
        <v>149.80583250000001</v>
      </c>
      <c r="R15" s="9">
        <f>+'Movimientos-Camaronailon'!L15</f>
        <v>-12.927695</v>
      </c>
      <c r="S15" s="249">
        <f>Q15+R15</f>
        <v>136.87813750000001</v>
      </c>
      <c r="T15" s="250">
        <f>+D69</f>
        <v>50.086999999999996</v>
      </c>
      <c r="U15" s="392">
        <f t="shared" si="4"/>
        <v>86.791137500000019</v>
      </c>
      <c r="V15" s="276">
        <f t="shared" si="5"/>
        <v>0.36592403224364439</v>
      </c>
      <c r="W15" s="251">
        <f t="shared" ref="W15" si="43">+$E$61*C15</f>
        <v>110.38324500000002</v>
      </c>
      <c r="X15" s="9">
        <f>+'Movimientos-Camaronailon'!M15</f>
        <v>-9.5256700000000016</v>
      </c>
      <c r="Y15" s="252">
        <f>W15+X15</f>
        <v>100.85757500000001</v>
      </c>
      <c r="Z15" s="253">
        <f>+E69</f>
        <v>47.292000000000002</v>
      </c>
      <c r="AA15" s="392">
        <f t="shared" si="6"/>
        <v>53.56557500000001</v>
      </c>
      <c r="AB15" s="256">
        <f t="shared" si="7"/>
        <v>0.4688988407662984</v>
      </c>
      <c r="AC15" s="248">
        <f t="shared" ref="AC15" si="44">+$F$61*C15</f>
        <v>228.65100750000002</v>
      </c>
      <c r="AD15" s="9">
        <f>+'Movimientos-Camaronailon'!N15</f>
        <v>-19.731745000000004</v>
      </c>
      <c r="AE15" s="249">
        <f>AC15+AD15</f>
        <v>208.9192625</v>
      </c>
      <c r="AF15" s="250">
        <f>190.154</f>
        <v>190.154</v>
      </c>
      <c r="AG15" s="391">
        <f t="shared" si="8"/>
        <v>18.765262500000006</v>
      </c>
      <c r="AH15" s="256">
        <f t="shared" si="9"/>
        <v>0.91017935696570818</v>
      </c>
      <c r="AI15" s="275">
        <f t="shared" ref="AI15" si="45">+$G$61*C15</f>
        <v>89.883499500000013</v>
      </c>
      <c r="AJ15" s="9">
        <f>+'Movimientos-Camaronailon'!O15</f>
        <v>-7.7566170000000003</v>
      </c>
      <c r="AK15" s="249">
        <f>AI15+AJ15</f>
        <v>82.126882500000008</v>
      </c>
      <c r="AL15" s="250">
        <f>+G69</f>
        <v>3.585</v>
      </c>
      <c r="AM15" s="392">
        <f t="shared" si="10"/>
        <v>78.541882500000014</v>
      </c>
      <c r="AN15" s="276">
        <f t="shared" si="11"/>
        <v>4.3651967429787678E-2</v>
      </c>
      <c r="AO15" s="198">
        <f t="shared" si="22"/>
        <v>704.70065299999999</v>
      </c>
      <c r="AP15" s="9">
        <f t="shared" si="23"/>
        <v>-38.832598900000008</v>
      </c>
      <c r="AQ15" s="249">
        <f>AO15+AP15</f>
        <v>665.86805409999999</v>
      </c>
      <c r="AR15" s="198">
        <f t="shared" si="24"/>
        <v>298.18699999999995</v>
      </c>
      <c r="AS15" s="392">
        <f t="shared" si="14"/>
        <v>367.68105410000004</v>
      </c>
      <c r="AT15" s="276">
        <f t="shared" si="15"/>
        <v>0.44781694836379438</v>
      </c>
      <c r="AU15" s="539">
        <f>AO15+AO16</f>
        <v>783.0201935</v>
      </c>
      <c r="AV15" s="554">
        <f>AP15+AP16</f>
        <v>-38.832598900000008</v>
      </c>
      <c r="AW15" s="558">
        <f>AU15+AV15</f>
        <v>744.18759460000001</v>
      </c>
      <c r="AX15" s="554">
        <f>AR15+AR16</f>
        <v>334.33899999999994</v>
      </c>
      <c r="AY15" s="558">
        <f>AW15-AX15</f>
        <v>409.84859460000007</v>
      </c>
      <c r="AZ15" s="561">
        <f>AX15/AW15</f>
        <v>0.44926709666492998</v>
      </c>
      <c r="BA15" s="240">
        <f>+AX15-H69</f>
        <v>36.151999999999987</v>
      </c>
    </row>
    <row r="16" spans="1:54">
      <c r="A16" s="582"/>
      <c r="B16" s="581"/>
      <c r="C16" s="579"/>
      <c r="D16" s="305" t="s">
        <v>12</v>
      </c>
      <c r="E16" s="275">
        <f t="shared" ref="E16" si="46">+$B$63*C15</f>
        <v>0.87605750000000016</v>
      </c>
      <c r="F16" s="9">
        <f>+'Movimientos-Camaronailon'!J16</f>
        <v>0</v>
      </c>
      <c r="G16" s="254">
        <f>E16+F16+I15</f>
        <v>7.5953598000000007</v>
      </c>
      <c r="H16" s="199"/>
      <c r="I16" s="392">
        <f t="shared" si="0"/>
        <v>7.5953598000000007</v>
      </c>
      <c r="J16" s="276">
        <f t="shared" si="1"/>
        <v>0</v>
      </c>
      <c r="K16" s="255">
        <f t="shared" ref="K16" si="47">+$C$63*C15</f>
        <v>13.140862500000001</v>
      </c>
      <c r="L16" s="9">
        <f>+'Movimientos-Camaronailon'!K16</f>
        <v>0</v>
      </c>
      <c r="M16" s="254">
        <f>O15+K16+L16</f>
        <v>136.43875680000002</v>
      </c>
      <c r="N16" s="199">
        <v>0.20200000000000001</v>
      </c>
      <c r="O16" s="251">
        <f t="shared" si="2"/>
        <v>136.23675680000002</v>
      </c>
      <c r="P16" s="256">
        <f t="shared" si="3"/>
        <v>1.480517740982524E-3</v>
      </c>
      <c r="Q16" s="275">
        <f t="shared" ref="Q16" si="48">+$D$63*C15</f>
        <v>16.645092500000001</v>
      </c>
      <c r="R16" s="9">
        <f>+'Movimientos-Camaronailon'!L16</f>
        <v>0</v>
      </c>
      <c r="S16" s="254">
        <f>U15+Q16+R16</f>
        <v>103.43623000000002</v>
      </c>
      <c r="T16" s="199">
        <v>20.146000000000001</v>
      </c>
      <c r="U16" s="251">
        <f t="shared" si="4"/>
        <v>83.290230000000022</v>
      </c>
      <c r="V16" s="276">
        <f t="shared" si="5"/>
        <v>0.19476734602566234</v>
      </c>
      <c r="W16" s="251">
        <f t="shared" ref="W16" si="49">+$E$63*C15</f>
        <v>12.264805000000001</v>
      </c>
      <c r="X16" s="9">
        <f>+'Movimientos-Camaronailon'!M16</f>
        <v>0</v>
      </c>
      <c r="Y16" s="254">
        <f>AA15+W16+X16</f>
        <v>65.830380000000005</v>
      </c>
      <c r="Z16" s="199">
        <v>15.804</v>
      </c>
      <c r="AA16" s="251">
        <f t="shared" si="6"/>
        <v>50.026380000000003</v>
      </c>
      <c r="AB16" s="256">
        <f t="shared" si="7"/>
        <v>0.24007152928480741</v>
      </c>
      <c r="AC16" s="248">
        <f t="shared" ref="AC16" si="50">+$F$63*C15</f>
        <v>25.405667500000003</v>
      </c>
      <c r="AD16" s="9">
        <f>+'Movimientos-Camaronailon'!N16</f>
        <v>0</v>
      </c>
      <c r="AE16" s="254">
        <f>AG15+AC16+AD16</f>
        <v>44.170930000000013</v>
      </c>
      <c r="AF16" s="199"/>
      <c r="AG16" s="391">
        <f t="shared" si="8"/>
        <v>44.170930000000013</v>
      </c>
      <c r="AH16" s="256">
        <f t="shared" si="9"/>
        <v>0</v>
      </c>
      <c r="AI16" s="275">
        <f t="shared" ref="AI16" si="51">+$G$63*C15</f>
        <v>9.9870555000000003</v>
      </c>
      <c r="AJ16" s="9">
        <f>+'Movimientos-Camaronailon'!O16</f>
        <v>0</v>
      </c>
      <c r="AK16" s="254">
        <f>AM15+AI16+AJ16</f>
        <v>88.528938000000011</v>
      </c>
      <c r="AL16" s="199"/>
      <c r="AM16" s="251">
        <f t="shared" si="10"/>
        <v>88.528938000000011</v>
      </c>
      <c r="AN16" s="276">
        <f t="shared" si="11"/>
        <v>0</v>
      </c>
      <c r="AO16" s="199">
        <f t="shared" si="22"/>
        <v>78.319540500000002</v>
      </c>
      <c r="AP16" s="9">
        <f t="shared" si="23"/>
        <v>0</v>
      </c>
      <c r="AQ16" s="254">
        <f>AS15+AO16+AP16</f>
        <v>446.00059460000006</v>
      </c>
      <c r="AR16" s="199">
        <f t="shared" si="24"/>
        <v>36.152000000000001</v>
      </c>
      <c r="AS16" s="251">
        <f t="shared" si="14"/>
        <v>409.84859460000007</v>
      </c>
      <c r="AT16" s="276">
        <f t="shared" si="15"/>
        <v>8.1058187898658013E-2</v>
      </c>
      <c r="AU16" s="540"/>
      <c r="AV16" s="557"/>
      <c r="AW16" s="559"/>
      <c r="AX16" s="557"/>
      <c r="AY16" s="559"/>
      <c r="AZ16" s="562"/>
    </row>
    <row r="17" spans="1:53">
      <c r="A17" s="582"/>
      <c r="B17" s="580" t="str">
        <f>+'Movimientos-Camaronailon'!A17</f>
        <v>CAMANCHACA PESCA SUR S.A.</v>
      </c>
      <c r="C17" s="576">
        <f>+'Movimientos-Camaronailon'!E17:E18</f>
        <v>5.2567999999999998E-3</v>
      </c>
      <c r="D17" s="303" t="s">
        <v>11</v>
      </c>
      <c r="E17" s="277">
        <f t="shared" ref="E17" si="52">+$B$61*C17</f>
        <v>0.2207856</v>
      </c>
      <c r="F17" s="258">
        <f>+'Movimientos-Camaronailon'!J17</f>
        <v>0</v>
      </c>
      <c r="G17" s="259">
        <f>E17+F17</f>
        <v>0.2207856</v>
      </c>
      <c r="H17" s="260"/>
      <c r="I17" s="392">
        <f t="shared" si="0"/>
        <v>0.2207856</v>
      </c>
      <c r="J17" s="276">
        <f t="shared" si="1"/>
        <v>0</v>
      </c>
      <c r="K17" s="255">
        <f t="shared" ref="K17" si="53">+$C$61*C17</f>
        <v>3.5588536</v>
      </c>
      <c r="L17" s="258">
        <f>+'Movimientos-Camaronailon'!K17</f>
        <v>0</v>
      </c>
      <c r="M17" s="259">
        <f>K17+L17</f>
        <v>3.5588536</v>
      </c>
      <c r="N17" s="261">
        <f>+C72</f>
        <v>0</v>
      </c>
      <c r="O17" s="392">
        <f t="shared" si="2"/>
        <v>3.5588536</v>
      </c>
      <c r="P17" s="256">
        <f t="shared" si="3"/>
        <v>0</v>
      </c>
      <c r="Q17" s="277">
        <f t="shared" ref="Q17" si="54">+$D$61*C17</f>
        <v>4.4945639999999996</v>
      </c>
      <c r="R17" s="258">
        <f>+'Movimientos-Camaronailon'!L17</f>
        <v>-8.9380000000000001E-2</v>
      </c>
      <c r="S17" s="259">
        <f>Q17+R17</f>
        <v>4.4051839999999993</v>
      </c>
      <c r="T17" s="261">
        <f>+D72</f>
        <v>0.23200000000000001</v>
      </c>
      <c r="U17" s="392">
        <f t="shared" si="4"/>
        <v>4.1731839999999991</v>
      </c>
      <c r="V17" s="276">
        <f t="shared" si="5"/>
        <v>5.266522351847279E-2</v>
      </c>
      <c r="W17" s="262">
        <f t="shared" ref="W17" si="55">+$E$61*C17</f>
        <v>3.3117839999999998</v>
      </c>
      <c r="X17" s="258">
        <f>+'Movimientos-Camaronailon'!M17</f>
        <v>-8.9380000000000001E-2</v>
      </c>
      <c r="Y17" s="263">
        <f>W17+X17</f>
        <v>3.222404</v>
      </c>
      <c r="Z17" s="264"/>
      <c r="AA17" s="392">
        <f t="shared" si="6"/>
        <v>3.222404</v>
      </c>
      <c r="AB17" s="256">
        <f t="shared" si="7"/>
        <v>0</v>
      </c>
      <c r="AC17" s="257">
        <f t="shared" ref="AC17" si="56">+$F$61*C17</f>
        <v>6.8601239999999999</v>
      </c>
      <c r="AD17" s="258">
        <f>+'Movimientos-Camaronailon'!N17</f>
        <v>-1.7876000000000001</v>
      </c>
      <c r="AE17" s="259">
        <f>AC17+AD17</f>
        <v>5.0725239999999996</v>
      </c>
      <c r="AF17" s="261">
        <v>3.335</v>
      </c>
      <c r="AG17" s="391">
        <f t="shared" si="8"/>
        <v>1.7375239999999996</v>
      </c>
      <c r="AH17" s="256">
        <f t="shared" si="9"/>
        <v>0.65746362166053829</v>
      </c>
      <c r="AI17" s="277">
        <f t="shared" ref="AI17" si="57">+$G$61*C17</f>
        <v>2.6967384000000001</v>
      </c>
      <c r="AJ17" s="258">
        <f>+'Movimientos-Camaronailon'!O17</f>
        <v>-0.31283</v>
      </c>
      <c r="AK17" s="259">
        <f>AI17+AJ17</f>
        <v>2.3839084000000001</v>
      </c>
      <c r="AL17" s="261">
        <v>1.7370000000000001</v>
      </c>
      <c r="AM17" s="392">
        <f t="shared" si="10"/>
        <v>0.64690840000000005</v>
      </c>
      <c r="AN17" s="276">
        <f t="shared" si="11"/>
        <v>0.7286353787754597</v>
      </c>
      <c r="AO17" s="260">
        <f t="shared" si="22"/>
        <v>21.142849599999998</v>
      </c>
      <c r="AP17" s="258">
        <f t="shared" si="23"/>
        <v>-2.2791900000000003</v>
      </c>
      <c r="AQ17" s="259">
        <f>AO17+AP17</f>
        <v>18.863659599999998</v>
      </c>
      <c r="AR17" s="260">
        <f t="shared" si="24"/>
        <v>5.3040000000000003</v>
      </c>
      <c r="AS17" s="392">
        <f t="shared" si="14"/>
        <v>13.559659599999998</v>
      </c>
      <c r="AT17" s="276">
        <f t="shared" si="15"/>
        <v>0.28117555726037385</v>
      </c>
      <c r="AU17" s="539">
        <f>AO17+AO18</f>
        <v>23.492639199999999</v>
      </c>
      <c r="AV17" s="541">
        <f>AP17+AP18</f>
        <v>-2.2791900000000003</v>
      </c>
      <c r="AW17" s="539">
        <f>AU17+AV17</f>
        <v>21.213449199999999</v>
      </c>
      <c r="AX17" s="541">
        <f>AR17+AR18</f>
        <v>5.6190000000000007</v>
      </c>
      <c r="AY17" s="539">
        <f>AW17-AX17</f>
        <v>15.5944492</v>
      </c>
      <c r="AZ17" s="543">
        <f>AX17/AW17</f>
        <v>0.26487913148984754</v>
      </c>
      <c r="BA17" s="240">
        <f>+AX17-H72</f>
        <v>0.31500000000000039</v>
      </c>
    </row>
    <row r="18" spans="1:53">
      <c r="A18" s="582"/>
      <c r="B18" s="581"/>
      <c r="C18" s="579"/>
      <c r="D18" s="305" t="s">
        <v>12</v>
      </c>
      <c r="E18" s="277">
        <f t="shared" ref="E18" si="58">+$B$63*C17</f>
        <v>2.6283999999999998E-2</v>
      </c>
      <c r="F18" s="258">
        <f>+'Movimientos-Camaronailon'!J18</f>
        <v>0</v>
      </c>
      <c r="G18" s="265">
        <f>E18+F18+I17</f>
        <v>0.2470696</v>
      </c>
      <c r="H18" s="266"/>
      <c r="I18" s="392">
        <f t="shared" si="0"/>
        <v>0.2470696</v>
      </c>
      <c r="J18" s="419">
        <f t="shared" si="1"/>
        <v>0</v>
      </c>
      <c r="K18" s="255">
        <f t="shared" ref="K18" si="59">+$C$63*C17</f>
        <v>0.39426</v>
      </c>
      <c r="L18" s="258">
        <f>+'Movimientos-Camaronailon'!K18</f>
        <v>0</v>
      </c>
      <c r="M18" s="265">
        <f>O17+K18+L18</f>
        <v>3.9531136</v>
      </c>
      <c r="N18" s="266"/>
      <c r="O18" s="251">
        <f t="shared" si="2"/>
        <v>3.9531136</v>
      </c>
      <c r="P18" s="256">
        <f t="shared" si="3"/>
        <v>0</v>
      </c>
      <c r="Q18" s="277">
        <f t="shared" ref="Q18" si="60">+$D$63*C17</f>
        <v>0.49939600000000001</v>
      </c>
      <c r="R18" s="258">
        <f>+'Movimientos-Camaronailon'!L18</f>
        <v>0</v>
      </c>
      <c r="S18" s="265">
        <f>U17+Q18+R18</f>
        <v>4.6725799999999991</v>
      </c>
      <c r="T18" s="266">
        <v>0.12</v>
      </c>
      <c r="U18" s="251">
        <f t="shared" si="4"/>
        <v>4.552579999999999</v>
      </c>
      <c r="V18" s="276">
        <f t="shared" si="5"/>
        <v>2.5681743276733629E-2</v>
      </c>
      <c r="W18" s="262">
        <f t="shared" ref="W18" si="61">+$E$63*C17</f>
        <v>0.36797599999999997</v>
      </c>
      <c r="X18" s="258">
        <f>+'Movimientos-Camaronailon'!M18</f>
        <v>0</v>
      </c>
      <c r="Y18" s="265">
        <f>AA17+W18+X18</f>
        <v>3.5903800000000001</v>
      </c>
      <c r="Z18" s="266">
        <v>0.08</v>
      </c>
      <c r="AA18" s="251">
        <f t="shared" si="6"/>
        <v>3.5103800000000001</v>
      </c>
      <c r="AB18" s="256">
        <f t="shared" si="7"/>
        <v>2.2281764047259622E-2</v>
      </c>
      <c r="AC18" s="257">
        <f t="shared" ref="AC18" si="62">+$F$63*C17</f>
        <v>0.76223600000000002</v>
      </c>
      <c r="AD18" s="258">
        <f>+'Movimientos-Camaronailon'!N18</f>
        <v>0</v>
      </c>
      <c r="AE18" s="265">
        <f>AG17+AC18+AD18</f>
        <v>2.4997599999999998</v>
      </c>
      <c r="AF18" s="266">
        <v>0.115</v>
      </c>
      <c r="AG18" s="391">
        <f t="shared" si="8"/>
        <v>2.3847599999999995</v>
      </c>
      <c r="AH18" s="256">
        <f t="shared" si="9"/>
        <v>4.6004416423976707E-2</v>
      </c>
      <c r="AI18" s="277">
        <f t="shared" ref="AI18" si="63">+$G$63*C17</f>
        <v>0.2996376</v>
      </c>
      <c r="AJ18" s="258">
        <f>+'Movimientos-Camaronailon'!O18</f>
        <v>0</v>
      </c>
      <c r="AK18" s="265">
        <f>AM17+AI18+AJ18</f>
        <v>0.94654600000000011</v>
      </c>
      <c r="AL18" s="266"/>
      <c r="AM18" s="251">
        <f t="shared" si="10"/>
        <v>0.94654600000000011</v>
      </c>
      <c r="AN18" s="276">
        <f t="shared" si="11"/>
        <v>0</v>
      </c>
      <c r="AO18" s="266">
        <f t="shared" si="22"/>
        <v>2.3497896000000003</v>
      </c>
      <c r="AP18" s="258">
        <f t="shared" si="23"/>
        <v>0</v>
      </c>
      <c r="AQ18" s="265">
        <f>AS17+AO18+AP18</f>
        <v>15.909449199999997</v>
      </c>
      <c r="AR18" s="266">
        <f t="shared" si="24"/>
        <v>0.315</v>
      </c>
      <c r="AS18" s="251">
        <f t="shared" si="14"/>
        <v>15.594449199999998</v>
      </c>
      <c r="AT18" s="276">
        <f t="shared" si="15"/>
        <v>1.9799554091413804E-2</v>
      </c>
      <c r="AU18" s="540"/>
      <c r="AV18" s="542"/>
      <c r="AW18" s="540"/>
      <c r="AX18" s="542"/>
      <c r="AY18" s="540"/>
      <c r="AZ18" s="544"/>
    </row>
    <row r="19" spans="1:53">
      <c r="A19" s="582"/>
      <c r="B19" s="580" t="str">
        <f>+'Movimientos-Camaronailon'!A19</f>
        <v>GRIMAR S.A. PESQ.</v>
      </c>
      <c r="C19" s="576">
        <f>+'Movimientos-Camaronailon'!E19:E20</f>
        <v>2.8389999999999999E-3</v>
      </c>
      <c r="D19" s="303" t="s">
        <v>11</v>
      </c>
      <c r="E19" s="277">
        <f t="shared" ref="E19" si="64">+$B$61*C19</f>
        <v>0.119238</v>
      </c>
      <c r="F19" s="258">
        <f>+'Movimientos-Camaronailon'!J19</f>
        <v>0</v>
      </c>
      <c r="G19" s="259">
        <f>E19+F19</f>
        <v>0.119238</v>
      </c>
      <c r="H19" s="260"/>
      <c r="I19" s="392">
        <f t="shared" si="0"/>
        <v>0.119238</v>
      </c>
      <c r="J19" s="419">
        <f t="shared" si="1"/>
        <v>0</v>
      </c>
      <c r="K19" s="255">
        <f t="shared" ref="K19" si="65">+$C$61*C19</f>
        <v>1.9220029999999999</v>
      </c>
      <c r="L19" s="258">
        <f>+'Movimientos-Camaronailon'!K19</f>
        <v>0</v>
      </c>
      <c r="M19" s="259">
        <f>K19+L19</f>
        <v>1.9220029999999999</v>
      </c>
      <c r="N19" s="261"/>
      <c r="O19" s="392">
        <f t="shared" si="2"/>
        <v>1.9220029999999999</v>
      </c>
      <c r="P19" s="256">
        <f t="shared" si="3"/>
        <v>0</v>
      </c>
      <c r="Q19" s="277">
        <f t="shared" ref="Q19" si="66">+$D$61*C19</f>
        <v>2.4273449999999999</v>
      </c>
      <c r="R19" s="258">
        <f>+'Movimientos-Camaronailon'!L19</f>
        <v>0</v>
      </c>
      <c r="S19" s="259">
        <f>Q19+R19</f>
        <v>2.4273449999999999</v>
      </c>
      <c r="T19" s="261"/>
      <c r="U19" s="392">
        <f t="shared" si="4"/>
        <v>2.4273449999999999</v>
      </c>
      <c r="V19" s="276">
        <f t="shared" si="5"/>
        <v>0</v>
      </c>
      <c r="W19" s="262">
        <f t="shared" ref="W19" si="67">+$E$61*C19</f>
        <v>1.78857</v>
      </c>
      <c r="X19" s="258">
        <f>+'Movimientos-Camaronailon'!M19</f>
        <v>0</v>
      </c>
      <c r="Y19" s="263">
        <f>W19+X19</f>
        <v>1.78857</v>
      </c>
      <c r="Z19" s="264"/>
      <c r="AA19" s="392">
        <f t="shared" si="6"/>
        <v>1.78857</v>
      </c>
      <c r="AB19" s="256">
        <f t="shared" si="7"/>
        <v>0</v>
      </c>
      <c r="AC19" s="257">
        <f t="shared" ref="AC19" si="68">+$F$61*C19</f>
        <v>3.704895</v>
      </c>
      <c r="AD19" s="258">
        <f>+'Movimientos-Camaronailon'!N19</f>
        <v>0</v>
      </c>
      <c r="AE19" s="259">
        <f>AC19+AD19</f>
        <v>3.704895</v>
      </c>
      <c r="AF19" s="261"/>
      <c r="AG19" s="391">
        <f t="shared" si="8"/>
        <v>3.704895</v>
      </c>
      <c r="AH19" s="256">
        <f t="shared" si="9"/>
        <v>0</v>
      </c>
      <c r="AI19" s="277">
        <f t="shared" ref="AI19" si="69">+$G$61*C19</f>
        <v>1.456407</v>
      </c>
      <c r="AJ19" s="258">
        <f>+'Movimientos-Camaronailon'!O19</f>
        <v>0</v>
      </c>
      <c r="AK19" s="259">
        <f>AI19+AJ19</f>
        <v>1.456407</v>
      </c>
      <c r="AL19" s="261"/>
      <c r="AM19" s="392">
        <f t="shared" si="10"/>
        <v>1.456407</v>
      </c>
      <c r="AN19" s="276">
        <f t="shared" si="11"/>
        <v>0</v>
      </c>
      <c r="AO19" s="260">
        <f t="shared" si="22"/>
        <v>11.418458000000001</v>
      </c>
      <c r="AP19" s="258">
        <f t="shared" si="23"/>
        <v>0</v>
      </c>
      <c r="AQ19" s="259">
        <f>AO19+AP19</f>
        <v>11.418458000000001</v>
      </c>
      <c r="AR19" s="260">
        <f t="shared" si="24"/>
        <v>0</v>
      </c>
      <c r="AS19" s="392">
        <f t="shared" si="14"/>
        <v>11.418458000000001</v>
      </c>
      <c r="AT19" s="276">
        <f t="shared" si="15"/>
        <v>0</v>
      </c>
      <c r="AU19" s="539">
        <f>AO19+AO20</f>
        <v>12.687491000000001</v>
      </c>
      <c r="AV19" s="541">
        <f>AP19+AP20</f>
        <v>0</v>
      </c>
      <c r="AW19" s="539">
        <f>AU19+AV19</f>
        <v>12.687491000000001</v>
      </c>
      <c r="AX19" s="541">
        <f>AR19+AR20</f>
        <v>0</v>
      </c>
      <c r="AY19" s="539">
        <f>AW19-AX19</f>
        <v>12.687491000000001</v>
      </c>
      <c r="AZ19" s="543">
        <f>AX19/AW19</f>
        <v>0</v>
      </c>
    </row>
    <row r="20" spans="1:53">
      <c r="A20" s="582"/>
      <c r="B20" s="581"/>
      <c r="C20" s="579"/>
      <c r="D20" s="305" t="s">
        <v>12</v>
      </c>
      <c r="E20" s="277">
        <f t="shared" ref="E20" si="70">+$B$63*C19</f>
        <v>1.4194999999999999E-2</v>
      </c>
      <c r="F20" s="258">
        <f>+'Movimientos-Camaronailon'!J20</f>
        <v>0</v>
      </c>
      <c r="G20" s="265">
        <f>E20+F20+I19</f>
        <v>0.133433</v>
      </c>
      <c r="H20" s="266"/>
      <c r="I20" s="392">
        <f t="shared" si="0"/>
        <v>0.133433</v>
      </c>
      <c r="J20" s="419">
        <f t="shared" si="1"/>
        <v>0</v>
      </c>
      <c r="K20" s="255">
        <f t="shared" ref="K20" si="71">+$C$63*C19</f>
        <v>0.212925</v>
      </c>
      <c r="L20" s="258">
        <f>+'Movimientos-Camaronailon'!K20</f>
        <v>0</v>
      </c>
      <c r="M20" s="265">
        <f>O19+K20+L20</f>
        <v>2.1349279999999999</v>
      </c>
      <c r="N20" s="266"/>
      <c r="O20" s="251">
        <f t="shared" si="2"/>
        <v>2.1349279999999999</v>
      </c>
      <c r="P20" s="256">
        <f t="shared" si="3"/>
        <v>0</v>
      </c>
      <c r="Q20" s="277">
        <f t="shared" ref="Q20" si="72">+$D$63*C19</f>
        <v>0.26970499999999997</v>
      </c>
      <c r="R20" s="258">
        <f>+'Movimientos-Camaronailon'!L20</f>
        <v>0</v>
      </c>
      <c r="S20" s="265">
        <f>U19+Q20+R20</f>
        <v>2.6970499999999999</v>
      </c>
      <c r="T20" s="266"/>
      <c r="U20" s="251">
        <f t="shared" si="4"/>
        <v>2.6970499999999999</v>
      </c>
      <c r="V20" s="276">
        <f t="shared" si="5"/>
        <v>0</v>
      </c>
      <c r="W20" s="262">
        <f t="shared" ref="W20" si="73">+$E$63*C19</f>
        <v>0.19872999999999999</v>
      </c>
      <c r="X20" s="258">
        <f>+'Movimientos-Camaronailon'!M20</f>
        <v>0</v>
      </c>
      <c r="Y20" s="265">
        <f>AA19+W20+X20</f>
        <v>1.9873000000000001</v>
      </c>
      <c r="Z20" s="266"/>
      <c r="AA20" s="251">
        <f t="shared" si="6"/>
        <v>1.9873000000000001</v>
      </c>
      <c r="AB20" s="256">
        <f t="shared" si="7"/>
        <v>0</v>
      </c>
      <c r="AC20" s="257">
        <f t="shared" ref="AC20" si="74">+$F$63*C19</f>
        <v>0.41165499999999999</v>
      </c>
      <c r="AD20" s="258">
        <f>+'Movimientos-Camaronailon'!N20</f>
        <v>0</v>
      </c>
      <c r="AE20" s="265">
        <f>AG19+AC20+AD20</f>
        <v>4.1165500000000002</v>
      </c>
      <c r="AF20" s="266"/>
      <c r="AG20" s="391">
        <f t="shared" si="8"/>
        <v>4.1165500000000002</v>
      </c>
      <c r="AH20" s="256">
        <f t="shared" si="9"/>
        <v>0</v>
      </c>
      <c r="AI20" s="277">
        <f t="shared" ref="AI20" si="75">+$G$63*C19</f>
        <v>0.16182299999999999</v>
      </c>
      <c r="AJ20" s="258">
        <f>+'Movimientos-Camaronailon'!O20</f>
        <v>0</v>
      </c>
      <c r="AK20" s="265">
        <f>AM19+AI20+AJ20</f>
        <v>1.6182300000000001</v>
      </c>
      <c r="AL20" s="266"/>
      <c r="AM20" s="251">
        <f t="shared" si="10"/>
        <v>1.6182300000000001</v>
      </c>
      <c r="AN20" s="276">
        <f t="shared" si="11"/>
        <v>0</v>
      </c>
      <c r="AO20" s="266">
        <f t="shared" si="22"/>
        <v>1.2690329999999999</v>
      </c>
      <c r="AP20" s="258">
        <f t="shared" si="23"/>
        <v>0</v>
      </c>
      <c r="AQ20" s="265">
        <f>AS19+AO20+AP20</f>
        <v>12.687491000000001</v>
      </c>
      <c r="AR20" s="266">
        <f t="shared" si="24"/>
        <v>0</v>
      </c>
      <c r="AS20" s="251">
        <f t="shared" si="14"/>
        <v>12.687491000000001</v>
      </c>
      <c r="AT20" s="276">
        <f t="shared" si="15"/>
        <v>0</v>
      </c>
      <c r="AU20" s="540"/>
      <c r="AV20" s="542"/>
      <c r="AW20" s="540"/>
      <c r="AX20" s="542"/>
      <c r="AY20" s="540"/>
      <c r="AZ20" s="544"/>
    </row>
    <row r="21" spans="1:53">
      <c r="A21" s="582"/>
      <c r="B21" s="580" t="str">
        <f>+'Movimientos-Camaronailon'!A21</f>
        <v>ISLADAMAS S.A. PESQ.</v>
      </c>
      <c r="C21" s="576">
        <f>+'Movimientos-Camaronailon'!E21:E22</f>
        <v>0.29641020000000001</v>
      </c>
      <c r="D21" s="303" t="s">
        <v>11</v>
      </c>
      <c r="E21" s="277">
        <f t="shared" ref="E21" si="76">+$B$61*C21</f>
        <v>12.449228400000001</v>
      </c>
      <c r="F21" s="258">
        <f>+'Movimientos-Camaronailon'!J21</f>
        <v>0.13442000000000021</v>
      </c>
      <c r="G21" s="259">
        <f>E21+F21</f>
        <v>12.583648400000001</v>
      </c>
      <c r="H21" s="260">
        <f>+B70</f>
        <v>0</v>
      </c>
      <c r="I21" s="392">
        <f t="shared" si="0"/>
        <v>12.583648400000001</v>
      </c>
      <c r="J21" s="419">
        <f t="shared" si="1"/>
        <v>0</v>
      </c>
      <c r="K21" s="255">
        <f t="shared" ref="K21" si="77">+$C$61*C21</f>
        <v>200.6697054</v>
      </c>
      <c r="L21" s="258">
        <f>+'Movimientos-Camaronailon'!K21</f>
        <v>2.1507200000000033</v>
      </c>
      <c r="M21" s="259">
        <f>K21+L21</f>
        <v>202.8204254</v>
      </c>
      <c r="N21" s="261">
        <f>+C70</f>
        <v>53.346000000000011</v>
      </c>
      <c r="O21" s="392">
        <f t="shared" si="2"/>
        <v>149.4744254</v>
      </c>
      <c r="P21" s="256">
        <f t="shared" si="3"/>
        <v>0.26302084661735459</v>
      </c>
      <c r="Q21" s="277">
        <f t="shared" ref="Q21" si="78">+$D$61*C21</f>
        <v>253.43072100000001</v>
      </c>
      <c r="R21" s="258">
        <f>+'Movimientos-Camaronailon'!L21</f>
        <v>2.7169999999999987</v>
      </c>
      <c r="S21" s="259">
        <f>Q21+R21</f>
        <v>256.14772099999999</v>
      </c>
      <c r="T21" s="261">
        <f>105.513+38.751</f>
        <v>144.26400000000001</v>
      </c>
      <c r="U21" s="392">
        <f t="shared" si="4"/>
        <v>111.88372099999998</v>
      </c>
      <c r="V21" s="276">
        <f t="shared" si="5"/>
        <v>0.56320626018765174</v>
      </c>
      <c r="W21" s="262">
        <f t="shared" ref="W21" si="79">+$E$61*C21</f>
        <v>186.738426</v>
      </c>
      <c r="X21" s="258">
        <f>+'Movimientos-Camaronailon'!M21</f>
        <v>2.0019999999999984</v>
      </c>
      <c r="Y21" s="263">
        <f>W21+X21</f>
        <v>188.74042600000001</v>
      </c>
      <c r="Z21" s="264">
        <f>74.57+82.685</f>
        <v>157.255</v>
      </c>
      <c r="AA21" s="392">
        <f t="shared" si="6"/>
        <v>31.485426000000018</v>
      </c>
      <c r="AB21" s="256">
        <f t="shared" si="7"/>
        <v>0.83318133445348896</v>
      </c>
      <c r="AC21" s="257">
        <f t="shared" ref="AC21" si="80">+$F$61*C21</f>
        <v>386.81531100000001</v>
      </c>
      <c r="AD21" s="258">
        <f>+'Movimientos-Camaronailon'!N21</f>
        <v>4.147000000000002</v>
      </c>
      <c r="AE21" s="259">
        <f>AC21+AD21</f>
        <v>390.962311</v>
      </c>
      <c r="AF21" s="261">
        <v>286.64299999999997</v>
      </c>
      <c r="AG21" s="391">
        <f t="shared" si="8"/>
        <v>104.31931100000003</v>
      </c>
      <c r="AH21" s="256">
        <f t="shared" si="9"/>
        <v>0.73317297328948916</v>
      </c>
      <c r="AI21" s="277">
        <f t="shared" ref="AI21" si="81">+$G$61*C21</f>
        <v>152.0584326</v>
      </c>
      <c r="AJ21" s="258">
        <f>+'Movimientos-Camaronailon'!O21</f>
        <v>1.6301999999999985</v>
      </c>
      <c r="AK21" s="259">
        <f>AI21+AJ21</f>
        <v>153.68863260000001</v>
      </c>
      <c r="AL21" s="261">
        <f>37.144+6.587</f>
        <v>43.730999999999995</v>
      </c>
      <c r="AM21" s="392">
        <f t="shared" si="10"/>
        <v>109.95763260000001</v>
      </c>
      <c r="AN21" s="276">
        <f t="shared" si="11"/>
        <v>0.28454284002784469</v>
      </c>
      <c r="AO21" s="260">
        <f t="shared" si="22"/>
        <v>1192.1618244000001</v>
      </c>
      <c r="AP21" s="258">
        <f>F21+L21+R21+X21+AD21+AJ21</f>
        <v>12.781340000000002</v>
      </c>
      <c r="AQ21" s="259">
        <f>AO21+AP21</f>
        <v>1204.9431644000001</v>
      </c>
      <c r="AR21" s="260">
        <f t="shared" si="24"/>
        <v>685.23900000000003</v>
      </c>
      <c r="AS21" s="392">
        <f t="shared" si="14"/>
        <v>519.70416440000008</v>
      </c>
      <c r="AT21" s="276">
        <f t="shared" si="15"/>
        <v>0.56868989363594913</v>
      </c>
      <c r="AU21" s="539">
        <f>AO21+AO22</f>
        <v>1324.6571838</v>
      </c>
      <c r="AV21" s="541">
        <f>AP21+AP22</f>
        <v>12.781340000000002</v>
      </c>
      <c r="AW21" s="539">
        <f>AU21+AV21</f>
        <v>1337.4385238</v>
      </c>
      <c r="AX21" s="541">
        <f>AR21+AR22</f>
        <v>958.61800000000005</v>
      </c>
      <c r="AY21" s="539">
        <f>AW21-AX21</f>
        <v>378.82052379999993</v>
      </c>
      <c r="AZ21" s="543">
        <f>AX21/AW21</f>
        <v>0.71675668297360295</v>
      </c>
    </row>
    <row r="22" spans="1:53">
      <c r="A22" s="582"/>
      <c r="B22" s="581"/>
      <c r="C22" s="579"/>
      <c r="D22" s="305" t="s">
        <v>12</v>
      </c>
      <c r="E22" s="277">
        <f t="shared" ref="E22" si="82">+$B$63*C21</f>
        <v>1.482051</v>
      </c>
      <c r="F22" s="258">
        <f>+'Movimientos-Camaronailon'!J22</f>
        <v>0</v>
      </c>
      <c r="G22" s="265">
        <f>E22+F22+I21</f>
        <v>14.065699400000002</v>
      </c>
      <c r="H22" s="266"/>
      <c r="I22" s="392">
        <f t="shared" si="0"/>
        <v>14.065699400000002</v>
      </c>
      <c r="J22" s="419">
        <f t="shared" si="1"/>
        <v>0</v>
      </c>
      <c r="K22" s="255">
        <f t="shared" ref="K22" si="83">+$C$63*C21</f>
        <v>22.230765000000002</v>
      </c>
      <c r="L22" s="258">
        <f>+'Movimientos-Camaronailon'!K22</f>
        <v>0</v>
      </c>
      <c r="M22" s="265">
        <f>O21+K22+L22</f>
        <v>171.70519039999999</v>
      </c>
      <c r="N22" s="266"/>
      <c r="O22" s="251">
        <f t="shared" si="2"/>
        <v>171.70519039999999</v>
      </c>
      <c r="P22" s="256">
        <f t="shared" si="3"/>
        <v>0</v>
      </c>
      <c r="Q22" s="277">
        <f t="shared" ref="Q22" si="84">+$D$63*C21</f>
        <v>28.158969000000003</v>
      </c>
      <c r="R22" s="258">
        <f>+'Movimientos-Camaronailon'!L22</f>
        <v>0</v>
      </c>
      <c r="S22" s="265">
        <f>U21+Q22+R22</f>
        <v>140.04268999999999</v>
      </c>
      <c r="T22" s="266">
        <f>16.491+50.069</f>
        <v>66.56</v>
      </c>
      <c r="U22" s="251">
        <f t="shared" si="4"/>
        <v>73.482689999999991</v>
      </c>
      <c r="V22" s="276">
        <f t="shared" si="5"/>
        <v>0.47528364386602401</v>
      </c>
      <c r="W22" s="262">
        <f t="shared" ref="W22" si="85">+$E$63*C21</f>
        <v>20.748714</v>
      </c>
      <c r="X22" s="258">
        <f>+'Movimientos-Camaronailon'!M22</f>
        <v>0</v>
      </c>
      <c r="Y22" s="265">
        <f>AA21+W22+X22</f>
        <v>52.234140000000018</v>
      </c>
      <c r="Z22" s="266">
        <f>5.801+14.959</f>
        <v>20.759999999999998</v>
      </c>
      <c r="AA22" s="251">
        <f t="shared" si="6"/>
        <v>31.47414000000002</v>
      </c>
      <c r="AB22" s="256">
        <f t="shared" si="7"/>
        <v>0.39744121373492491</v>
      </c>
      <c r="AC22" s="257">
        <f t="shared" ref="AC22" si="86">+$F$63*C21</f>
        <v>42.979479000000005</v>
      </c>
      <c r="AD22" s="258">
        <f>+'Movimientos-Camaronailon'!N22</f>
        <v>0</v>
      </c>
      <c r="AE22" s="265">
        <f>AG21+AC22+AD22</f>
        <v>147.29879000000003</v>
      </c>
      <c r="AF22" s="266">
        <v>117.703</v>
      </c>
      <c r="AG22" s="391">
        <f t="shared" si="8"/>
        <v>29.595790000000022</v>
      </c>
      <c r="AH22" s="256">
        <f t="shared" si="9"/>
        <v>0.79907648935880593</v>
      </c>
      <c r="AI22" s="277">
        <f t="shared" ref="AI22" si="87">+$G$63*C21</f>
        <v>16.895381400000002</v>
      </c>
      <c r="AJ22" s="258">
        <f>+'Movimientos-Camaronailon'!O22</f>
        <v>0</v>
      </c>
      <c r="AK22" s="265">
        <f>AM21+AI22+AJ22</f>
        <v>126.85301400000002</v>
      </c>
      <c r="AL22" s="266">
        <v>68.355999999999995</v>
      </c>
      <c r="AM22" s="251">
        <f t="shared" si="10"/>
        <v>58.497014000000021</v>
      </c>
      <c r="AN22" s="276">
        <f t="shared" si="11"/>
        <v>0.5388598807750834</v>
      </c>
      <c r="AO22" s="266">
        <f t="shared" si="22"/>
        <v>132.49535939999998</v>
      </c>
      <c r="AP22" s="258">
        <f t="shared" si="23"/>
        <v>0</v>
      </c>
      <c r="AQ22" s="265">
        <f>AS21+AO22+AP22</f>
        <v>652.19952380000007</v>
      </c>
      <c r="AR22" s="266">
        <f t="shared" si="24"/>
        <v>273.37900000000002</v>
      </c>
      <c r="AS22" s="251">
        <f t="shared" si="14"/>
        <v>378.82052380000005</v>
      </c>
      <c r="AT22" s="276">
        <f t="shared" si="15"/>
        <v>0.41916467280928732</v>
      </c>
      <c r="AU22" s="540"/>
      <c r="AV22" s="542"/>
      <c r="AW22" s="540"/>
      <c r="AX22" s="542"/>
      <c r="AY22" s="540"/>
      <c r="AZ22" s="544"/>
    </row>
    <row r="23" spans="1:53">
      <c r="A23" s="582"/>
      <c r="B23" s="580" t="str">
        <f>+'Movimientos-Camaronailon'!A23</f>
        <v>LANDES S.A. SOC. PESQ.</v>
      </c>
      <c r="C23" s="576">
        <f>+'Movimientos-Camaronailon'!E23:E24</f>
        <v>1.5497E-3</v>
      </c>
      <c r="D23" s="303" t="s">
        <v>11</v>
      </c>
      <c r="E23" s="277">
        <f t="shared" ref="E23" si="88">+$B$61*C23</f>
        <v>6.5087400000000004E-2</v>
      </c>
      <c r="F23" s="258">
        <f>+'Movimientos-Camaronailon'!J23</f>
        <v>0</v>
      </c>
      <c r="G23" s="259">
        <f>E23+F23</f>
        <v>6.5087400000000004E-2</v>
      </c>
      <c r="H23" s="260"/>
      <c r="I23" s="392">
        <f t="shared" si="0"/>
        <v>6.5087400000000004E-2</v>
      </c>
      <c r="J23" s="419">
        <f t="shared" si="1"/>
        <v>0</v>
      </c>
      <c r="K23" s="255">
        <f t="shared" ref="K23" si="89">+$C$61*C23</f>
        <v>1.0491469</v>
      </c>
      <c r="L23" s="258">
        <f>+'Movimientos-Camaronailon'!K23</f>
        <v>0</v>
      </c>
      <c r="M23" s="259">
        <f>K23+L23</f>
        <v>1.0491469</v>
      </c>
      <c r="N23" s="261"/>
      <c r="O23" s="392">
        <f t="shared" si="2"/>
        <v>1.0491469</v>
      </c>
      <c r="P23" s="256">
        <f t="shared" si="3"/>
        <v>0</v>
      </c>
      <c r="Q23" s="277">
        <f t="shared" ref="Q23" si="90">+$D$61*C23</f>
        <v>1.3249934999999999</v>
      </c>
      <c r="R23" s="258">
        <f>+'Movimientos-Camaronailon'!L23</f>
        <v>0</v>
      </c>
      <c r="S23" s="259">
        <f>Q23+R23</f>
        <v>1.3249934999999999</v>
      </c>
      <c r="T23" s="261"/>
      <c r="U23" s="392">
        <f t="shared" si="4"/>
        <v>1.3249934999999999</v>
      </c>
      <c r="V23" s="276">
        <f t="shared" si="5"/>
        <v>0</v>
      </c>
      <c r="W23" s="262">
        <f t="shared" ref="W23" si="91">+$E$61*C23</f>
        <v>0.97631100000000004</v>
      </c>
      <c r="X23" s="258">
        <f>+'Movimientos-Camaronailon'!M23</f>
        <v>0</v>
      </c>
      <c r="Y23" s="263">
        <f>W23+X23</f>
        <v>0.97631100000000004</v>
      </c>
      <c r="Z23" s="264"/>
      <c r="AA23" s="392">
        <f t="shared" si="6"/>
        <v>0.97631100000000004</v>
      </c>
      <c r="AB23" s="256">
        <f t="shared" si="7"/>
        <v>0</v>
      </c>
      <c r="AC23" s="257">
        <f t="shared" ref="AC23" si="92">+$F$61*C23</f>
        <v>2.0223585000000002</v>
      </c>
      <c r="AD23" s="258">
        <f>+'Movimientos-Camaronailon'!N23</f>
        <v>0</v>
      </c>
      <c r="AE23" s="259">
        <f>AC23+AD23</f>
        <v>2.0223585000000002</v>
      </c>
      <c r="AF23" s="261"/>
      <c r="AG23" s="391">
        <f t="shared" si="8"/>
        <v>2.0223585000000002</v>
      </c>
      <c r="AH23" s="256">
        <f t="shared" si="9"/>
        <v>0</v>
      </c>
      <c r="AI23" s="277">
        <f t="shared" ref="AI23" si="93">+$G$61*C23</f>
        <v>0.79499609999999998</v>
      </c>
      <c r="AJ23" s="258">
        <f>+'Movimientos-Camaronailon'!O23</f>
        <v>0</v>
      </c>
      <c r="AK23" s="259">
        <f>AI23+AJ23</f>
        <v>0.79499609999999998</v>
      </c>
      <c r="AL23" s="261"/>
      <c r="AM23" s="392">
        <f t="shared" si="10"/>
        <v>0.79499609999999998</v>
      </c>
      <c r="AN23" s="276">
        <f t="shared" si="11"/>
        <v>0</v>
      </c>
      <c r="AO23" s="260">
        <f t="shared" si="22"/>
        <v>6.2328933999999991</v>
      </c>
      <c r="AP23" s="258">
        <f t="shared" si="23"/>
        <v>0</v>
      </c>
      <c r="AQ23" s="259">
        <f>AO23+AP23</f>
        <v>6.2328933999999991</v>
      </c>
      <c r="AR23" s="260">
        <f t="shared" si="24"/>
        <v>0</v>
      </c>
      <c r="AS23" s="392">
        <f t="shared" si="14"/>
        <v>6.2328933999999991</v>
      </c>
      <c r="AT23" s="276">
        <f t="shared" si="15"/>
        <v>0</v>
      </c>
      <c r="AU23" s="539">
        <f>AO23+AO24</f>
        <v>6.9256092999999996</v>
      </c>
      <c r="AV23" s="541">
        <f>AP23+AP24</f>
        <v>0</v>
      </c>
      <c r="AW23" s="539">
        <f>AU23+AV23</f>
        <v>6.9256092999999996</v>
      </c>
      <c r="AX23" s="541">
        <f>AR23+AR24</f>
        <v>0</v>
      </c>
      <c r="AY23" s="539">
        <f>AW23-AX23</f>
        <v>6.9256092999999996</v>
      </c>
      <c r="AZ23" s="543">
        <f>AX23/AW23</f>
        <v>0</v>
      </c>
    </row>
    <row r="24" spans="1:53">
      <c r="A24" s="582"/>
      <c r="B24" s="581"/>
      <c r="C24" s="579"/>
      <c r="D24" s="305" t="s">
        <v>12</v>
      </c>
      <c r="E24" s="277">
        <f t="shared" ref="E24" si="94">+$B$63*C23</f>
        <v>7.7485000000000002E-3</v>
      </c>
      <c r="F24" s="258">
        <f>+'Movimientos-Camaronailon'!J24</f>
        <v>0</v>
      </c>
      <c r="G24" s="265">
        <f>E24+F24+I23</f>
        <v>7.2835900000000009E-2</v>
      </c>
      <c r="H24" s="266"/>
      <c r="I24" s="392">
        <f t="shared" si="0"/>
        <v>7.2835900000000009E-2</v>
      </c>
      <c r="J24" s="419">
        <f t="shared" si="1"/>
        <v>0</v>
      </c>
      <c r="K24" s="255">
        <f t="shared" ref="K24" si="95">+$C$63*C23</f>
        <v>0.1162275</v>
      </c>
      <c r="L24" s="258">
        <f>+'Movimientos-Camaronailon'!K24</f>
        <v>0</v>
      </c>
      <c r="M24" s="265">
        <f>O23+K24+L24</f>
        <v>1.1653743999999999</v>
      </c>
      <c r="N24" s="266"/>
      <c r="O24" s="251">
        <f t="shared" si="2"/>
        <v>1.1653743999999999</v>
      </c>
      <c r="P24" s="256">
        <f t="shared" si="3"/>
        <v>0</v>
      </c>
      <c r="Q24" s="277">
        <f t="shared" ref="Q24" si="96">+$D$63*C23</f>
        <v>0.14722150000000001</v>
      </c>
      <c r="R24" s="258">
        <f>+'Movimientos-Camaronailon'!L24</f>
        <v>0</v>
      </c>
      <c r="S24" s="265">
        <f>U23+Q24+R24</f>
        <v>1.4722149999999998</v>
      </c>
      <c r="T24" s="266"/>
      <c r="U24" s="251">
        <f t="shared" si="4"/>
        <v>1.4722149999999998</v>
      </c>
      <c r="V24" s="276">
        <f t="shared" si="5"/>
        <v>0</v>
      </c>
      <c r="W24" s="262">
        <f t="shared" ref="W24" si="97">+$E$63*C23</f>
        <v>0.10847900000000001</v>
      </c>
      <c r="X24" s="258">
        <f>+'Movimientos-Camaronailon'!M24</f>
        <v>0</v>
      </c>
      <c r="Y24" s="265">
        <f>AA23+W24+X24</f>
        <v>1.0847900000000001</v>
      </c>
      <c r="Z24" s="266"/>
      <c r="AA24" s="251">
        <f t="shared" si="6"/>
        <v>1.0847900000000001</v>
      </c>
      <c r="AB24" s="256">
        <f t="shared" si="7"/>
        <v>0</v>
      </c>
      <c r="AC24" s="257">
        <f t="shared" ref="AC24" si="98">+$F$63*C23</f>
        <v>0.2247065</v>
      </c>
      <c r="AD24" s="258">
        <f>+'Movimientos-Camaronailon'!N24</f>
        <v>0</v>
      </c>
      <c r="AE24" s="265">
        <f>AG23+AC24+AD24</f>
        <v>2.2470650000000001</v>
      </c>
      <c r="AF24" s="266"/>
      <c r="AG24" s="391">
        <f t="shared" si="8"/>
        <v>2.2470650000000001</v>
      </c>
      <c r="AH24" s="256">
        <f t="shared" si="9"/>
        <v>0</v>
      </c>
      <c r="AI24" s="277">
        <f t="shared" ref="AI24" si="99">+$G$63*C23</f>
        <v>8.8332900000000006E-2</v>
      </c>
      <c r="AJ24" s="258">
        <f>+'Movimientos-Camaronailon'!O24</f>
        <v>0</v>
      </c>
      <c r="AK24" s="265">
        <f>AM23+AI24+AJ24</f>
        <v>0.88332900000000003</v>
      </c>
      <c r="AL24" s="266"/>
      <c r="AM24" s="251">
        <f t="shared" si="10"/>
        <v>0.88332900000000003</v>
      </c>
      <c r="AN24" s="276">
        <f t="shared" si="11"/>
        <v>0</v>
      </c>
      <c r="AO24" s="266">
        <f t="shared" si="22"/>
        <v>0.69271590000000005</v>
      </c>
      <c r="AP24" s="258">
        <f t="shared" si="23"/>
        <v>0</v>
      </c>
      <c r="AQ24" s="265">
        <f>AS23+AO24+AP24</f>
        <v>6.9256092999999996</v>
      </c>
      <c r="AR24" s="266">
        <f t="shared" si="24"/>
        <v>0</v>
      </c>
      <c r="AS24" s="251">
        <f t="shared" si="14"/>
        <v>6.9256092999999996</v>
      </c>
      <c r="AT24" s="276">
        <f t="shared" si="15"/>
        <v>0</v>
      </c>
      <c r="AU24" s="540"/>
      <c r="AV24" s="542"/>
      <c r="AW24" s="540"/>
      <c r="AX24" s="542"/>
      <c r="AY24" s="540"/>
      <c r="AZ24" s="544"/>
    </row>
    <row r="25" spans="1:53">
      <c r="A25" s="582"/>
      <c r="B25" s="580" t="str">
        <f>+'Movimientos-Camaronailon'!A25</f>
        <v>MOROZIN BAYCIC MARIA ANA</v>
      </c>
      <c r="C25" s="576">
        <f>+'Movimientos-Camaronailon'!E25:E26</f>
        <v>3.0000000000000001E-5</v>
      </c>
      <c r="D25" s="303" t="s">
        <v>11</v>
      </c>
      <c r="E25" s="277">
        <f t="shared" ref="E25" si="100">+$B$61*C25</f>
        <v>1.2600000000000001E-3</v>
      </c>
      <c r="F25" s="258">
        <f>+'Movimientos-Camaronailon'!J25</f>
        <v>-1.4100000000001334E-3</v>
      </c>
      <c r="G25" s="259">
        <f>E25+F25</f>
        <v>-1.5000000000013332E-4</v>
      </c>
      <c r="H25" s="260"/>
      <c r="I25" s="392">
        <f t="shared" si="0"/>
        <v>-1.5000000000013332E-4</v>
      </c>
      <c r="J25" s="419" t="str">
        <f t="shared" si="1"/>
        <v>0%</v>
      </c>
      <c r="K25" s="255">
        <f t="shared" ref="K25" si="101">+$C$61*C25</f>
        <v>2.0310000000000002E-2</v>
      </c>
      <c r="L25" s="258">
        <f>+'Movimientos-Camaronailon'!K25</f>
        <v>-2.2560000000002134E-2</v>
      </c>
      <c r="M25" s="259">
        <f>K25+L25</f>
        <v>-2.2500000000021322E-3</v>
      </c>
      <c r="N25" s="261"/>
      <c r="O25" s="392">
        <f t="shared" si="2"/>
        <v>-2.2500000000021322E-3</v>
      </c>
      <c r="P25" s="256" t="str">
        <f t="shared" si="3"/>
        <v>0%</v>
      </c>
      <c r="Q25" s="277">
        <f t="shared" ref="Q25" si="102">+$D$61*C25</f>
        <v>2.5649999999999999E-2</v>
      </c>
      <c r="R25" s="258">
        <f>+'Movimientos-Camaronailon'!L25</f>
        <v>-2.8500000000004633E-2</v>
      </c>
      <c r="S25" s="259">
        <f>Q25+R25</f>
        <v>-2.8500000000046335E-3</v>
      </c>
      <c r="T25" s="261"/>
      <c r="U25" s="392">
        <f t="shared" si="4"/>
        <v>-2.8500000000046335E-3</v>
      </c>
      <c r="V25" s="276" t="str">
        <f t="shared" si="5"/>
        <v>0%</v>
      </c>
      <c r="W25" s="262">
        <f t="shared" ref="W25" si="103">+$E$61*C25</f>
        <v>1.89E-2</v>
      </c>
      <c r="X25" s="258">
        <f>+'Movimientos-Camaronailon'!M25</f>
        <v>-2.1000000000000796E-2</v>
      </c>
      <c r="Y25" s="263">
        <f>W25+X25</f>
        <v>-2.1000000000007957E-3</v>
      </c>
      <c r="Z25" s="264"/>
      <c r="AA25" s="392">
        <f t="shared" si="6"/>
        <v>-2.1000000000007957E-3</v>
      </c>
      <c r="AB25" s="256" t="str">
        <f t="shared" si="7"/>
        <v>0%</v>
      </c>
      <c r="AC25" s="257">
        <f t="shared" ref="AC25" si="104">+$F$61*C25</f>
        <v>3.9150000000000004E-2</v>
      </c>
      <c r="AD25" s="258">
        <f>+'Movimientos-Camaronailon'!N25</f>
        <v>-4.3500000000001648E-2</v>
      </c>
      <c r="AE25" s="259">
        <f>AC25+AD25</f>
        <v>-4.3500000000016442E-3</v>
      </c>
      <c r="AF25" s="261"/>
      <c r="AG25" s="391">
        <f t="shared" si="8"/>
        <v>-4.3500000000016442E-3</v>
      </c>
      <c r="AH25" s="256" t="str">
        <f t="shared" si="9"/>
        <v>0%</v>
      </c>
      <c r="AI25" s="277">
        <f t="shared" ref="AI25" si="105">+$G$61*C25</f>
        <v>1.5390000000000001E-2</v>
      </c>
      <c r="AJ25" s="258">
        <f>+'Movimientos-Camaronailon'!O25</f>
        <v>-1.710000000000278E-2</v>
      </c>
      <c r="AK25" s="259">
        <f>AI25+AJ25</f>
        <v>-1.7100000000027787E-3</v>
      </c>
      <c r="AL25" s="261"/>
      <c r="AM25" s="392">
        <f t="shared" si="10"/>
        <v>-1.7100000000027787E-3</v>
      </c>
      <c r="AN25" s="276" t="str">
        <f t="shared" si="11"/>
        <v>0%</v>
      </c>
      <c r="AO25" s="260">
        <f t="shared" si="22"/>
        <v>0.12066</v>
      </c>
      <c r="AP25" s="258">
        <f t="shared" si="23"/>
        <v>-0.13407000000001212</v>
      </c>
      <c r="AQ25" s="259">
        <f>AO25+AP25</f>
        <v>-1.3410000000012121E-2</v>
      </c>
      <c r="AR25" s="260">
        <f t="shared" si="24"/>
        <v>0</v>
      </c>
      <c r="AS25" s="392">
        <f t="shared" si="14"/>
        <v>-1.3410000000012121E-2</v>
      </c>
      <c r="AT25" s="276" t="str">
        <f t="shared" si="15"/>
        <v>0%</v>
      </c>
      <c r="AU25" s="539">
        <f>AO25+AO26</f>
        <v>0.13406999999999999</v>
      </c>
      <c r="AV25" s="541">
        <f>AP25+AP26</f>
        <v>-0.13407000000001212</v>
      </c>
      <c r="AW25" s="539">
        <f>AU25+AV25</f>
        <v>-1.2129186544029835E-14</v>
      </c>
      <c r="AX25" s="541">
        <f>AR25+AR26</f>
        <v>0</v>
      </c>
      <c r="AY25" s="539">
        <f>AW25-AX25</f>
        <v>-1.2129186544029835E-14</v>
      </c>
      <c r="AZ25" s="543">
        <f>AX25/AW25</f>
        <v>0</v>
      </c>
    </row>
    <row r="26" spans="1:53">
      <c r="A26" s="582"/>
      <c r="B26" s="581"/>
      <c r="C26" s="579"/>
      <c r="D26" s="305" t="s">
        <v>12</v>
      </c>
      <c r="E26" s="277">
        <f t="shared" ref="E26" si="106">+$B$63*C25</f>
        <v>1.5000000000000001E-4</v>
      </c>
      <c r="F26" s="258">
        <f>+'Movimientos-Camaronailon'!J26</f>
        <v>0</v>
      </c>
      <c r="G26" s="265">
        <f>E26+F26+I25</f>
        <v>-1.3330265710709277E-16</v>
      </c>
      <c r="H26" s="266"/>
      <c r="I26" s="392">
        <f t="shared" si="0"/>
        <v>-1.3330265710709277E-16</v>
      </c>
      <c r="J26" s="419" t="str">
        <f t="shared" si="1"/>
        <v>0%</v>
      </c>
      <c r="K26" s="255">
        <f t="shared" ref="K26" si="107">+$C$63*C25</f>
        <v>2.2500000000000003E-3</v>
      </c>
      <c r="L26" s="258">
        <f>+'Movimientos-Camaronailon'!K26</f>
        <v>0</v>
      </c>
      <c r="M26" s="265">
        <f>O25+K26+L26</f>
        <v>-2.1319751519754959E-15</v>
      </c>
      <c r="N26" s="266"/>
      <c r="O26" s="251">
        <f t="shared" si="2"/>
        <v>-2.1319751519754959E-15</v>
      </c>
      <c r="P26" s="256" t="str">
        <f t="shared" si="3"/>
        <v>0%</v>
      </c>
      <c r="Q26" s="277">
        <f t="shared" ref="Q26" si="108">+$D$63*C25</f>
        <v>2.8500000000000001E-3</v>
      </c>
      <c r="R26" s="258">
        <f>+'Movimientos-Camaronailon'!L26</f>
        <v>0</v>
      </c>
      <c r="S26" s="265">
        <f>U25+Q26+R26</f>
        <v>-4.6334464043340517E-15</v>
      </c>
      <c r="T26" s="266"/>
      <c r="U26" s="251">
        <f t="shared" si="4"/>
        <v>-4.6334464043340517E-15</v>
      </c>
      <c r="V26" s="276" t="str">
        <f t="shared" si="5"/>
        <v>0%</v>
      </c>
      <c r="W26" s="262">
        <f t="shared" ref="W26" si="109">+$E$63*C25</f>
        <v>2.0999999999999999E-3</v>
      </c>
      <c r="X26" s="258">
        <f>+'Movimientos-Camaronailon'!M26</f>
        <v>0</v>
      </c>
      <c r="Y26" s="265">
        <f>AA25+W26+X26</f>
        <v>-7.9580439460436025E-16</v>
      </c>
      <c r="Z26" s="266"/>
      <c r="AA26" s="251">
        <f t="shared" si="6"/>
        <v>-7.9580439460436025E-16</v>
      </c>
      <c r="AB26" s="256" t="str">
        <f t="shared" si="7"/>
        <v>0%</v>
      </c>
      <c r="AC26" s="257">
        <f t="shared" ref="AC26" si="110">+$F$63*C25</f>
        <v>4.3499999999999997E-3</v>
      </c>
      <c r="AD26" s="258">
        <f>+'Movimientos-Camaronailon'!N26</f>
        <v>0</v>
      </c>
      <c r="AE26" s="265">
        <f>AG25+AC26+AD26</f>
        <v>-1.6445178552260131E-15</v>
      </c>
      <c r="AF26" s="266"/>
      <c r="AG26" s="391">
        <f t="shared" si="8"/>
        <v>-1.6445178552260131E-15</v>
      </c>
      <c r="AH26" s="256" t="str">
        <f t="shared" si="9"/>
        <v>0%</v>
      </c>
      <c r="AI26" s="277">
        <f t="shared" ref="AI26" si="111">+$G$63*C25</f>
        <v>1.7100000000000001E-3</v>
      </c>
      <c r="AJ26" s="258">
        <f>+'Movimientos-Camaronailon'!O26</f>
        <v>0</v>
      </c>
      <c r="AK26" s="265">
        <f>AM25+AI26+AJ26</f>
        <v>-2.7785933276458508E-15</v>
      </c>
      <c r="AL26" s="266"/>
      <c r="AM26" s="251">
        <f t="shared" si="10"/>
        <v>-2.7785933276458508E-15</v>
      </c>
      <c r="AN26" s="276" t="str">
        <f t="shared" si="11"/>
        <v>0%</v>
      </c>
      <c r="AO26" s="266">
        <f t="shared" si="22"/>
        <v>1.341E-2</v>
      </c>
      <c r="AP26" s="258">
        <f t="shared" si="23"/>
        <v>0</v>
      </c>
      <c r="AQ26" s="265">
        <f>AS25+AO26+AP26</f>
        <v>-1.2120512926649951E-14</v>
      </c>
      <c r="AR26" s="266">
        <f t="shared" si="24"/>
        <v>0</v>
      </c>
      <c r="AS26" s="251">
        <f t="shared" si="14"/>
        <v>-1.2120512926649951E-14</v>
      </c>
      <c r="AT26" s="276" t="str">
        <f t="shared" si="15"/>
        <v>0%</v>
      </c>
      <c r="AU26" s="540"/>
      <c r="AV26" s="542"/>
      <c r="AW26" s="540"/>
      <c r="AX26" s="542"/>
      <c r="AY26" s="540"/>
      <c r="AZ26" s="544"/>
    </row>
    <row r="27" spans="1:53">
      <c r="A27" s="582"/>
      <c r="B27" s="580" t="str">
        <f>+'Movimientos-Camaronailon'!A27</f>
        <v>MOROZIN YURECIC MARIO</v>
      </c>
      <c r="C27" s="576">
        <f>+'Movimientos-Camaronailon'!E27:E28</f>
        <v>3.0000000000000001E-5</v>
      </c>
      <c r="D27" s="303" t="s">
        <v>11</v>
      </c>
      <c r="E27" s="277">
        <f t="shared" ref="E27" si="112">+$B$61*C27</f>
        <v>1.2600000000000001E-3</v>
      </c>
      <c r="F27" s="258">
        <f>+'Movimientos-Camaronailon'!J27</f>
        <v>0</v>
      </c>
      <c r="G27" s="259">
        <f>E27+F27</f>
        <v>1.2600000000000001E-3</v>
      </c>
      <c r="H27" s="260"/>
      <c r="I27" s="392">
        <f t="shared" si="0"/>
        <v>1.2600000000000001E-3</v>
      </c>
      <c r="J27" s="419">
        <f t="shared" si="1"/>
        <v>0</v>
      </c>
      <c r="K27" s="255">
        <f t="shared" ref="K27" si="113">+$C$61*C27</f>
        <v>2.0310000000000002E-2</v>
      </c>
      <c r="L27" s="258">
        <f>+'Movimientos-Camaronailon'!K27</f>
        <v>0</v>
      </c>
      <c r="M27" s="259">
        <f>K27+L27</f>
        <v>2.0310000000000002E-2</v>
      </c>
      <c r="N27" s="261"/>
      <c r="O27" s="392">
        <f t="shared" si="2"/>
        <v>2.0310000000000002E-2</v>
      </c>
      <c r="P27" s="256">
        <f t="shared" si="3"/>
        <v>0</v>
      </c>
      <c r="Q27" s="277">
        <f t="shared" ref="Q27" si="114">+$D$61*C27</f>
        <v>2.5649999999999999E-2</v>
      </c>
      <c r="R27" s="258">
        <f>+'Movimientos-Camaronailon'!L27</f>
        <v>0</v>
      </c>
      <c r="S27" s="259">
        <f>Q27+R27</f>
        <v>2.5649999999999999E-2</v>
      </c>
      <c r="T27" s="261"/>
      <c r="U27" s="392">
        <f t="shared" si="4"/>
        <v>2.5649999999999999E-2</v>
      </c>
      <c r="V27" s="276">
        <f t="shared" si="5"/>
        <v>0</v>
      </c>
      <c r="W27" s="262">
        <f t="shared" ref="W27" si="115">+$E$61*C27</f>
        <v>1.89E-2</v>
      </c>
      <c r="X27" s="258">
        <f>+'Movimientos-Camaronailon'!M27</f>
        <v>0</v>
      </c>
      <c r="Y27" s="263">
        <f>W27+X27</f>
        <v>1.89E-2</v>
      </c>
      <c r="Z27" s="264"/>
      <c r="AA27" s="392">
        <f t="shared" si="6"/>
        <v>1.89E-2</v>
      </c>
      <c r="AB27" s="256">
        <f t="shared" si="7"/>
        <v>0</v>
      </c>
      <c r="AC27" s="257">
        <f t="shared" ref="AC27" si="116">+$F$61*C27</f>
        <v>3.9150000000000004E-2</v>
      </c>
      <c r="AD27" s="258">
        <f>+'Movimientos-Camaronailon'!N27</f>
        <v>0</v>
      </c>
      <c r="AE27" s="259">
        <f>AC27+AD27</f>
        <v>3.9150000000000004E-2</v>
      </c>
      <c r="AF27" s="261"/>
      <c r="AG27" s="391">
        <f t="shared" si="8"/>
        <v>3.9150000000000004E-2</v>
      </c>
      <c r="AH27" s="256">
        <f t="shared" si="9"/>
        <v>0</v>
      </c>
      <c r="AI27" s="277">
        <f t="shared" ref="AI27" si="117">+$G$61*C27</f>
        <v>1.5390000000000001E-2</v>
      </c>
      <c r="AJ27" s="258">
        <f>+'Movimientos-Camaronailon'!O27</f>
        <v>0</v>
      </c>
      <c r="AK27" s="259">
        <f>AI27+AJ27</f>
        <v>1.5390000000000001E-2</v>
      </c>
      <c r="AL27" s="261"/>
      <c r="AM27" s="392">
        <f t="shared" si="10"/>
        <v>1.5390000000000001E-2</v>
      </c>
      <c r="AN27" s="276">
        <f t="shared" si="11"/>
        <v>0</v>
      </c>
      <c r="AO27" s="260">
        <f t="shared" si="22"/>
        <v>0.12066</v>
      </c>
      <c r="AP27" s="258">
        <f t="shared" si="23"/>
        <v>0</v>
      </c>
      <c r="AQ27" s="259">
        <f>AO27+AP27</f>
        <v>0.12066</v>
      </c>
      <c r="AR27" s="260">
        <f t="shared" si="24"/>
        <v>0</v>
      </c>
      <c r="AS27" s="392">
        <f t="shared" si="14"/>
        <v>0.12066</v>
      </c>
      <c r="AT27" s="276">
        <f t="shared" si="15"/>
        <v>0</v>
      </c>
      <c r="AU27" s="539">
        <f>AO27+AO28</f>
        <v>0.13406999999999999</v>
      </c>
      <c r="AV27" s="541">
        <f>AP27+AP28</f>
        <v>0</v>
      </c>
      <c r="AW27" s="539">
        <f>AU27+AV27</f>
        <v>0.13406999999999999</v>
      </c>
      <c r="AX27" s="541">
        <f>AR27+AR28</f>
        <v>0</v>
      </c>
      <c r="AY27" s="539">
        <f>AW27-AX27</f>
        <v>0.13406999999999999</v>
      </c>
      <c r="AZ27" s="543">
        <f>AX27/AW27</f>
        <v>0</v>
      </c>
    </row>
    <row r="28" spans="1:53">
      <c r="A28" s="582"/>
      <c r="B28" s="581"/>
      <c r="C28" s="579"/>
      <c r="D28" s="305" t="s">
        <v>12</v>
      </c>
      <c r="E28" s="277">
        <f t="shared" ref="E28" si="118">+$B$63*C27</f>
        <v>1.5000000000000001E-4</v>
      </c>
      <c r="F28" s="258">
        <f>+'Movimientos-Camaronailon'!J28</f>
        <v>0</v>
      </c>
      <c r="G28" s="265">
        <f>E28+F28+I27</f>
        <v>1.41E-3</v>
      </c>
      <c r="H28" s="266"/>
      <c r="I28" s="392">
        <f t="shared" si="0"/>
        <v>1.41E-3</v>
      </c>
      <c r="J28" s="419">
        <f t="shared" si="1"/>
        <v>0</v>
      </c>
      <c r="K28" s="255">
        <f t="shared" ref="K28" si="119">+$C$63*C27</f>
        <v>2.2500000000000003E-3</v>
      </c>
      <c r="L28" s="258">
        <f>+'Movimientos-Camaronailon'!K28</f>
        <v>0</v>
      </c>
      <c r="M28" s="265">
        <f>O27+K28+L28</f>
        <v>2.2560000000000004E-2</v>
      </c>
      <c r="N28" s="266"/>
      <c r="O28" s="251">
        <f t="shared" si="2"/>
        <v>2.2560000000000004E-2</v>
      </c>
      <c r="P28" s="256">
        <f t="shared" si="3"/>
        <v>0</v>
      </c>
      <c r="Q28" s="277">
        <f t="shared" ref="Q28" si="120">+$D$63*C27</f>
        <v>2.8500000000000001E-3</v>
      </c>
      <c r="R28" s="258">
        <f>+'Movimientos-Camaronailon'!L28</f>
        <v>0</v>
      </c>
      <c r="S28" s="265">
        <f>U27+Q28+R28</f>
        <v>2.8499999999999998E-2</v>
      </c>
      <c r="T28" s="266"/>
      <c r="U28" s="251">
        <f t="shared" si="4"/>
        <v>2.8499999999999998E-2</v>
      </c>
      <c r="V28" s="276">
        <f t="shared" si="5"/>
        <v>0</v>
      </c>
      <c r="W28" s="262">
        <f t="shared" ref="W28" si="121">+$E$63*C27</f>
        <v>2.0999999999999999E-3</v>
      </c>
      <c r="X28" s="258">
        <f>+'Movimientos-Camaronailon'!M28</f>
        <v>0</v>
      </c>
      <c r="Y28" s="265">
        <f>AA27+W28+X28</f>
        <v>2.1000000000000001E-2</v>
      </c>
      <c r="Z28" s="266"/>
      <c r="AA28" s="251">
        <f t="shared" si="6"/>
        <v>2.1000000000000001E-2</v>
      </c>
      <c r="AB28" s="256">
        <f t="shared" si="7"/>
        <v>0</v>
      </c>
      <c r="AC28" s="257">
        <f t="shared" ref="AC28" si="122">+$F$63*C27</f>
        <v>4.3499999999999997E-3</v>
      </c>
      <c r="AD28" s="258">
        <f>+'Movimientos-Camaronailon'!N28</f>
        <v>0</v>
      </c>
      <c r="AE28" s="265">
        <f>AG27+AC28+AD28</f>
        <v>4.3500000000000004E-2</v>
      </c>
      <c r="AF28" s="266"/>
      <c r="AG28" s="391">
        <f t="shared" si="8"/>
        <v>4.3500000000000004E-2</v>
      </c>
      <c r="AH28" s="256">
        <f t="shared" si="9"/>
        <v>0</v>
      </c>
      <c r="AI28" s="277">
        <f t="shared" ref="AI28" si="123">+$G$63*C27</f>
        <v>1.7100000000000001E-3</v>
      </c>
      <c r="AJ28" s="258">
        <f>+'Movimientos-Camaronailon'!O28</f>
        <v>0</v>
      </c>
      <c r="AK28" s="265">
        <f>AM27+AI28+AJ28</f>
        <v>1.7100000000000001E-2</v>
      </c>
      <c r="AL28" s="266"/>
      <c r="AM28" s="251">
        <f t="shared" si="10"/>
        <v>1.7100000000000001E-2</v>
      </c>
      <c r="AN28" s="276">
        <f t="shared" si="11"/>
        <v>0</v>
      </c>
      <c r="AO28" s="266">
        <f t="shared" si="22"/>
        <v>1.341E-2</v>
      </c>
      <c r="AP28" s="258">
        <f t="shared" si="23"/>
        <v>0</v>
      </c>
      <c r="AQ28" s="265">
        <f>AS27+AO28+AP28</f>
        <v>0.13406999999999999</v>
      </c>
      <c r="AR28" s="266">
        <f t="shared" si="24"/>
        <v>0</v>
      </c>
      <c r="AS28" s="251">
        <f t="shared" si="14"/>
        <v>0.13406999999999999</v>
      </c>
      <c r="AT28" s="276">
        <f t="shared" si="15"/>
        <v>0</v>
      </c>
      <c r="AU28" s="540"/>
      <c r="AV28" s="542"/>
      <c r="AW28" s="540"/>
      <c r="AX28" s="542"/>
      <c r="AY28" s="540"/>
      <c r="AZ28" s="544"/>
    </row>
    <row r="29" spans="1:53">
      <c r="A29" s="582"/>
      <c r="B29" s="580" t="str">
        <f>+'Movimientos-Camaronailon'!A29</f>
        <v>QUINTERO LTDA. SOC. PESQ.</v>
      </c>
      <c r="C29" s="576">
        <f>+'Movimientos-Camaronailon'!E29:E30</f>
        <v>2.0000000000000002E-5</v>
      </c>
      <c r="D29" s="303" t="s">
        <v>11</v>
      </c>
      <c r="E29" s="277">
        <f t="shared" ref="E29" si="124">+$B$61*C29</f>
        <v>8.4000000000000003E-4</v>
      </c>
      <c r="F29" s="258">
        <f>+'Movimientos-Camaronailon'!J29</f>
        <v>0</v>
      </c>
      <c r="G29" s="259">
        <f>E29+F29</f>
        <v>8.4000000000000003E-4</v>
      </c>
      <c r="H29" s="260"/>
      <c r="I29" s="392">
        <f t="shared" si="0"/>
        <v>8.4000000000000003E-4</v>
      </c>
      <c r="J29" s="419">
        <f>IF(G29&gt;0,H29/G29,"0%")</f>
        <v>0</v>
      </c>
      <c r="K29" s="255">
        <f t="shared" ref="K29" si="125">+$C$61*C29</f>
        <v>1.3540000000000002E-2</v>
      </c>
      <c r="L29" s="258">
        <f>+'Movimientos-Camaronailon'!K29</f>
        <v>0</v>
      </c>
      <c r="M29" s="259">
        <f>K29+L29</f>
        <v>1.3540000000000002E-2</v>
      </c>
      <c r="N29" s="261"/>
      <c r="O29" s="392">
        <f t="shared" si="2"/>
        <v>1.3540000000000002E-2</v>
      </c>
      <c r="P29" s="256">
        <f t="shared" si="3"/>
        <v>0</v>
      </c>
      <c r="Q29" s="277">
        <f t="shared" ref="Q29" si="126">+$D$61*C29</f>
        <v>1.7100000000000001E-2</v>
      </c>
      <c r="R29" s="258">
        <f>+'Movimientos-Camaronailon'!L29</f>
        <v>0</v>
      </c>
      <c r="S29" s="259">
        <f>Q29+R29</f>
        <v>1.7100000000000001E-2</v>
      </c>
      <c r="T29" s="261"/>
      <c r="U29" s="392">
        <f t="shared" si="4"/>
        <v>1.7100000000000001E-2</v>
      </c>
      <c r="V29" s="276">
        <f t="shared" si="5"/>
        <v>0</v>
      </c>
      <c r="W29" s="262">
        <f t="shared" ref="W29" si="127">+$E$61*C29</f>
        <v>1.2600000000000002E-2</v>
      </c>
      <c r="X29" s="258">
        <f>+'Movimientos-Camaronailon'!M29</f>
        <v>0</v>
      </c>
      <c r="Y29" s="263">
        <f>W29+X29</f>
        <v>1.2600000000000002E-2</v>
      </c>
      <c r="Z29" s="264"/>
      <c r="AA29" s="392">
        <f t="shared" si="6"/>
        <v>1.2600000000000002E-2</v>
      </c>
      <c r="AB29" s="256">
        <f t="shared" si="7"/>
        <v>0</v>
      </c>
      <c r="AC29" s="257">
        <f t="shared" ref="AC29" si="128">+$F$61*C29</f>
        <v>2.6100000000000002E-2</v>
      </c>
      <c r="AD29" s="258">
        <f>+'Movimientos-Camaronailon'!N29</f>
        <v>0</v>
      </c>
      <c r="AE29" s="259">
        <f>AC29+AD29</f>
        <v>2.6100000000000002E-2</v>
      </c>
      <c r="AF29" s="261"/>
      <c r="AG29" s="391">
        <f t="shared" si="8"/>
        <v>2.6100000000000002E-2</v>
      </c>
      <c r="AH29" s="256">
        <f t="shared" si="9"/>
        <v>0</v>
      </c>
      <c r="AI29" s="277">
        <f t="shared" ref="AI29" si="129">+$G$61*C29</f>
        <v>1.026E-2</v>
      </c>
      <c r="AJ29" s="258">
        <f>+'Movimientos-Camaronailon'!O29</f>
        <v>0</v>
      </c>
      <c r="AK29" s="259">
        <f>AI29+AJ29</f>
        <v>1.026E-2</v>
      </c>
      <c r="AL29" s="261"/>
      <c r="AM29" s="392">
        <f t="shared" si="10"/>
        <v>1.026E-2</v>
      </c>
      <c r="AN29" s="276">
        <f t="shared" si="11"/>
        <v>0</v>
      </c>
      <c r="AO29" s="260">
        <f t="shared" si="22"/>
        <v>8.0440000000000011E-2</v>
      </c>
      <c r="AP29" s="258">
        <f t="shared" si="23"/>
        <v>0</v>
      </c>
      <c r="AQ29" s="259">
        <f>AO29+AP29</f>
        <v>8.0440000000000011E-2</v>
      </c>
      <c r="AR29" s="260">
        <f t="shared" si="24"/>
        <v>0</v>
      </c>
      <c r="AS29" s="392">
        <f t="shared" si="14"/>
        <v>8.0440000000000011E-2</v>
      </c>
      <c r="AT29" s="276">
        <f t="shared" si="15"/>
        <v>0</v>
      </c>
      <c r="AU29" s="539">
        <f>AO29+AO30</f>
        <v>8.9380000000000015E-2</v>
      </c>
      <c r="AV29" s="541">
        <f>AP29+AP30</f>
        <v>0</v>
      </c>
      <c r="AW29" s="539">
        <f>AU29+AV29</f>
        <v>8.9380000000000015E-2</v>
      </c>
      <c r="AX29" s="541">
        <f>AR29+AR30</f>
        <v>0</v>
      </c>
      <c r="AY29" s="539">
        <f>AW29-AX29</f>
        <v>8.9380000000000015E-2</v>
      </c>
      <c r="AZ29" s="543">
        <f>AX29/AW29</f>
        <v>0</v>
      </c>
    </row>
    <row r="30" spans="1:53">
      <c r="A30" s="582"/>
      <c r="B30" s="581"/>
      <c r="C30" s="579"/>
      <c r="D30" s="305" t="s">
        <v>12</v>
      </c>
      <c r="E30" s="277">
        <f t="shared" ref="E30" si="130">+$B$63*C29</f>
        <v>1E-4</v>
      </c>
      <c r="F30" s="258">
        <f>+'Movimientos-Camaronailon'!J30</f>
        <v>0</v>
      </c>
      <c r="G30" s="267">
        <f>E30+F30+I29</f>
        <v>9.4000000000000008E-4</v>
      </c>
      <c r="H30" s="258"/>
      <c r="I30" s="392">
        <f t="shared" si="0"/>
        <v>9.4000000000000008E-4</v>
      </c>
      <c r="J30" s="419">
        <f t="shared" si="1"/>
        <v>0</v>
      </c>
      <c r="K30" s="255">
        <f t="shared" ref="K30" si="131">+$C$63*C29</f>
        <v>1.5E-3</v>
      </c>
      <c r="L30" s="258">
        <f>+'Movimientos-Camaronailon'!K30</f>
        <v>0</v>
      </c>
      <c r="M30" s="267">
        <f>O29+K30+L30</f>
        <v>1.5040000000000001E-2</v>
      </c>
      <c r="N30" s="266"/>
      <c r="O30" s="251">
        <f t="shared" si="2"/>
        <v>1.5040000000000001E-2</v>
      </c>
      <c r="P30" s="256">
        <f t="shared" si="3"/>
        <v>0</v>
      </c>
      <c r="Q30" s="277">
        <f t="shared" ref="Q30" si="132">+$D$63*C29</f>
        <v>1.9000000000000002E-3</v>
      </c>
      <c r="R30" s="258">
        <f>+'Movimientos-Camaronailon'!L30</f>
        <v>0</v>
      </c>
      <c r="S30" s="267">
        <f>U29+Q30+R30</f>
        <v>1.9E-2</v>
      </c>
      <c r="T30" s="266"/>
      <c r="U30" s="251">
        <f t="shared" si="4"/>
        <v>1.9E-2</v>
      </c>
      <c r="V30" s="276">
        <f t="shared" si="5"/>
        <v>0</v>
      </c>
      <c r="W30" s="262">
        <f t="shared" ref="W30" si="133">+$E$63*C29</f>
        <v>1.4000000000000002E-3</v>
      </c>
      <c r="X30" s="258">
        <f>+'Movimientos-Camaronailon'!M30</f>
        <v>0</v>
      </c>
      <c r="Y30" s="267">
        <f>AA29+W30+X30</f>
        <v>1.4000000000000002E-2</v>
      </c>
      <c r="Z30" s="266"/>
      <c r="AA30" s="251">
        <f t="shared" si="6"/>
        <v>1.4000000000000002E-2</v>
      </c>
      <c r="AB30" s="256">
        <f t="shared" si="7"/>
        <v>0</v>
      </c>
      <c r="AC30" s="257">
        <f t="shared" ref="AC30" si="134">+$F$63*C29</f>
        <v>2.9000000000000002E-3</v>
      </c>
      <c r="AD30" s="258">
        <f>+'Movimientos-Camaronailon'!N30</f>
        <v>0</v>
      </c>
      <c r="AE30" s="267">
        <f>AG29+AC30+AD30</f>
        <v>2.9000000000000001E-2</v>
      </c>
      <c r="AF30" s="266"/>
      <c r="AG30" s="391">
        <f t="shared" si="8"/>
        <v>2.9000000000000001E-2</v>
      </c>
      <c r="AH30" s="256">
        <f t="shared" si="9"/>
        <v>0</v>
      </c>
      <c r="AI30" s="277">
        <f t="shared" ref="AI30" si="135">+$G$63*C29</f>
        <v>1.1400000000000002E-3</v>
      </c>
      <c r="AJ30" s="258">
        <f>+'Movimientos-Camaronailon'!O30</f>
        <v>0</v>
      </c>
      <c r="AK30" s="267">
        <f>AM29+AI30+AJ30</f>
        <v>1.14E-2</v>
      </c>
      <c r="AL30" s="266"/>
      <c r="AM30" s="251">
        <f t="shared" si="10"/>
        <v>1.14E-2</v>
      </c>
      <c r="AN30" s="276">
        <f t="shared" si="11"/>
        <v>0</v>
      </c>
      <c r="AO30" s="258">
        <f t="shared" si="22"/>
        <v>8.9400000000000018E-3</v>
      </c>
      <c r="AP30" s="258">
        <f t="shared" si="23"/>
        <v>0</v>
      </c>
      <c r="AQ30" s="267">
        <f>AS29+AO30+AP30</f>
        <v>8.9380000000000015E-2</v>
      </c>
      <c r="AR30" s="266">
        <f t="shared" si="24"/>
        <v>0</v>
      </c>
      <c r="AS30" s="251">
        <f t="shared" si="14"/>
        <v>8.9380000000000015E-2</v>
      </c>
      <c r="AT30" s="276">
        <f t="shared" si="15"/>
        <v>0</v>
      </c>
      <c r="AU30" s="546"/>
      <c r="AV30" s="542"/>
      <c r="AW30" s="546"/>
      <c r="AX30" s="545"/>
      <c r="AY30" s="546"/>
      <c r="AZ30" s="549"/>
    </row>
    <row r="31" spans="1:53">
      <c r="A31" s="582"/>
      <c r="B31" s="580" t="str">
        <f>+'Movimientos-Camaronailon'!A31</f>
        <v>QUINTERO S.A. PESQ.</v>
      </c>
      <c r="C31" s="576">
        <f>+'Movimientos-Camaronailon'!E31:E32</f>
        <v>0.33724280000000001</v>
      </c>
      <c r="D31" s="303" t="s">
        <v>11</v>
      </c>
      <c r="E31" s="277">
        <f t="shared" ref="E31" si="136">+$B$61*C31</f>
        <v>14.1641976</v>
      </c>
      <c r="F31" s="258">
        <f>+'Movimientos-Camaronailon'!J31</f>
        <v>-1.3721979</v>
      </c>
      <c r="G31" s="259">
        <f>E31+F31</f>
        <v>12.7919997</v>
      </c>
      <c r="H31" s="260"/>
      <c r="I31" s="392">
        <f t="shared" si="0"/>
        <v>12.7919997</v>
      </c>
      <c r="J31" s="419">
        <f t="shared" si="1"/>
        <v>0</v>
      </c>
      <c r="K31" s="255">
        <f t="shared" ref="K31" si="137">+$C$61*C31</f>
        <v>228.3133756</v>
      </c>
      <c r="L31" s="258">
        <f>+'Movimientos-Camaronailon'!K31</f>
        <v>-21.9551664</v>
      </c>
      <c r="M31" s="259">
        <f>K31+L31</f>
        <v>206.3582092</v>
      </c>
      <c r="N31" s="261">
        <f>13.839+61.612</f>
        <v>75.451000000000008</v>
      </c>
      <c r="O31" s="392">
        <f t="shared" si="2"/>
        <v>130.90720920000001</v>
      </c>
      <c r="P31" s="256">
        <f t="shared" si="3"/>
        <v>0.36563120164933088</v>
      </c>
      <c r="Q31" s="277">
        <f t="shared" ref="Q31" si="138">+$D$61*C31</f>
        <v>288.34259400000002</v>
      </c>
      <c r="R31" s="258">
        <f>+'Movimientos-Camaronailon'!L31</f>
        <v>-27.735914999999995</v>
      </c>
      <c r="S31" s="259">
        <f>Q31+R31</f>
        <v>260.60667900000004</v>
      </c>
      <c r="T31" s="261">
        <f>36.243+165.013</f>
        <v>201.256</v>
      </c>
      <c r="U31" s="392">
        <f t="shared" si="4"/>
        <v>59.350679000000042</v>
      </c>
      <c r="V31" s="276">
        <f t="shared" si="5"/>
        <v>0.77225956284873254</v>
      </c>
      <c r="W31" s="262">
        <f t="shared" ref="W31" si="139">+$E$61*C31</f>
        <v>212.462964</v>
      </c>
      <c r="X31" s="258">
        <f>+'Movimientos-Camaronailon'!M31</f>
        <v>-20.436989999999998</v>
      </c>
      <c r="Y31" s="268">
        <f>W31+X31</f>
        <v>192.02597399999999</v>
      </c>
      <c r="Z31" s="264">
        <f>35.771+113.609</f>
        <v>149.38</v>
      </c>
      <c r="AA31" s="392">
        <f t="shared" si="6"/>
        <v>42.645973999999995</v>
      </c>
      <c r="AB31" s="256">
        <f t="shared" si="7"/>
        <v>0.77791559593912019</v>
      </c>
      <c r="AC31" s="257">
        <f t="shared" ref="AC31" si="140">+$F$61*C31</f>
        <v>440.101854</v>
      </c>
      <c r="AD31" s="258">
        <f>+'Movimientos-Camaronailon'!N31</f>
        <v>-42.333765</v>
      </c>
      <c r="AE31" s="259">
        <f>AC31+AD31</f>
        <v>397.76808900000003</v>
      </c>
      <c r="AF31" s="261">
        <f>10.379+298.692</f>
        <v>309.07100000000003</v>
      </c>
      <c r="AG31" s="391">
        <f t="shared" si="8"/>
        <v>88.697089000000005</v>
      </c>
      <c r="AH31" s="256">
        <f t="shared" si="9"/>
        <v>0.77701305998933468</v>
      </c>
      <c r="AI31" s="277">
        <f t="shared" ref="AI31" si="141">+$G$61*C31</f>
        <v>173.00555640000002</v>
      </c>
      <c r="AJ31" s="258">
        <f>+'Movimientos-Camaronailon'!O31</f>
        <v>-16.641548999999998</v>
      </c>
      <c r="AK31" s="259">
        <f>AI31+AJ31</f>
        <v>156.36400740000002</v>
      </c>
      <c r="AL31" s="261">
        <f>+G71</f>
        <v>0</v>
      </c>
      <c r="AM31" s="392">
        <f t="shared" si="10"/>
        <v>156.36400740000002</v>
      </c>
      <c r="AN31" s="276">
        <f t="shared" si="11"/>
        <v>0</v>
      </c>
      <c r="AO31" s="260">
        <f t="shared" ref="AO31:AO34" si="142">+E31+K31+Q31+W31+AC31+AI31</f>
        <v>1356.3905416</v>
      </c>
      <c r="AP31" s="258">
        <f t="shared" ref="AP31:AP34" si="143">F31+L31+R31+X31+AD31+AJ31</f>
        <v>-130.47558329999998</v>
      </c>
      <c r="AQ31" s="259">
        <f>AO31+AP31</f>
        <v>1225.9149583000001</v>
      </c>
      <c r="AR31" s="260">
        <f t="shared" si="24"/>
        <v>735.15800000000002</v>
      </c>
      <c r="AS31" s="392">
        <f t="shared" si="14"/>
        <v>490.75695830000006</v>
      </c>
      <c r="AT31" s="276">
        <f t="shared" si="15"/>
        <v>0.59968107495764456</v>
      </c>
      <c r="AU31" s="539">
        <f>AO31+AO32</f>
        <v>1507.1380732</v>
      </c>
      <c r="AV31" s="541">
        <f>AP31+AP32</f>
        <v>-130.47558329999998</v>
      </c>
      <c r="AW31" s="541">
        <f>AU31+AV31</f>
        <v>1376.6624899000001</v>
      </c>
      <c r="AX31" s="541">
        <f>AR31+AR32</f>
        <v>985.53</v>
      </c>
      <c r="AY31" s="539">
        <f>AW31-AX31</f>
        <v>391.13248990000011</v>
      </c>
      <c r="AZ31" s="543">
        <f>AX31/AW31</f>
        <v>0.71588352790202647</v>
      </c>
    </row>
    <row r="32" spans="1:53">
      <c r="A32" s="582"/>
      <c r="B32" s="581"/>
      <c r="C32" s="579"/>
      <c r="D32" s="305" t="s">
        <v>12</v>
      </c>
      <c r="E32" s="277">
        <f t="shared" ref="E32" si="144">+$B$63*C31</f>
        <v>1.6862140000000001</v>
      </c>
      <c r="F32" s="258">
        <f>+'Movimientos-Camaronailon'!J32</f>
        <v>0</v>
      </c>
      <c r="G32" s="265">
        <f>E32+F32+I31</f>
        <v>14.4782137</v>
      </c>
      <c r="H32" s="266"/>
      <c r="I32" s="392">
        <f t="shared" si="0"/>
        <v>14.4782137</v>
      </c>
      <c r="J32" s="419">
        <f t="shared" si="1"/>
        <v>0</v>
      </c>
      <c r="K32" s="255">
        <f t="shared" ref="K32" si="145">+$C$63*C31</f>
        <v>25.293210000000002</v>
      </c>
      <c r="L32" s="258">
        <f>+'Movimientos-Camaronailon'!K32</f>
        <v>0</v>
      </c>
      <c r="M32" s="265">
        <f>O31+K32+L32</f>
        <v>156.2004192</v>
      </c>
      <c r="N32" s="266">
        <v>13.851000000000001</v>
      </c>
      <c r="O32" s="251">
        <f t="shared" si="2"/>
        <v>142.3494192</v>
      </c>
      <c r="P32" s="256">
        <f t="shared" si="3"/>
        <v>8.8674537948999307E-2</v>
      </c>
      <c r="Q32" s="277">
        <f t="shared" ref="Q32" si="146">+$D$63*C31</f>
        <v>32.038066000000001</v>
      </c>
      <c r="R32" s="258">
        <f>+'Movimientos-Camaronailon'!L32</f>
        <v>0</v>
      </c>
      <c r="S32" s="265">
        <f>U31+Q32+R32</f>
        <v>91.388745000000043</v>
      </c>
      <c r="T32" s="266">
        <f>17.965+21.368</f>
        <v>39.332999999999998</v>
      </c>
      <c r="U32" s="251">
        <f t="shared" si="4"/>
        <v>52.055745000000044</v>
      </c>
      <c r="V32" s="276">
        <f t="shared" si="5"/>
        <v>0.43039216700043292</v>
      </c>
      <c r="W32" s="262">
        <f t="shared" ref="W32" si="147">+$E$63*C31</f>
        <v>23.606996000000002</v>
      </c>
      <c r="X32" s="258">
        <f>+'Movimientos-Camaronailon'!M32</f>
        <v>0</v>
      </c>
      <c r="Y32" s="265">
        <f>AA31+W32+X32</f>
        <v>66.252970000000005</v>
      </c>
      <c r="Z32" s="266">
        <f>7.83+28.271</f>
        <v>36.100999999999999</v>
      </c>
      <c r="AA32" s="251">
        <f t="shared" si="6"/>
        <v>30.151970000000006</v>
      </c>
      <c r="AB32" s="256">
        <f t="shared" si="7"/>
        <v>0.54489632691183498</v>
      </c>
      <c r="AC32" s="257">
        <f t="shared" ref="AC32" si="148">+$F$63*C31</f>
        <v>48.900206000000004</v>
      </c>
      <c r="AD32" s="258">
        <f>+'Movimientos-Camaronailon'!N32</f>
        <v>0</v>
      </c>
      <c r="AE32" s="265">
        <f>AG31+AC32+AD32</f>
        <v>137.597295</v>
      </c>
      <c r="AF32" s="266">
        <f>54.072+48.405</f>
        <v>102.477</v>
      </c>
      <c r="AG32" s="391">
        <f t="shared" si="8"/>
        <v>35.120294999999999</v>
      </c>
      <c r="AH32" s="256">
        <f t="shared" si="9"/>
        <v>0.74476028035289499</v>
      </c>
      <c r="AI32" s="277">
        <f t="shared" ref="AI32" si="149">+$G$63*C31</f>
        <v>19.2228396</v>
      </c>
      <c r="AJ32" s="258">
        <f>+'Movimientos-Camaronailon'!O32</f>
        <v>0</v>
      </c>
      <c r="AK32" s="265">
        <f>AM31+AI32+AJ32</f>
        <v>175.58684700000003</v>
      </c>
      <c r="AL32" s="266">
        <f>47.502+11.108</f>
        <v>58.61</v>
      </c>
      <c r="AM32" s="251">
        <f t="shared" si="10"/>
        <v>116.97684700000003</v>
      </c>
      <c r="AN32" s="276">
        <f t="shared" si="11"/>
        <v>0.33379493396791837</v>
      </c>
      <c r="AO32" s="266">
        <f t="shared" si="142"/>
        <v>150.7475316</v>
      </c>
      <c r="AP32" s="258">
        <f t="shared" si="143"/>
        <v>0</v>
      </c>
      <c r="AQ32" s="265">
        <f>AS31+AO32+AP32</f>
        <v>641.50448990000007</v>
      </c>
      <c r="AR32" s="266">
        <f t="shared" si="24"/>
        <v>250.37200000000001</v>
      </c>
      <c r="AS32" s="251">
        <f t="shared" si="14"/>
        <v>391.13248990000005</v>
      </c>
      <c r="AT32" s="276">
        <f t="shared" si="15"/>
        <v>0.39028877263045947</v>
      </c>
      <c r="AU32" s="540"/>
      <c r="AV32" s="542"/>
      <c r="AW32" s="542"/>
      <c r="AX32" s="542"/>
      <c r="AY32" s="540"/>
      <c r="AZ32" s="544"/>
    </row>
    <row r="33" spans="1:52">
      <c r="A33" s="582"/>
      <c r="B33" s="580" t="str">
        <f>+'Movimientos-Camaronailon'!A33</f>
        <v>RUBIO Y MAUAD LTDA.</v>
      </c>
      <c r="C33" s="576">
        <f>+'Movimientos-Camaronailon'!E33:E34</f>
        <v>1.2800000000000001E-3</v>
      </c>
      <c r="D33" s="303" t="s">
        <v>11</v>
      </c>
      <c r="E33" s="277">
        <f t="shared" ref="E33" si="150">+$B$61*C33</f>
        <v>5.3760000000000002E-2</v>
      </c>
      <c r="F33" s="258">
        <f>+'Movimientos-Camaronailon'!J33</f>
        <v>0</v>
      </c>
      <c r="G33" s="259">
        <f>E33+F33</f>
        <v>5.3760000000000002E-2</v>
      </c>
      <c r="H33" s="260"/>
      <c r="I33" s="392">
        <f t="shared" si="0"/>
        <v>5.3760000000000002E-2</v>
      </c>
      <c r="J33" s="419">
        <f t="shared" si="1"/>
        <v>0</v>
      </c>
      <c r="K33" s="255">
        <f t="shared" ref="K33" si="151">+$C$61*C33</f>
        <v>0.86656000000000011</v>
      </c>
      <c r="L33" s="258">
        <f>+'Movimientos-Camaronailon'!K33</f>
        <v>0</v>
      </c>
      <c r="M33" s="259">
        <f>K33+L33</f>
        <v>0.86656000000000011</v>
      </c>
      <c r="N33" s="261"/>
      <c r="O33" s="392">
        <f t="shared" si="2"/>
        <v>0.86656000000000011</v>
      </c>
      <c r="P33" s="256">
        <f t="shared" si="3"/>
        <v>0</v>
      </c>
      <c r="Q33" s="277">
        <f t="shared" ref="Q33" si="152">+$D$61*C33</f>
        <v>1.0944</v>
      </c>
      <c r="R33" s="258">
        <f>+'Movimientos-Camaronailon'!L33</f>
        <v>0</v>
      </c>
      <c r="S33" s="259">
        <f>Q33+R33</f>
        <v>1.0944</v>
      </c>
      <c r="T33" s="261"/>
      <c r="U33" s="392">
        <f t="shared" si="4"/>
        <v>1.0944</v>
      </c>
      <c r="V33" s="276">
        <f t="shared" si="5"/>
        <v>0</v>
      </c>
      <c r="W33" s="262">
        <f t="shared" ref="W33" si="153">+$E$61*C33</f>
        <v>0.80640000000000012</v>
      </c>
      <c r="X33" s="258">
        <f>+'Movimientos-Camaronailon'!M33</f>
        <v>0</v>
      </c>
      <c r="Y33" s="268">
        <f>W33+X33</f>
        <v>0.80640000000000012</v>
      </c>
      <c r="Z33" s="264"/>
      <c r="AA33" s="392">
        <f t="shared" si="6"/>
        <v>0.80640000000000012</v>
      </c>
      <c r="AB33" s="256">
        <f t="shared" si="7"/>
        <v>0</v>
      </c>
      <c r="AC33" s="257">
        <f t="shared" ref="AC33" si="154">+$F$61*C33</f>
        <v>1.6704000000000001</v>
      </c>
      <c r="AD33" s="258">
        <f>+'Movimientos-Camaronailon'!N33</f>
        <v>0</v>
      </c>
      <c r="AE33" s="259">
        <f>AC33+AD33</f>
        <v>1.6704000000000001</v>
      </c>
      <c r="AF33" s="261"/>
      <c r="AG33" s="391">
        <f t="shared" si="8"/>
        <v>1.6704000000000001</v>
      </c>
      <c r="AH33" s="256">
        <f t="shared" si="9"/>
        <v>0</v>
      </c>
      <c r="AI33" s="277">
        <f t="shared" ref="AI33" si="155">+$G$61*C33</f>
        <v>0.65664</v>
      </c>
      <c r="AJ33" s="258">
        <f>+'Movimientos-Camaronailon'!O33</f>
        <v>0</v>
      </c>
      <c r="AK33" s="259">
        <f>AI33+AJ33</f>
        <v>0.65664</v>
      </c>
      <c r="AL33" s="261"/>
      <c r="AM33" s="392">
        <f t="shared" si="10"/>
        <v>0.65664</v>
      </c>
      <c r="AN33" s="276">
        <f t="shared" si="11"/>
        <v>0</v>
      </c>
      <c r="AO33" s="260">
        <f t="shared" si="142"/>
        <v>5.1481600000000007</v>
      </c>
      <c r="AP33" s="258">
        <f t="shared" si="143"/>
        <v>0</v>
      </c>
      <c r="AQ33" s="259">
        <f>AO33+AP33</f>
        <v>5.1481600000000007</v>
      </c>
      <c r="AR33" s="260">
        <f t="shared" si="24"/>
        <v>0</v>
      </c>
      <c r="AS33" s="392">
        <f t="shared" si="14"/>
        <v>5.1481600000000007</v>
      </c>
      <c r="AT33" s="276">
        <f t="shared" si="15"/>
        <v>0</v>
      </c>
      <c r="AU33" s="539">
        <f>AO33+AO34</f>
        <v>5.720320000000001</v>
      </c>
      <c r="AV33" s="541">
        <f>AP33+AP34</f>
        <v>0</v>
      </c>
      <c r="AW33" s="541">
        <f>AU33+AV33</f>
        <v>5.720320000000001</v>
      </c>
      <c r="AX33" s="541">
        <f>AR33+AR34</f>
        <v>0</v>
      </c>
      <c r="AY33" s="539">
        <f>AW33-AX33</f>
        <v>5.720320000000001</v>
      </c>
      <c r="AZ33" s="543">
        <f>AX33/AW33</f>
        <v>0</v>
      </c>
    </row>
    <row r="34" spans="1:52">
      <c r="A34" s="582"/>
      <c r="B34" s="581"/>
      <c r="C34" s="579"/>
      <c r="D34" s="305" t="s">
        <v>12</v>
      </c>
      <c r="E34" s="277">
        <f t="shared" ref="E34" si="156">+$B$63*C33</f>
        <v>6.4000000000000003E-3</v>
      </c>
      <c r="F34" s="258">
        <f>+'Movimientos-Camaronailon'!J34</f>
        <v>0</v>
      </c>
      <c r="G34" s="265">
        <f>E34+F34+I33</f>
        <v>6.0160000000000005E-2</v>
      </c>
      <c r="H34" s="266"/>
      <c r="I34" s="392">
        <f t="shared" si="0"/>
        <v>6.0160000000000005E-2</v>
      </c>
      <c r="J34" s="419">
        <f t="shared" si="1"/>
        <v>0</v>
      </c>
      <c r="K34" s="255">
        <f t="shared" ref="K34" si="157">+$C$63*C33</f>
        <v>9.6000000000000002E-2</v>
      </c>
      <c r="L34" s="258">
        <f>+'Movimientos-Camaronailon'!K34</f>
        <v>0</v>
      </c>
      <c r="M34" s="265">
        <f>O33+K34+L34</f>
        <v>0.96256000000000008</v>
      </c>
      <c r="N34" s="266"/>
      <c r="O34" s="251">
        <f t="shared" si="2"/>
        <v>0.96256000000000008</v>
      </c>
      <c r="P34" s="256">
        <f t="shared" si="3"/>
        <v>0</v>
      </c>
      <c r="Q34" s="277">
        <f t="shared" ref="Q34" si="158">+$D$63*C33</f>
        <v>0.12160000000000001</v>
      </c>
      <c r="R34" s="258">
        <f>+'Movimientos-Camaronailon'!L34</f>
        <v>0</v>
      </c>
      <c r="S34" s="265">
        <f>U33+Q34+R34</f>
        <v>1.216</v>
      </c>
      <c r="T34" s="266"/>
      <c r="U34" s="251">
        <f t="shared" si="4"/>
        <v>1.216</v>
      </c>
      <c r="V34" s="276">
        <f t="shared" si="5"/>
        <v>0</v>
      </c>
      <c r="W34" s="262">
        <f t="shared" ref="W34" si="159">+$E$63*C33</f>
        <v>8.9600000000000013E-2</v>
      </c>
      <c r="X34" s="258">
        <f>+'Movimientos-Camaronailon'!M34</f>
        <v>0</v>
      </c>
      <c r="Y34" s="265">
        <f>AA33+W34+X34</f>
        <v>0.89600000000000013</v>
      </c>
      <c r="Z34" s="266"/>
      <c r="AA34" s="251">
        <f t="shared" si="6"/>
        <v>0.89600000000000013</v>
      </c>
      <c r="AB34" s="256">
        <f t="shared" si="7"/>
        <v>0</v>
      </c>
      <c r="AC34" s="257">
        <f t="shared" ref="AC34" si="160">+$F$63*C33</f>
        <v>0.18560000000000001</v>
      </c>
      <c r="AD34" s="258">
        <f>+'Movimientos-Camaronailon'!N34</f>
        <v>0</v>
      </c>
      <c r="AE34" s="265">
        <f>AG33+AC34+AD34</f>
        <v>1.8560000000000001</v>
      </c>
      <c r="AF34" s="266"/>
      <c r="AG34" s="391">
        <f t="shared" si="8"/>
        <v>1.8560000000000001</v>
      </c>
      <c r="AH34" s="256">
        <f t="shared" si="9"/>
        <v>0</v>
      </c>
      <c r="AI34" s="277">
        <f t="shared" ref="AI34" si="161">+$G$63*C33</f>
        <v>7.2960000000000011E-2</v>
      </c>
      <c r="AJ34" s="258">
        <f>+'Movimientos-Camaronailon'!O34</f>
        <v>0</v>
      </c>
      <c r="AK34" s="265">
        <f>AM33+AI34+AJ34</f>
        <v>0.72960000000000003</v>
      </c>
      <c r="AL34" s="266"/>
      <c r="AM34" s="251">
        <f t="shared" si="10"/>
        <v>0.72960000000000003</v>
      </c>
      <c r="AN34" s="276">
        <f t="shared" si="11"/>
        <v>0</v>
      </c>
      <c r="AO34" s="266">
        <f t="shared" si="142"/>
        <v>0.57216000000000011</v>
      </c>
      <c r="AP34" s="258">
        <f t="shared" si="143"/>
        <v>0</v>
      </c>
      <c r="AQ34" s="265">
        <f>AS33+AO34+AP34</f>
        <v>5.720320000000001</v>
      </c>
      <c r="AR34" s="266">
        <f t="shared" si="24"/>
        <v>0</v>
      </c>
      <c r="AS34" s="251">
        <f t="shared" si="14"/>
        <v>5.720320000000001</v>
      </c>
      <c r="AT34" s="276">
        <f t="shared" si="15"/>
        <v>0</v>
      </c>
      <c r="AU34" s="540"/>
      <c r="AV34" s="542"/>
      <c r="AW34" s="542"/>
      <c r="AX34" s="542"/>
      <c r="AY34" s="540"/>
      <c r="AZ34" s="544"/>
    </row>
    <row r="35" spans="1:52">
      <c r="A35" s="582"/>
      <c r="B35" s="580" t="str">
        <f>+'Movimientos-Camaronailon'!A35</f>
        <v>SUNRISE S.A. PESQ.</v>
      </c>
      <c r="C35" s="576">
        <f>+'Movimientos-Camaronailon'!E35:E36</f>
        <v>0</v>
      </c>
      <c r="D35" s="303" t="s">
        <v>11</v>
      </c>
      <c r="E35" s="277">
        <f t="shared" ref="E35" si="162">+$B$61*C35</f>
        <v>0</v>
      </c>
      <c r="F35" s="258">
        <f>+'Movimientos-Camaronailon'!J35</f>
        <v>0</v>
      </c>
      <c r="G35" s="259">
        <f>E35+F35</f>
        <v>0</v>
      </c>
      <c r="H35" s="260"/>
      <c r="I35" s="392">
        <f t="shared" si="0"/>
        <v>0</v>
      </c>
      <c r="J35" s="419" t="str">
        <f t="shared" si="1"/>
        <v>0%</v>
      </c>
      <c r="K35" s="255">
        <f t="shared" ref="K35" si="163">+$C$61*C35</f>
        <v>0</v>
      </c>
      <c r="L35" s="258">
        <f>+'Movimientos-Camaronailon'!K35</f>
        <v>0</v>
      </c>
      <c r="M35" s="259">
        <f>K35+L35</f>
        <v>0</v>
      </c>
      <c r="N35" s="261"/>
      <c r="O35" s="392">
        <f t="shared" si="2"/>
        <v>0</v>
      </c>
      <c r="P35" s="256" t="str">
        <f t="shared" si="3"/>
        <v>0%</v>
      </c>
      <c r="Q35" s="277">
        <f t="shared" ref="Q35" si="164">+$D$61*C35</f>
        <v>0</v>
      </c>
      <c r="R35" s="258">
        <f>+'Movimientos-Camaronailon'!L35</f>
        <v>0</v>
      </c>
      <c r="S35" s="259">
        <f>Q35+R35</f>
        <v>0</v>
      </c>
      <c r="T35" s="261"/>
      <c r="U35" s="392">
        <f t="shared" si="4"/>
        <v>0</v>
      </c>
      <c r="V35" s="276" t="str">
        <f t="shared" si="5"/>
        <v>0%</v>
      </c>
      <c r="W35" s="262">
        <f t="shared" ref="W35" si="165">+$E$61*C35</f>
        <v>0</v>
      </c>
      <c r="X35" s="258">
        <f>+'Movimientos-Camaronailon'!M35</f>
        <v>0</v>
      </c>
      <c r="Y35" s="268">
        <f>W35+X35</f>
        <v>0</v>
      </c>
      <c r="Z35" s="264"/>
      <c r="AA35" s="392">
        <f t="shared" si="6"/>
        <v>0</v>
      </c>
      <c r="AB35" s="256" t="str">
        <f t="shared" si="7"/>
        <v>0%</v>
      </c>
      <c r="AC35" s="257">
        <f t="shared" ref="AC35" si="166">+$F$61*C35</f>
        <v>0</v>
      </c>
      <c r="AD35" s="258">
        <f>+'Movimientos-Camaronailon'!N35</f>
        <v>0</v>
      </c>
      <c r="AE35" s="259">
        <f>AC35+AD35</f>
        <v>0</v>
      </c>
      <c r="AF35" s="261"/>
      <c r="AG35" s="391">
        <f t="shared" si="8"/>
        <v>0</v>
      </c>
      <c r="AH35" s="256" t="str">
        <f t="shared" si="9"/>
        <v>0%</v>
      </c>
      <c r="AI35" s="277">
        <f t="shared" ref="AI35" si="167">+$G$61*C35</f>
        <v>0</v>
      </c>
      <c r="AJ35" s="258">
        <f>+'Movimientos-Camaronailon'!O35</f>
        <v>0</v>
      </c>
      <c r="AK35" s="259">
        <f>AI35+AJ35</f>
        <v>0</v>
      </c>
      <c r="AL35" s="261"/>
      <c r="AM35" s="392">
        <f t="shared" si="10"/>
        <v>0</v>
      </c>
      <c r="AN35" s="276" t="str">
        <f t="shared" si="11"/>
        <v>0%</v>
      </c>
      <c r="AO35" s="260">
        <f t="shared" ref="AO35:AO36" si="168">+E35+K35+Q35+W35+AC35+AI35</f>
        <v>0</v>
      </c>
      <c r="AP35" s="258">
        <f t="shared" ref="AP35:AP36" si="169">F35+L35+R35+X35+AD35+AJ35</f>
        <v>0</v>
      </c>
      <c r="AQ35" s="259">
        <f>AO35+AP35</f>
        <v>0</v>
      </c>
      <c r="AR35" s="260">
        <f t="shared" ref="AR35:AR36" si="170">H35+N35+T35+Z35+AF35+AL35</f>
        <v>0</v>
      </c>
      <c r="AS35" s="392">
        <f t="shared" si="14"/>
        <v>0</v>
      </c>
      <c r="AT35" s="276" t="str">
        <f t="shared" si="15"/>
        <v>0%</v>
      </c>
      <c r="AU35" s="539">
        <f>AO35+AO36</f>
        <v>0</v>
      </c>
      <c r="AV35" s="541">
        <f>AP35+AP36</f>
        <v>0</v>
      </c>
      <c r="AW35" s="541">
        <f>AU35+AV35</f>
        <v>0</v>
      </c>
      <c r="AX35" s="541">
        <f>AR35+AR36</f>
        <v>0</v>
      </c>
      <c r="AY35" s="539">
        <f>AW35-AX35</f>
        <v>0</v>
      </c>
      <c r="AZ35" s="543">
        <v>0</v>
      </c>
    </row>
    <row r="36" spans="1:52">
      <c r="A36" s="582"/>
      <c r="B36" s="581"/>
      <c r="C36" s="579"/>
      <c r="D36" s="305" t="s">
        <v>12</v>
      </c>
      <c r="E36" s="277">
        <f t="shared" ref="E36" si="171">+$B$63*C35</f>
        <v>0</v>
      </c>
      <c r="F36" s="258">
        <f>+'Movimientos-Camaronailon'!J36</f>
        <v>0</v>
      </c>
      <c r="G36" s="265">
        <f>E36+F36+I35</f>
        <v>0</v>
      </c>
      <c r="H36" s="266"/>
      <c r="I36" s="392">
        <f t="shared" si="0"/>
        <v>0</v>
      </c>
      <c r="J36" s="419" t="str">
        <f t="shared" si="1"/>
        <v>0%</v>
      </c>
      <c r="K36" s="255">
        <f t="shared" ref="K36" si="172">+$C$63*C35</f>
        <v>0</v>
      </c>
      <c r="L36" s="258">
        <f>+'Movimientos-Camaronailon'!K36</f>
        <v>0</v>
      </c>
      <c r="M36" s="265">
        <f>O35+K36+L36</f>
        <v>0</v>
      </c>
      <c r="N36" s="266"/>
      <c r="O36" s="251">
        <f t="shared" si="2"/>
        <v>0</v>
      </c>
      <c r="P36" s="256" t="str">
        <f t="shared" si="3"/>
        <v>0%</v>
      </c>
      <c r="Q36" s="277">
        <f t="shared" ref="Q36" si="173">+$D$63*C35</f>
        <v>0</v>
      </c>
      <c r="R36" s="258">
        <f>+'Movimientos-Camaronailon'!L36</f>
        <v>0</v>
      </c>
      <c r="S36" s="265">
        <f>U35+Q36+R36</f>
        <v>0</v>
      </c>
      <c r="T36" s="266"/>
      <c r="U36" s="251">
        <f t="shared" si="4"/>
        <v>0</v>
      </c>
      <c r="V36" s="276" t="str">
        <f t="shared" si="5"/>
        <v>0%</v>
      </c>
      <c r="W36" s="262">
        <f t="shared" ref="W36" si="174">+$E$63*C35</f>
        <v>0</v>
      </c>
      <c r="X36" s="258">
        <f>+'Movimientos-Camaronailon'!M36</f>
        <v>0</v>
      </c>
      <c r="Y36" s="265">
        <f>AA35+W36+X36</f>
        <v>0</v>
      </c>
      <c r="Z36" s="266"/>
      <c r="AA36" s="251">
        <f t="shared" si="6"/>
        <v>0</v>
      </c>
      <c r="AB36" s="256" t="str">
        <f t="shared" si="7"/>
        <v>0%</v>
      </c>
      <c r="AC36" s="257">
        <f t="shared" ref="AC36" si="175">+$F$63*C35</f>
        <v>0</v>
      </c>
      <c r="AD36" s="258">
        <f>+'Movimientos-Camaronailon'!N36</f>
        <v>0</v>
      </c>
      <c r="AE36" s="265">
        <f>AG35+AC36+AD36</f>
        <v>0</v>
      </c>
      <c r="AF36" s="266"/>
      <c r="AG36" s="391">
        <f t="shared" si="8"/>
        <v>0</v>
      </c>
      <c r="AH36" s="256" t="str">
        <f t="shared" si="9"/>
        <v>0%</v>
      </c>
      <c r="AI36" s="277">
        <f t="shared" ref="AI36" si="176">+$G$63*C35</f>
        <v>0</v>
      </c>
      <c r="AJ36" s="258">
        <f>+'Movimientos-Camaronailon'!O36</f>
        <v>0</v>
      </c>
      <c r="AK36" s="265">
        <f>AM35+AI36+AJ36</f>
        <v>0</v>
      </c>
      <c r="AL36" s="266"/>
      <c r="AM36" s="251">
        <f t="shared" si="10"/>
        <v>0</v>
      </c>
      <c r="AN36" s="276" t="str">
        <f t="shared" si="11"/>
        <v>0%</v>
      </c>
      <c r="AO36" s="266">
        <f t="shared" si="168"/>
        <v>0</v>
      </c>
      <c r="AP36" s="258">
        <f t="shared" si="169"/>
        <v>0</v>
      </c>
      <c r="AQ36" s="265">
        <f>AS35+AO36+AP36</f>
        <v>0</v>
      </c>
      <c r="AR36" s="266">
        <f t="shared" si="170"/>
        <v>0</v>
      </c>
      <c r="AS36" s="251">
        <f t="shared" si="14"/>
        <v>0</v>
      </c>
      <c r="AT36" s="276" t="str">
        <f t="shared" si="15"/>
        <v>0%</v>
      </c>
      <c r="AU36" s="540"/>
      <c r="AV36" s="542"/>
      <c r="AW36" s="542"/>
      <c r="AX36" s="542"/>
      <c r="AY36" s="540"/>
      <c r="AZ36" s="544"/>
    </row>
    <row r="37" spans="1:52">
      <c r="A37" s="582"/>
      <c r="B37" s="580" t="str">
        <f>+'Movimientos-Camaronailon'!A37</f>
        <v>ANTONIO CRUZ CORDOVA NAKOUZI E.I.R.L</v>
      </c>
      <c r="C37" s="576">
        <f>+'Movimientos-Camaronailon'!E37:E38</f>
        <v>4.6930000000000001E-3</v>
      </c>
      <c r="D37" s="303" t="s">
        <v>11</v>
      </c>
      <c r="E37" s="277">
        <f t="shared" ref="E37" si="177">+$B$61*C37</f>
        <v>0.197106</v>
      </c>
      <c r="F37" s="258">
        <f>+'Movimientos-Camaronailon'!J37</f>
        <v>0</v>
      </c>
      <c r="G37" s="259">
        <f>E37+F37</f>
        <v>0.197106</v>
      </c>
      <c r="H37" s="260"/>
      <c r="I37" s="392">
        <f t="shared" si="0"/>
        <v>0.197106</v>
      </c>
      <c r="J37" s="419">
        <f t="shared" si="1"/>
        <v>0</v>
      </c>
      <c r="K37" s="255">
        <f t="shared" ref="K37" si="178">+$C$61*C37</f>
        <v>3.1771609999999999</v>
      </c>
      <c r="L37" s="258">
        <f>+'Movimientos-Camaronailon'!K37</f>
        <v>0</v>
      </c>
      <c r="M37" s="259">
        <f>K37+L37</f>
        <v>3.1771609999999999</v>
      </c>
      <c r="N37" s="261"/>
      <c r="O37" s="392">
        <f t="shared" si="2"/>
        <v>3.1771609999999999</v>
      </c>
      <c r="P37" s="256">
        <f t="shared" si="3"/>
        <v>0</v>
      </c>
      <c r="Q37" s="277">
        <f t="shared" ref="Q37" si="179">+$D$61*C37</f>
        <v>4.0125150000000005</v>
      </c>
      <c r="R37" s="258">
        <f>+'Movimientos-Camaronailon'!L37</f>
        <v>0</v>
      </c>
      <c r="S37" s="259">
        <f>Q37+R37</f>
        <v>4.0125150000000005</v>
      </c>
      <c r="T37" s="261"/>
      <c r="U37" s="392">
        <f t="shared" si="4"/>
        <v>4.0125150000000005</v>
      </c>
      <c r="V37" s="276">
        <f t="shared" si="5"/>
        <v>0</v>
      </c>
      <c r="W37" s="262">
        <f t="shared" ref="W37" si="180">+$E$61*C37</f>
        <v>2.9565900000000003</v>
      </c>
      <c r="X37" s="258">
        <f>+'Movimientos-Camaronailon'!M37</f>
        <v>0</v>
      </c>
      <c r="Y37" s="263">
        <f>W37+X37</f>
        <v>2.9565900000000003</v>
      </c>
      <c r="Z37" s="264">
        <f>+E73</f>
        <v>1</v>
      </c>
      <c r="AA37" s="392">
        <f t="shared" si="6"/>
        <v>1.9565900000000003</v>
      </c>
      <c r="AB37" s="256">
        <f t="shared" si="7"/>
        <v>0.33822748504188943</v>
      </c>
      <c r="AC37" s="257">
        <f t="shared" ref="AC37" si="181">+$F$61*C37</f>
        <v>6.1243650000000001</v>
      </c>
      <c r="AD37" s="258">
        <f>+'Movimientos-Camaronailon'!N37</f>
        <v>0</v>
      </c>
      <c r="AE37" s="259">
        <f>AC37+AD37</f>
        <v>6.1243650000000001</v>
      </c>
      <c r="AF37" s="261">
        <f>+F73</f>
        <v>4.9960000000000004</v>
      </c>
      <c r="AG37" s="391">
        <f t="shared" si="8"/>
        <v>1.1283649999999996</v>
      </c>
      <c r="AH37" s="256">
        <f t="shared" si="9"/>
        <v>0.81575804185413514</v>
      </c>
      <c r="AI37" s="277">
        <f t="shared" ref="AI37" si="182">+$G$61*C37</f>
        <v>2.4075090000000001</v>
      </c>
      <c r="AJ37" s="258">
        <f>+'Movimientos-Camaronailon'!O37</f>
        <v>0</v>
      </c>
      <c r="AK37" s="259">
        <f>AI37+AJ37</f>
        <v>2.4075090000000001</v>
      </c>
      <c r="AL37" s="261">
        <f>+G73</f>
        <v>2.4079999999999999</v>
      </c>
      <c r="AM37" s="392">
        <f t="shared" si="10"/>
        <v>-4.9099999999979715E-4</v>
      </c>
      <c r="AN37" s="276">
        <f t="shared" si="11"/>
        <v>1.0002039452396647</v>
      </c>
      <c r="AO37" s="260">
        <f t="shared" si="16"/>
        <v>18.875246000000001</v>
      </c>
      <c r="AP37" s="258">
        <f t="shared" si="12"/>
        <v>0</v>
      </c>
      <c r="AQ37" s="259">
        <f>AO37+AP37</f>
        <v>18.875246000000001</v>
      </c>
      <c r="AR37" s="260">
        <f t="shared" si="24"/>
        <v>8.4039999999999999</v>
      </c>
      <c r="AS37" s="392">
        <f t="shared" si="14"/>
        <v>10.471246000000001</v>
      </c>
      <c r="AT37" s="276">
        <f t="shared" si="15"/>
        <v>0.44523923025956852</v>
      </c>
      <c r="AU37" s="539">
        <f>AO37+AO38</f>
        <v>20.973016999999999</v>
      </c>
      <c r="AV37" s="541">
        <f>AP37+AP38</f>
        <v>0</v>
      </c>
      <c r="AW37" s="539">
        <f>AU37+AV37</f>
        <v>20.973016999999999</v>
      </c>
      <c r="AX37" s="541">
        <f>AR37+AR38</f>
        <v>8.4039999999999999</v>
      </c>
      <c r="AY37" s="539">
        <f>AW37-AX37</f>
        <v>12.569016999999999</v>
      </c>
      <c r="AZ37" s="543">
        <f>AX37/AW37</f>
        <v>0.40070534439561084</v>
      </c>
    </row>
    <row r="38" spans="1:52">
      <c r="A38" s="582"/>
      <c r="B38" s="581"/>
      <c r="C38" s="579"/>
      <c r="D38" s="305" t="s">
        <v>12</v>
      </c>
      <c r="E38" s="277">
        <f t="shared" ref="E38" si="183">+$B$63*C37</f>
        <v>2.3465E-2</v>
      </c>
      <c r="F38" s="258">
        <f>+'Movimientos-Camaronailon'!J38</f>
        <v>0</v>
      </c>
      <c r="G38" s="265">
        <f>E38+F38+I37</f>
        <v>0.22057100000000002</v>
      </c>
      <c r="H38" s="266"/>
      <c r="I38" s="392">
        <f t="shared" si="0"/>
        <v>0.22057100000000002</v>
      </c>
      <c r="J38" s="419">
        <f t="shared" si="1"/>
        <v>0</v>
      </c>
      <c r="K38" s="255">
        <f t="shared" ref="K38" si="184">+$C$63*C37</f>
        <v>0.35197499999999998</v>
      </c>
      <c r="L38" s="258">
        <f>+'Movimientos-Camaronailon'!K38</f>
        <v>0</v>
      </c>
      <c r="M38" s="265">
        <f>O37+K38+L38</f>
        <v>3.5291359999999998</v>
      </c>
      <c r="N38" s="266"/>
      <c r="O38" s="251">
        <f t="shared" si="2"/>
        <v>3.5291359999999998</v>
      </c>
      <c r="P38" s="256">
        <f t="shared" si="3"/>
        <v>0</v>
      </c>
      <c r="Q38" s="277">
        <f t="shared" ref="Q38" si="185">+$D$63*C37</f>
        <v>0.44583500000000004</v>
      </c>
      <c r="R38" s="258">
        <f>+'Movimientos-Camaronailon'!L38</f>
        <v>0</v>
      </c>
      <c r="S38" s="265">
        <f>U37+Q38+R38</f>
        <v>4.4583500000000003</v>
      </c>
      <c r="T38" s="266"/>
      <c r="U38" s="251">
        <f t="shared" si="4"/>
        <v>4.4583500000000003</v>
      </c>
      <c r="V38" s="276">
        <f t="shared" si="5"/>
        <v>0</v>
      </c>
      <c r="W38" s="262">
        <f t="shared" ref="W38" si="186">+$E$63*C37</f>
        <v>0.32851000000000002</v>
      </c>
      <c r="X38" s="258">
        <f>+'Movimientos-Camaronailon'!M38</f>
        <v>0</v>
      </c>
      <c r="Y38" s="265">
        <f>AA37+W38+X38</f>
        <v>2.2851000000000004</v>
      </c>
      <c r="Z38" s="266"/>
      <c r="AA38" s="251">
        <f t="shared" si="6"/>
        <v>2.2851000000000004</v>
      </c>
      <c r="AB38" s="256">
        <f t="shared" si="7"/>
        <v>0</v>
      </c>
      <c r="AC38" s="257">
        <f t="shared" ref="AC38" si="187">+$F$63*C37</f>
        <v>0.68048500000000001</v>
      </c>
      <c r="AD38" s="258">
        <f>+'Movimientos-Camaronailon'!N38</f>
        <v>0</v>
      </c>
      <c r="AE38" s="265">
        <f>AG37+AC38+AD38</f>
        <v>1.8088499999999996</v>
      </c>
      <c r="AF38" s="266"/>
      <c r="AG38" s="391">
        <f t="shared" si="8"/>
        <v>1.8088499999999996</v>
      </c>
      <c r="AH38" s="256">
        <f t="shared" si="9"/>
        <v>0</v>
      </c>
      <c r="AI38" s="277">
        <f t="shared" ref="AI38" si="188">+$G$63*C37</f>
        <v>0.26750099999999999</v>
      </c>
      <c r="AJ38" s="258">
        <f>+'Movimientos-Camaronailon'!O38</f>
        <v>0</v>
      </c>
      <c r="AK38" s="265">
        <f>AM37+AI38+AJ38</f>
        <v>0.26701000000000019</v>
      </c>
      <c r="AL38" s="266"/>
      <c r="AM38" s="251">
        <f t="shared" si="10"/>
        <v>0.26701000000000019</v>
      </c>
      <c r="AN38" s="276">
        <f t="shared" si="11"/>
        <v>0</v>
      </c>
      <c r="AO38" s="266">
        <f t="shared" si="16"/>
        <v>2.0977709999999998</v>
      </c>
      <c r="AP38" s="258">
        <f t="shared" si="12"/>
        <v>0</v>
      </c>
      <c r="AQ38" s="265">
        <f>AS37+AO38+AP38</f>
        <v>12.569017000000001</v>
      </c>
      <c r="AR38" s="266">
        <f t="shared" si="24"/>
        <v>0</v>
      </c>
      <c r="AS38" s="251">
        <f t="shared" si="14"/>
        <v>12.569017000000001</v>
      </c>
      <c r="AT38" s="276">
        <f t="shared" si="15"/>
        <v>0</v>
      </c>
      <c r="AU38" s="540"/>
      <c r="AV38" s="542"/>
      <c r="AW38" s="540"/>
      <c r="AX38" s="542"/>
      <c r="AY38" s="540"/>
      <c r="AZ38" s="544"/>
    </row>
    <row r="39" spans="1:52">
      <c r="A39" s="582"/>
      <c r="B39" s="580" t="str">
        <f>+'Movimientos-Camaronailon'!A39</f>
        <v>ENFEMAR LTDA. SOC. PESQ.</v>
      </c>
      <c r="C39" s="576">
        <f>+'Movimientos-Camaronailon'!E39:E40</f>
        <v>2.7E-4</v>
      </c>
      <c r="D39" s="303" t="s">
        <v>11</v>
      </c>
      <c r="E39" s="277">
        <f t="shared" ref="E39" si="189">+$B$61*C39</f>
        <v>1.1339999999999999E-2</v>
      </c>
      <c r="F39" s="258">
        <f>+'Movimientos-Camaronailon'!J39</f>
        <v>0</v>
      </c>
      <c r="G39" s="259">
        <f>E39+F39</f>
        <v>1.1339999999999999E-2</v>
      </c>
      <c r="H39" s="260"/>
      <c r="I39" s="392">
        <f t="shared" si="0"/>
        <v>1.1339999999999999E-2</v>
      </c>
      <c r="J39" s="419">
        <f t="shared" si="1"/>
        <v>0</v>
      </c>
      <c r="K39" s="255">
        <f t="shared" ref="K39" si="190">+$C$61*C39</f>
        <v>0.18279000000000001</v>
      </c>
      <c r="L39" s="258">
        <f>+'Movimientos-Camaronailon'!K39</f>
        <v>0</v>
      </c>
      <c r="M39" s="259">
        <f>K39+L39</f>
        <v>0.18279000000000001</v>
      </c>
      <c r="N39" s="261"/>
      <c r="O39" s="392">
        <f t="shared" si="2"/>
        <v>0.18279000000000001</v>
      </c>
      <c r="P39" s="256">
        <f t="shared" si="3"/>
        <v>0</v>
      </c>
      <c r="Q39" s="277">
        <f t="shared" ref="Q39" si="191">+$D$61*C39</f>
        <v>0.23085</v>
      </c>
      <c r="R39" s="258">
        <f>+'Movimientos-Camaronailon'!L39</f>
        <v>0</v>
      </c>
      <c r="S39" s="259">
        <f>Q39+R39</f>
        <v>0.23085</v>
      </c>
      <c r="T39" s="261"/>
      <c r="U39" s="392">
        <f t="shared" si="4"/>
        <v>0.23085</v>
      </c>
      <c r="V39" s="276">
        <f t="shared" si="5"/>
        <v>0</v>
      </c>
      <c r="W39" s="262">
        <f t="shared" ref="W39" si="192">+$E$61*C39</f>
        <v>0.1701</v>
      </c>
      <c r="X39" s="258">
        <f>+'Movimientos-Camaronailon'!M39</f>
        <v>0</v>
      </c>
      <c r="Y39" s="263">
        <f>W39+X39</f>
        <v>0.1701</v>
      </c>
      <c r="Z39" s="264"/>
      <c r="AA39" s="392">
        <f t="shared" si="6"/>
        <v>0.1701</v>
      </c>
      <c r="AB39" s="256">
        <f t="shared" si="7"/>
        <v>0</v>
      </c>
      <c r="AC39" s="257">
        <f t="shared" ref="AC39" si="193">+$F$61*C39</f>
        <v>0.35235</v>
      </c>
      <c r="AD39" s="258">
        <f>+'Movimientos-Camaronailon'!N39</f>
        <v>0</v>
      </c>
      <c r="AE39" s="259">
        <f>AC39+AD39</f>
        <v>0.35235</v>
      </c>
      <c r="AF39" s="261"/>
      <c r="AG39" s="391">
        <f t="shared" si="8"/>
        <v>0.35235</v>
      </c>
      <c r="AH39" s="256">
        <f t="shared" si="9"/>
        <v>0</v>
      </c>
      <c r="AI39" s="277">
        <f t="shared" ref="AI39" si="194">+$G$61*C39</f>
        <v>0.13850999999999999</v>
      </c>
      <c r="AJ39" s="258">
        <f>+'Movimientos-Camaronailon'!O39</f>
        <v>0</v>
      </c>
      <c r="AK39" s="259">
        <f>AI39+AJ39</f>
        <v>0.13850999999999999</v>
      </c>
      <c r="AL39" s="261"/>
      <c r="AM39" s="392">
        <f t="shared" si="10"/>
        <v>0.13850999999999999</v>
      </c>
      <c r="AN39" s="276">
        <f t="shared" si="11"/>
        <v>0</v>
      </c>
      <c r="AO39" s="260">
        <f t="shared" ref="AO39:AO56" si="195">+E39+K39+Q39+W39+AC39+AI39</f>
        <v>1.0859399999999999</v>
      </c>
      <c r="AP39" s="258">
        <f t="shared" si="12"/>
        <v>0</v>
      </c>
      <c r="AQ39" s="259">
        <f>AO39+AP39</f>
        <v>1.0859399999999999</v>
      </c>
      <c r="AR39" s="260">
        <f t="shared" si="13"/>
        <v>0</v>
      </c>
      <c r="AS39" s="392">
        <f t="shared" si="14"/>
        <v>1.0859399999999999</v>
      </c>
      <c r="AT39" s="276">
        <f t="shared" si="15"/>
        <v>0</v>
      </c>
      <c r="AU39" s="539">
        <f>AO39+AO40</f>
        <v>1.2066299999999999</v>
      </c>
      <c r="AV39" s="541">
        <f>AP39+AP40</f>
        <v>0</v>
      </c>
      <c r="AW39" s="539">
        <f>AU39+AV39</f>
        <v>1.2066299999999999</v>
      </c>
      <c r="AX39" s="541">
        <f>AR39+AR40</f>
        <v>0</v>
      </c>
      <c r="AY39" s="539">
        <f>AW39-AX39</f>
        <v>1.2066299999999999</v>
      </c>
      <c r="AZ39" s="543">
        <f>AX39/AW39</f>
        <v>0</v>
      </c>
    </row>
    <row r="40" spans="1:52">
      <c r="A40" s="582"/>
      <c r="B40" s="581"/>
      <c r="C40" s="579"/>
      <c r="D40" s="305" t="s">
        <v>12</v>
      </c>
      <c r="E40" s="277">
        <f t="shared" ref="E40" si="196">+$B$63*C39</f>
        <v>1.3500000000000001E-3</v>
      </c>
      <c r="F40" s="258">
        <f>+'Movimientos-Camaronailon'!J40</f>
        <v>0</v>
      </c>
      <c r="G40" s="265">
        <f>E40+F40+I39</f>
        <v>1.269E-2</v>
      </c>
      <c r="H40" s="266"/>
      <c r="I40" s="392">
        <f t="shared" si="0"/>
        <v>1.269E-2</v>
      </c>
      <c r="J40" s="419">
        <f t="shared" si="1"/>
        <v>0</v>
      </c>
      <c r="K40" s="255">
        <f t="shared" ref="K40" si="197">+$C$63*C39</f>
        <v>2.0250000000000001E-2</v>
      </c>
      <c r="L40" s="258">
        <f>+'Movimientos-Camaronailon'!K40</f>
        <v>0</v>
      </c>
      <c r="M40" s="265">
        <f>O39+K40+L40</f>
        <v>0.20304</v>
      </c>
      <c r="N40" s="266"/>
      <c r="O40" s="251">
        <f t="shared" si="2"/>
        <v>0.20304</v>
      </c>
      <c r="P40" s="256">
        <f t="shared" si="3"/>
        <v>0</v>
      </c>
      <c r="Q40" s="277">
        <f t="shared" ref="Q40" si="198">+$D$63*C39</f>
        <v>2.5649999999999999E-2</v>
      </c>
      <c r="R40" s="258">
        <f>+'Movimientos-Camaronailon'!L40</f>
        <v>0</v>
      </c>
      <c r="S40" s="265">
        <f>U39+Q40+R40</f>
        <v>0.25650000000000001</v>
      </c>
      <c r="T40" s="266"/>
      <c r="U40" s="251">
        <f t="shared" si="4"/>
        <v>0.25650000000000001</v>
      </c>
      <c r="V40" s="276">
        <f t="shared" si="5"/>
        <v>0</v>
      </c>
      <c r="W40" s="262">
        <f t="shared" ref="W40" si="199">+$E$63*C39</f>
        <v>1.89E-2</v>
      </c>
      <c r="X40" s="258">
        <f>+'Movimientos-Camaronailon'!M40</f>
        <v>0</v>
      </c>
      <c r="Y40" s="267">
        <f>AA39+W40+X40</f>
        <v>0.189</v>
      </c>
      <c r="Z40" s="266"/>
      <c r="AA40" s="251">
        <f t="shared" si="6"/>
        <v>0.189</v>
      </c>
      <c r="AB40" s="256">
        <f t="shared" si="7"/>
        <v>0</v>
      </c>
      <c r="AC40" s="257">
        <f t="shared" ref="AC40" si="200">+$F$63*C39</f>
        <v>3.9149999999999997E-2</v>
      </c>
      <c r="AD40" s="258">
        <f>+'Movimientos-Camaronailon'!N40</f>
        <v>0</v>
      </c>
      <c r="AE40" s="265">
        <f>AG39+AC40+AD40</f>
        <v>0.39150000000000001</v>
      </c>
      <c r="AF40" s="266"/>
      <c r="AG40" s="391">
        <f t="shared" si="8"/>
        <v>0.39150000000000001</v>
      </c>
      <c r="AH40" s="256">
        <f t="shared" si="9"/>
        <v>0</v>
      </c>
      <c r="AI40" s="277">
        <f t="shared" ref="AI40" si="201">+$G$63*C39</f>
        <v>1.5390000000000001E-2</v>
      </c>
      <c r="AJ40" s="258">
        <f>+'Movimientos-Camaronailon'!O40</f>
        <v>0</v>
      </c>
      <c r="AK40" s="265">
        <f>AM39+AI40+AJ40</f>
        <v>0.15389999999999998</v>
      </c>
      <c r="AL40" s="266"/>
      <c r="AM40" s="251">
        <f t="shared" si="10"/>
        <v>0.15389999999999998</v>
      </c>
      <c r="AN40" s="276">
        <f t="shared" si="11"/>
        <v>0</v>
      </c>
      <c r="AO40" s="266">
        <f t="shared" si="195"/>
        <v>0.12069000000000001</v>
      </c>
      <c r="AP40" s="258">
        <f t="shared" si="12"/>
        <v>0</v>
      </c>
      <c r="AQ40" s="265">
        <f>AS39+AO40+AP40</f>
        <v>1.2066299999999999</v>
      </c>
      <c r="AR40" s="266">
        <f t="shared" si="13"/>
        <v>0</v>
      </c>
      <c r="AS40" s="251">
        <f t="shared" si="14"/>
        <v>1.2066299999999999</v>
      </c>
      <c r="AT40" s="276">
        <f t="shared" si="15"/>
        <v>0</v>
      </c>
      <c r="AU40" s="540"/>
      <c r="AV40" s="542"/>
      <c r="AW40" s="540"/>
      <c r="AX40" s="542"/>
      <c r="AY40" s="540"/>
      <c r="AZ40" s="544"/>
    </row>
    <row r="41" spans="1:52">
      <c r="A41" s="582"/>
      <c r="B41" s="580" t="str">
        <f>+'Movimientos-Camaronailon'!A41</f>
        <v>ALIMENTOS ALSAN LTDA</v>
      </c>
      <c r="C41" s="576">
        <f>+'Movimientos-Camaronailon'!E41:E42</f>
        <v>0</v>
      </c>
      <c r="D41" s="303" t="s">
        <v>11</v>
      </c>
      <c r="E41" s="277">
        <f t="shared" ref="E41" si="202">+$B$61*C41</f>
        <v>0</v>
      </c>
      <c r="F41" s="258">
        <f>+'Movimientos-Camaronailon'!J41</f>
        <v>0</v>
      </c>
      <c r="G41" s="259">
        <f>E41+F41</f>
        <v>0</v>
      </c>
      <c r="H41" s="260"/>
      <c r="I41" s="392">
        <f t="shared" si="0"/>
        <v>0</v>
      </c>
      <c r="J41" s="419" t="str">
        <f t="shared" si="1"/>
        <v>0%</v>
      </c>
      <c r="K41" s="255">
        <f t="shared" ref="K41" si="203">+$C$61*C41</f>
        <v>0</v>
      </c>
      <c r="L41" s="258">
        <f>+'Movimientos-Camaronailon'!K41</f>
        <v>0</v>
      </c>
      <c r="M41" s="259">
        <f>K41+L41</f>
        <v>0</v>
      </c>
      <c r="N41" s="261"/>
      <c r="O41" s="392">
        <f t="shared" si="2"/>
        <v>0</v>
      </c>
      <c r="P41" s="256" t="str">
        <f t="shared" si="3"/>
        <v>0%</v>
      </c>
      <c r="Q41" s="277">
        <f t="shared" ref="Q41" si="204">+$D$61*C41</f>
        <v>0</v>
      </c>
      <c r="R41" s="258">
        <f>+'Movimientos-Camaronailon'!L41</f>
        <v>0</v>
      </c>
      <c r="S41" s="259">
        <f>Q41+R41</f>
        <v>0</v>
      </c>
      <c r="T41" s="261"/>
      <c r="U41" s="392">
        <f t="shared" si="4"/>
        <v>0</v>
      </c>
      <c r="V41" s="276" t="str">
        <f t="shared" si="5"/>
        <v>0%</v>
      </c>
      <c r="W41" s="262">
        <f t="shared" ref="W41" si="205">+$E$61*C41</f>
        <v>0</v>
      </c>
      <c r="X41" s="258">
        <f>+'Movimientos-Camaronailon'!M41</f>
        <v>0</v>
      </c>
      <c r="Y41" s="263">
        <f>W41+X41</f>
        <v>0</v>
      </c>
      <c r="Z41" s="264"/>
      <c r="AA41" s="392">
        <f t="shared" si="6"/>
        <v>0</v>
      </c>
      <c r="AB41" s="256" t="str">
        <f t="shared" si="7"/>
        <v>0%</v>
      </c>
      <c r="AC41" s="257">
        <f t="shared" ref="AC41" si="206">+$F$61*C41</f>
        <v>0</v>
      </c>
      <c r="AD41" s="258">
        <f>+'Movimientos-Camaronailon'!N41</f>
        <v>0</v>
      </c>
      <c r="AE41" s="259">
        <f>AC41+AD41</f>
        <v>0</v>
      </c>
      <c r="AF41" s="261"/>
      <c r="AG41" s="391">
        <f t="shared" si="8"/>
        <v>0</v>
      </c>
      <c r="AH41" s="256" t="str">
        <f t="shared" si="9"/>
        <v>0%</v>
      </c>
      <c r="AI41" s="277">
        <f t="shared" ref="AI41" si="207">+$G$61*C41</f>
        <v>0</v>
      </c>
      <c r="AJ41" s="258">
        <f>+'Movimientos-Camaronailon'!O41</f>
        <v>0</v>
      </c>
      <c r="AK41" s="259">
        <f>AI41+AJ41</f>
        <v>0</v>
      </c>
      <c r="AL41" s="261"/>
      <c r="AM41" s="392">
        <f t="shared" si="10"/>
        <v>0</v>
      </c>
      <c r="AN41" s="276" t="str">
        <f t="shared" si="11"/>
        <v>0%</v>
      </c>
      <c r="AO41" s="260">
        <f t="shared" si="195"/>
        <v>0</v>
      </c>
      <c r="AP41" s="258">
        <f t="shared" si="12"/>
        <v>0</v>
      </c>
      <c r="AQ41" s="259">
        <f>AO41+AP41</f>
        <v>0</v>
      </c>
      <c r="AR41" s="260">
        <f t="shared" si="13"/>
        <v>0</v>
      </c>
      <c r="AS41" s="392">
        <f t="shared" si="14"/>
        <v>0</v>
      </c>
      <c r="AT41" s="276" t="str">
        <f t="shared" si="15"/>
        <v>0%</v>
      </c>
      <c r="AU41" s="539">
        <f>AO41+AO42</f>
        <v>0</v>
      </c>
      <c r="AV41" s="541">
        <f>AP41+AP42</f>
        <v>0</v>
      </c>
      <c r="AW41" s="539">
        <f>AU41+AV41</f>
        <v>0</v>
      </c>
      <c r="AX41" s="541">
        <f>AR41+AR42</f>
        <v>0</v>
      </c>
      <c r="AY41" s="539">
        <f>AW41-AX41</f>
        <v>0</v>
      </c>
      <c r="AZ41" s="543">
        <v>0</v>
      </c>
    </row>
    <row r="42" spans="1:52">
      <c r="A42" s="582"/>
      <c r="B42" s="581"/>
      <c r="C42" s="579"/>
      <c r="D42" s="305" t="s">
        <v>12</v>
      </c>
      <c r="E42" s="277">
        <f t="shared" ref="E42" si="208">+$B$63*C41</f>
        <v>0</v>
      </c>
      <c r="F42" s="258">
        <f>+'Movimientos-Camaronailon'!J42</f>
        <v>0</v>
      </c>
      <c r="G42" s="267">
        <f>E42+F42+I41</f>
        <v>0</v>
      </c>
      <c r="H42" s="258"/>
      <c r="I42" s="392">
        <f t="shared" si="0"/>
        <v>0</v>
      </c>
      <c r="J42" s="419" t="str">
        <f t="shared" si="1"/>
        <v>0%</v>
      </c>
      <c r="K42" s="255">
        <f t="shared" ref="K42" si="209">+$C$63*C41</f>
        <v>0</v>
      </c>
      <c r="L42" s="258">
        <f>+'Movimientos-Camaronailon'!K42</f>
        <v>0</v>
      </c>
      <c r="M42" s="267">
        <f>O41+K42+L42</f>
        <v>0</v>
      </c>
      <c r="N42" s="266"/>
      <c r="O42" s="251">
        <f t="shared" si="2"/>
        <v>0</v>
      </c>
      <c r="P42" s="256" t="str">
        <f t="shared" si="3"/>
        <v>0%</v>
      </c>
      <c r="Q42" s="277">
        <f t="shared" ref="Q42" si="210">+$D$63*C41</f>
        <v>0</v>
      </c>
      <c r="R42" s="258">
        <f>+'Movimientos-Camaronailon'!L42</f>
        <v>0</v>
      </c>
      <c r="S42" s="267">
        <f>U41+Q42+R42</f>
        <v>0</v>
      </c>
      <c r="T42" s="266"/>
      <c r="U42" s="251">
        <f t="shared" si="4"/>
        <v>0</v>
      </c>
      <c r="V42" s="276" t="str">
        <f t="shared" si="5"/>
        <v>0%</v>
      </c>
      <c r="W42" s="262">
        <f t="shared" ref="W42" si="211">+$E$63*C41</f>
        <v>0</v>
      </c>
      <c r="X42" s="258">
        <f>+'Movimientos-Camaronailon'!M42</f>
        <v>0</v>
      </c>
      <c r="Y42" s="267">
        <f>AA41+W42+X42</f>
        <v>0</v>
      </c>
      <c r="Z42" s="266"/>
      <c r="AA42" s="251">
        <f t="shared" si="6"/>
        <v>0</v>
      </c>
      <c r="AB42" s="256" t="str">
        <f t="shared" si="7"/>
        <v>0%</v>
      </c>
      <c r="AC42" s="257">
        <f t="shared" ref="AC42" si="212">+$F$63*C41</f>
        <v>0</v>
      </c>
      <c r="AD42" s="258">
        <f>+'Movimientos-Camaronailon'!N42</f>
        <v>0</v>
      </c>
      <c r="AE42" s="267">
        <f>AG41+AC42+AD42</f>
        <v>0</v>
      </c>
      <c r="AF42" s="266"/>
      <c r="AG42" s="391">
        <f t="shared" si="8"/>
        <v>0</v>
      </c>
      <c r="AH42" s="256" t="str">
        <f t="shared" si="9"/>
        <v>0%</v>
      </c>
      <c r="AI42" s="277">
        <f t="shared" ref="AI42" si="213">+$G$63*C41</f>
        <v>0</v>
      </c>
      <c r="AJ42" s="258">
        <f>+'Movimientos-Camaronailon'!O42</f>
        <v>0</v>
      </c>
      <c r="AK42" s="267">
        <f>AM41+AI42+AJ42</f>
        <v>0</v>
      </c>
      <c r="AL42" s="266"/>
      <c r="AM42" s="251">
        <f t="shared" si="10"/>
        <v>0</v>
      </c>
      <c r="AN42" s="276" t="str">
        <f t="shared" si="11"/>
        <v>0%</v>
      </c>
      <c r="AO42" s="266">
        <f t="shared" si="195"/>
        <v>0</v>
      </c>
      <c r="AP42" s="258">
        <f t="shared" si="12"/>
        <v>0</v>
      </c>
      <c r="AQ42" s="267">
        <f>AS41+AO42+AP42</f>
        <v>0</v>
      </c>
      <c r="AR42" s="258">
        <f t="shared" si="13"/>
        <v>0</v>
      </c>
      <c r="AS42" s="251">
        <f t="shared" si="14"/>
        <v>0</v>
      </c>
      <c r="AT42" s="276" t="str">
        <f t="shared" si="15"/>
        <v>0%</v>
      </c>
      <c r="AU42" s="546"/>
      <c r="AV42" s="542"/>
      <c r="AW42" s="546"/>
      <c r="AX42" s="545"/>
      <c r="AY42" s="546"/>
      <c r="AZ42" s="544"/>
    </row>
    <row r="43" spans="1:52">
      <c r="A43" s="582"/>
      <c r="B43" s="580" t="str">
        <f>+'Movimientos-Camaronailon'!A43</f>
        <v>CONGELADOS PACIFICO SpA hoy PACIFICBLU SpA.</v>
      </c>
      <c r="C43" s="576">
        <f>+'Movimientos-Camaronailon'!E43:E44</f>
        <v>1.34646E-2</v>
      </c>
      <c r="D43" s="303" t="s">
        <v>11</v>
      </c>
      <c r="E43" s="277">
        <f t="shared" ref="E43" si="214">+$B$61*C43</f>
        <v>0.56551320000000005</v>
      </c>
      <c r="F43" s="258">
        <f>+'Movimientos-Camaronailon'!J43</f>
        <v>0.22175069999999997</v>
      </c>
      <c r="G43" s="259">
        <f>E43+F43</f>
        <v>0.78726390000000002</v>
      </c>
      <c r="H43" s="260"/>
      <c r="I43" s="392">
        <f t="shared" si="0"/>
        <v>0.78726390000000002</v>
      </c>
      <c r="J43" s="419">
        <f t="shared" si="1"/>
        <v>0</v>
      </c>
      <c r="K43" s="255">
        <f t="shared" ref="K43" si="215">+$C$61*C43</f>
        <v>9.1155342000000008</v>
      </c>
      <c r="L43" s="258">
        <f>+'Movimientos-Camaronailon'!K43</f>
        <v>3.5480111999999995</v>
      </c>
      <c r="M43" s="259">
        <f>K43+L43</f>
        <v>12.6635454</v>
      </c>
      <c r="N43" s="261"/>
      <c r="O43" s="392">
        <f t="shared" si="2"/>
        <v>12.6635454</v>
      </c>
      <c r="P43" s="256">
        <f t="shared" si="3"/>
        <v>0</v>
      </c>
      <c r="Q43" s="277">
        <f t="shared" ref="Q43" si="216">+$D$61*C43</f>
        <v>11.512233</v>
      </c>
      <c r="R43" s="258">
        <f>+'Movimientos-Camaronailon'!L43</f>
        <v>4.482194999999999</v>
      </c>
      <c r="S43" s="259">
        <f>Q43+R43</f>
        <v>15.994427999999999</v>
      </c>
      <c r="T43" s="261"/>
      <c r="U43" s="392">
        <f t="shared" si="4"/>
        <v>15.994427999999999</v>
      </c>
      <c r="V43" s="276">
        <f t="shared" si="5"/>
        <v>0</v>
      </c>
      <c r="W43" s="262">
        <f t="shared" ref="W43" si="217">+$E$61*C43</f>
        <v>8.482698000000001</v>
      </c>
      <c r="X43" s="258">
        <f>+'Movimientos-Camaronailon'!M43</f>
        <v>3.3026700000000009</v>
      </c>
      <c r="Y43" s="263">
        <f>W43+X43</f>
        <v>11.785368000000002</v>
      </c>
      <c r="Z43" s="264"/>
      <c r="AA43" s="392">
        <f t="shared" si="6"/>
        <v>11.785368000000002</v>
      </c>
      <c r="AB43" s="256">
        <f t="shared" si="7"/>
        <v>0</v>
      </c>
      <c r="AC43" s="257">
        <f t="shared" ref="AC43" si="218">+$F$61*C43</f>
        <v>17.571303</v>
      </c>
      <c r="AD43" s="258">
        <f>+'Movimientos-Camaronailon'!N43</f>
        <v>6.8412450000000042</v>
      </c>
      <c r="AE43" s="259">
        <f>AC43+AD43</f>
        <v>24.412548000000005</v>
      </c>
      <c r="AF43" s="261"/>
      <c r="AG43" s="391">
        <f t="shared" si="8"/>
        <v>24.412548000000005</v>
      </c>
      <c r="AH43" s="256">
        <f t="shared" si="9"/>
        <v>0</v>
      </c>
      <c r="AI43" s="277">
        <f t="shared" ref="AI43" si="219">+$G$61*C43</f>
        <v>6.9073397999999999</v>
      </c>
      <c r="AJ43" s="258">
        <f>+'Movimientos-Camaronailon'!O43</f>
        <v>2.6893170000000008</v>
      </c>
      <c r="AK43" s="259">
        <f>AI43+AJ43</f>
        <v>9.5966568000000017</v>
      </c>
      <c r="AL43" s="261"/>
      <c r="AM43" s="392">
        <f t="shared" si="10"/>
        <v>9.5966568000000017</v>
      </c>
      <c r="AN43" s="276">
        <f t="shared" si="11"/>
        <v>0</v>
      </c>
      <c r="AO43" s="260">
        <f t="shared" si="195"/>
        <v>54.154621200000001</v>
      </c>
      <c r="AP43" s="258">
        <f t="shared" ref="AP43:AP46" si="220">F43+L43+R43+X43+AD43+AJ43</f>
        <v>21.085188900000006</v>
      </c>
      <c r="AQ43" s="259">
        <f>AO43+AP43</f>
        <v>75.2398101</v>
      </c>
      <c r="AR43" s="260">
        <f t="shared" ref="AR43:AR46" si="221">H43+N43+T43+Z43+AF43+AL43</f>
        <v>0</v>
      </c>
      <c r="AS43" s="392">
        <f t="shared" si="14"/>
        <v>75.2398101</v>
      </c>
      <c r="AT43" s="276">
        <f t="shared" si="15"/>
        <v>0</v>
      </c>
      <c r="AU43" s="539">
        <f>AO43+AO44</f>
        <v>60.173297400000003</v>
      </c>
      <c r="AV43" s="541">
        <f>AP43+AP44</f>
        <v>21.085188900000006</v>
      </c>
      <c r="AW43" s="539">
        <f>AU43+AV43</f>
        <v>81.258486300000015</v>
      </c>
      <c r="AX43" s="541">
        <f>AR43+AR44</f>
        <v>0</v>
      </c>
      <c r="AY43" s="539">
        <f>AW43-AX43</f>
        <v>81.258486300000015</v>
      </c>
      <c r="AZ43" s="543">
        <f>AX43/AW43</f>
        <v>0</v>
      </c>
    </row>
    <row r="44" spans="1:52">
      <c r="A44" s="582"/>
      <c r="B44" s="581"/>
      <c r="C44" s="579"/>
      <c r="D44" s="305" t="s">
        <v>12</v>
      </c>
      <c r="E44" s="277">
        <f t="shared" ref="E44" si="222">+$B$63*C43</f>
        <v>6.7322999999999994E-2</v>
      </c>
      <c r="F44" s="258">
        <f>+'Movimientos-Camaronailon'!J44</f>
        <v>0</v>
      </c>
      <c r="G44" s="265">
        <f>E44+F44+I43</f>
        <v>0.85458690000000004</v>
      </c>
      <c r="H44" s="266"/>
      <c r="I44" s="392">
        <f t="shared" si="0"/>
        <v>0.85458690000000004</v>
      </c>
      <c r="J44" s="419">
        <f t="shared" si="1"/>
        <v>0</v>
      </c>
      <c r="K44" s="255">
        <f t="shared" ref="K44" si="223">+$C$63*C43</f>
        <v>1.0098450000000001</v>
      </c>
      <c r="L44" s="258">
        <f>+'Movimientos-Camaronailon'!K44</f>
        <v>0</v>
      </c>
      <c r="M44" s="265">
        <f>O43+K44+L44</f>
        <v>13.673390400000001</v>
      </c>
      <c r="N44" s="266"/>
      <c r="O44" s="251">
        <f t="shared" si="2"/>
        <v>13.673390400000001</v>
      </c>
      <c r="P44" s="256">
        <f t="shared" si="3"/>
        <v>0</v>
      </c>
      <c r="Q44" s="277">
        <f t="shared" ref="Q44" si="224">+$D$63*C43</f>
        <v>1.279137</v>
      </c>
      <c r="R44" s="258">
        <f>+'Movimientos-Camaronailon'!L44</f>
        <v>0</v>
      </c>
      <c r="S44" s="265">
        <f>U43+Q44+R44</f>
        <v>17.273564999999998</v>
      </c>
      <c r="T44" s="266"/>
      <c r="U44" s="251">
        <f t="shared" si="4"/>
        <v>17.273564999999998</v>
      </c>
      <c r="V44" s="276">
        <f t="shared" si="5"/>
        <v>0</v>
      </c>
      <c r="W44" s="262">
        <f t="shared" ref="W44" si="225">+$E$63*C43</f>
        <v>0.94252199999999997</v>
      </c>
      <c r="X44" s="258">
        <f>+'Movimientos-Camaronailon'!M44</f>
        <v>0</v>
      </c>
      <c r="Y44" s="265">
        <f>AA43+W44+X44</f>
        <v>12.727890000000002</v>
      </c>
      <c r="Z44" s="266"/>
      <c r="AA44" s="251">
        <f t="shared" si="6"/>
        <v>12.727890000000002</v>
      </c>
      <c r="AB44" s="256">
        <f t="shared" si="7"/>
        <v>0</v>
      </c>
      <c r="AC44" s="257">
        <f t="shared" ref="AC44" si="226">+$F$63*C43</f>
        <v>1.952367</v>
      </c>
      <c r="AD44" s="258">
        <f>+'Movimientos-Camaronailon'!N44</f>
        <v>0</v>
      </c>
      <c r="AE44" s="265">
        <f>AG43+AC44+AD44</f>
        <v>26.364915000000003</v>
      </c>
      <c r="AF44" s="266"/>
      <c r="AG44" s="391">
        <f t="shared" si="8"/>
        <v>26.364915000000003</v>
      </c>
      <c r="AH44" s="256">
        <f t="shared" si="9"/>
        <v>0</v>
      </c>
      <c r="AI44" s="277">
        <f t="shared" ref="AI44" si="227">+$G$63*C43</f>
        <v>0.7674822</v>
      </c>
      <c r="AJ44" s="258">
        <f>+'Movimientos-Camaronailon'!O44</f>
        <v>0</v>
      </c>
      <c r="AK44" s="265">
        <f>AM43+AI44+AJ44</f>
        <v>10.364139000000002</v>
      </c>
      <c r="AL44" s="266"/>
      <c r="AM44" s="251">
        <f t="shared" si="10"/>
        <v>10.364139000000002</v>
      </c>
      <c r="AN44" s="276">
        <f t="shared" si="11"/>
        <v>0</v>
      </c>
      <c r="AO44" s="266">
        <f t="shared" si="195"/>
        <v>6.0186761999999998</v>
      </c>
      <c r="AP44" s="258">
        <f t="shared" si="220"/>
        <v>0</v>
      </c>
      <c r="AQ44" s="265">
        <f>AS43+AO44+AP44</f>
        <v>81.258486300000001</v>
      </c>
      <c r="AR44" s="266">
        <f t="shared" si="221"/>
        <v>0</v>
      </c>
      <c r="AS44" s="251">
        <f t="shared" si="14"/>
        <v>81.258486300000001</v>
      </c>
      <c r="AT44" s="276">
        <f t="shared" si="15"/>
        <v>0</v>
      </c>
      <c r="AU44" s="540"/>
      <c r="AV44" s="542"/>
      <c r="AW44" s="540"/>
      <c r="AX44" s="542"/>
      <c r="AY44" s="540"/>
      <c r="AZ44" s="544"/>
    </row>
    <row r="45" spans="1:52">
      <c r="A45" s="582"/>
      <c r="B45" s="580" t="str">
        <f>+'Movimientos-Camaronailon'!A45</f>
        <v>SOC. DISTRIMAR LTDA.</v>
      </c>
      <c r="C45" s="576">
        <f>+'Movimientos-Camaronailon'!E45:E46</f>
        <v>0</v>
      </c>
      <c r="D45" s="303" t="s">
        <v>11</v>
      </c>
      <c r="E45" s="277">
        <f t="shared" ref="E45" si="228">+$B$61*C45</f>
        <v>0</v>
      </c>
      <c r="F45" s="258">
        <f>+'Movimientos-Camaronailon'!J45</f>
        <v>0</v>
      </c>
      <c r="G45" s="259">
        <f>E45+F45</f>
        <v>0</v>
      </c>
      <c r="H45" s="258"/>
      <c r="I45" s="392">
        <f t="shared" si="0"/>
        <v>0</v>
      </c>
      <c r="J45" s="419" t="str">
        <f t="shared" si="1"/>
        <v>0%</v>
      </c>
      <c r="K45" s="255">
        <f t="shared" ref="K45" si="229">+$C$61*C45</f>
        <v>0</v>
      </c>
      <c r="L45" s="258">
        <f>+'Movimientos-Camaronailon'!K45</f>
        <v>0</v>
      </c>
      <c r="M45" s="259">
        <f>K45+L45</f>
        <v>0</v>
      </c>
      <c r="N45" s="261"/>
      <c r="O45" s="392">
        <f t="shared" si="2"/>
        <v>0</v>
      </c>
      <c r="P45" s="256" t="str">
        <f t="shared" si="3"/>
        <v>0%</v>
      </c>
      <c r="Q45" s="277">
        <f t="shared" ref="Q45" si="230">+$D$61*C45</f>
        <v>0</v>
      </c>
      <c r="R45" s="258">
        <f>+'Movimientos-Camaronailon'!L45</f>
        <v>0</v>
      </c>
      <c r="S45" s="259">
        <f>Q45+R45</f>
        <v>0</v>
      </c>
      <c r="T45" s="261"/>
      <c r="U45" s="392">
        <f t="shared" si="4"/>
        <v>0</v>
      </c>
      <c r="V45" s="276" t="str">
        <f t="shared" si="5"/>
        <v>0%</v>
      </c>
      <c r="W45" s="262">
        <f t="shared" ref="W45" si="231">+$E$61*C45</f>
        <v>0</v>
      </c>
      <c r="X45" s="258">
        <f>+'Movimientos-Camaronailon'!M45</f>
        <v>0</v>
      </c>
      <c r="Y45" s="263">
        <f>W45+X45</f>
        <v>0</v>
      </c>
      <c r="Z45" s="264"/>
      <c r="AA45" s="392">
        <f t="shared" si="6"/>
        <v>0</v>
      </c>
      <c r="AB45" s="256" t="str">
        <f t="shared" si="7"/>
        <v>0%</v>
      </c>
      <c r="AC45" s="257">
        <f t="shared" ref="AC45" si="232">+$F$61*C45</f>
        <v>0</v>
      </c>
      <c r="AD45" s="258">
        <f>+'Movimientos-Camaronailon'!N45</f>
        <v>0</v>
      </c>
      <c r="AE45" s="259">
        <f>AC45+AD45</f>
        <v>0</v>
      </c>
      <c r="AF45" s="261"/>
      <c r="AG45" s="391">
        <f t="shared" si="8"/>
        <v>0</v>
      </c>
      <c r="AH45" s="256" t="str">
        <f t="shared" si="9"/>
        <v>0%</v>
      </c>
      <c r="AI45" s="277">
        <f t="shared" ref="AI45" si="233">+$G$61*C45</f>
        <v>0</v>
      </c>
      <c r="AJ45" s="258">
        <f>+'Movimientos-Camaronailon'!O45</f>
        <v>0</v>
      </c>
      <c r="AK45" s="259">
        <f>AI45+AJ45</f>
        <v>0</v>
      </c>
      <c r="AL45" s="261"/>
      <c r="AM45" s="392">
        <f t="shared" si="10"/>
        <v>0</v>
      </c>
      <c r="AN45" s="276" t="str">
        <f t="shared" si="11"/>
        <v>0%</v>
      </c>
      <c r="AO45" s="260">
        <f t="shared" si="195"/>
        <v>0</v>
      </c>
      <c r="AP45" s="258">
        <f t="shared" si="220"/>
        <v>0</v>
      </c>
      <c r="AQ45" s="259">
        <f>AO45+AP45</f>
        <v>0</v>
      </c>
      <c r="AR45" s="258">
        <f t="shared" si="221"/>
        <v>0</v>
      </c>
      <c r="AS45" s="392">
        <f t="shared" si="14"/>
        <v>0</v>
      </c>
      <c r="AT45" s="276" t="str">
        <f t="shared" si="15"/>
        <v>0%</v>
      </c>
      <c r="AU45" s="539">
        <f>AO45+AO46</f>
        <v>0</v>
      </c>
      <c r="AV45" s="541">
        <f>AP45+AP46</f>
        <v>0</v>
      </c>
      <c r="AW45" s="539">
        <f>AU45+AV45</f>
        <v>0</v>
      </c>
      <c r="AX45" s="541">
        <f>AR45+AR46</f>
        <v>0</v>
      </c>
      <c r="AY45" s="539">
        <f>AW45-AX45</f>
        <v>0</v>
      </c>
      <c r="AZ45" s="543">
        <v>0</v>
      </c>
    </row>
    <row r="46" spans="1:52">
      <c r="A46" s="582"/>
      <c r="B46" s="581"/>
      <c r="C46" s="579"/>
      <c r="D46" s="305" t="s">
        <v>12</v>
      </c>
      <c r="E46" s="277">
        <f t="shared" ref="E46" si="234">+$B$63*C45</f>
        <v>0</v>
      </c>
      <c r="F46" s="258">
        <f>+'Movimientos-Camaronailon'!J46</f>
        <v>0</v>
      </c>
      <c r="G46" s="267">
        <f>E46+F46+I45</f>
        <v>0</v>
      </c>
      <c r="H46" s="258"/>
      <c r="I46" s="392">
        <f t="shared" si="0"/>
        <v>0</v>
      </c>
      <c r="J46" s="419" t="str">
        <f t="shared" si="1"/>
        <v>0%</v>
      </c>
      <c r="K46" s="255">
        <f t="shared" ref="K46" si="235">+$C$63*C45</f>
        <v>0</v>
      </c>
      <c r="L46" s="258">
        <f>+'Movimientos-Camaronailon'!K46</f>
        <v>0</v>
      </c>
      <c r="M46" s="267">
        <f>O45+K46+L46</f>
        <v>0</v>
      </c>
      <c r="N46" s="266"/>
      <c r="O46" s="251">
        <f t="shared" si="2"/>
        <v>0</v>
      </c>
      <c r="P46" s="256" t="str">
        <f t="shared" si="3"/>
        <v>0%</v>
      </c>
      <c r="Q46" s="277">
        <f t="shared" ref="Q46" si="236">+$D$63*C45</f>
        <v>0</v>
      </c>
      <c r="R46" s="258">
        <f>+'Movimientos-Camaronailon'!L46</f>
        <v>0</v>
      </c>
      <c r="S46" s="267">
        <f>U45+Q46+R46</f>
        <v>0</v>
      </c>
      <c r="T46" s="266"/>
      <c r="U46" s="251">
        <f t="shared" si="4"/>
        <v>0</v>
      </c>
      <c r="V46" s="276" t="str">
        <f t="shared" si="5"/>
        <v>0%</v>
      </c>
      <c r="W46" s="262">
        <f t="shared" ref="W46" si="237">+$E$63*C45</f>
        <v>0</v>
      </c>
      <c r="X46" s="258">
        <f>+'Movimientos-Camaronailon'!M46</f>
        <v>0</v>
      </c>
      <c r="Y46" s="267">
        <f>AA45+W46+X46</f>
        <v>0</v>
      </c>
      <c r="Z46" s="266"/>
      <c r="AA46" s="251">
        <f t="shared" si="6"/>
        <v>0</v>
      </c>
      <c r="AB46" s="256" t="str">
        <f t="shared" si="7"/>
        <v>0%</v>
      </c>
      <c r="AC46" s="257">
        <f t="shared" ref="AC46" si="238">+$F$63*C45</f>
        <v>0</v>
      </c>
      <c r="AD46" s="258">
        <f>+'Movimientos-Camaronailon'!N46</f>
        <v>0</v>
      </c>
      <c r="AE46" s="267">
        <f>AG45+AC46+AD46</f>
        <v>0</v>
      </c>
      <c r="AF46" s="266"/>
      <c r="AG46" s="391">
        <f t="shared" si="8"/>
        <v>0</v>
      </c>
      <c r="AH46" s="256" t="str">
        <f t="shared" si="9"/>
        <v>0%</v>
      </c>
      <c r="AI46" s="277">
        <f t="shared" ref="AI46" si="239">+$G$63*C45</f>
        <v>0</v>
      </c>
      <c r="AJ46" s="258">
        <f>+'Movimientos-Camaronailon'!O46</f>
        <v>0</v>
      </c>
      <c r="AK46" s="267">
        <f>AM45+AI46+AJ46</f>
        <v>0</v>
      </c>
      <c r="AL46" s="266"/>
      <c r="AM46" s="251">
        <f t="shared" si="10"/>
        <v>0</v>
      </c>
      <c r="AN46" s="276" t="str">
        <f t="shared" si="11"/>
        <v>0%</v>
      </c>
      <c r="AO46" s="258">
        <f t="shared" si="195"/>
        <v>0</v>
      </c>
      <c r="AP46" s="258">
        <f t="shared" si="220"/>
        <v>0</v>
      </c>
      <c r="AQ46" s="267">
        <f>AS45+AO46+AP46</f>
        <v>0</v>
      </c>
      <c r="AR46" s="258">
        <f t="shared" si="221"/>
        <v>0</v>
      </c>
      <c r="AS46" s="251">
        <f t="shared" si="14"/>
        <v>0</v>
      </c>
      <c r="AT46" s="276" t="str">
        <f t="shared" si="15"/>
        <v>0%</v>
      </c>
      <c r="AU46" s="546"/>
      <c r="AV46" s="542"/>
      <c r="AW46" s="546"/>
      <c r="AX46" s="545"/>
      <c r="AY46" s="546"/>
      <c r="AZ46" s="544"/>
    </row>
    <row r="47" spans="1:52">
      <c r="A47" s="582"/>
      <c r="B47" s="580" t="str">
        <f>+'Movimientos-Camaronailon'!A47</f>
        <v>DA VENEZIA RETAMALES ANTONIO</v>
      </c>
      <c r="C47" s="576">
        <f>+'Movimientos-Camaronailon'!E47:E48</f>
        <v>1.0000000000000001E-5</v>
      </c>
      <c r="D47" s="304" t="s">
        <v>11</v>
      </c>
      <c r="E47" s="277">
        <f t="shared" ref="E47" si="240">+$B$61*C47</f>
        <v>4.2000000000000002E-4</v>
      </c>
      <c r="F47" s="258">
        <f>+'Movimientos-Camaronailon'!J47</f>
        <v>0</v>
      </c>
      <c r="G47" s="259">
        <f>E47+F47</f>
        <v>4.2000000000000002E-4</v>
      </c>
      <c r="H47" s="260"/>
      <c r="I47" s="392">
        <f t="shared" si="0"/>
        <v>4.2000000000000002E-4</v>
      </c>
      <c r="J47" s="419">
        <f t="shared" si="1"/>
        <v>0</v>
      </c>
      <c r="K47" s="255">
        <f t="shared" ref="K47" si="241">+$C$61*C47</f>
        <v>6.7700000000000008E-3</v>
      </c>
      <c r="L47" s="258">
        <f>+'Movimientos-Camaronailon'!K47</f>
        <v>0</v>
      </c>
      <c r="M47" s="259">
        <f>K47+L47</f>
        <v>6.7700000000000008E-3</v>
      </c>
      <c r="N47" s="261"/>
      <c r="O47" s="392">
        <f t="shared" si="2"/>
        <v>6.7700000000000008E-3</v>
      </c>
      <c r="P47" s="256">
        <f t="shared" si="3"/>
        <v>0</v>
      </c>
      <c r="Q47" s="277">
        <f t="shared" ref="Q47" si="242">+$D$61*C47</f>
        <v>8.5500000000000003E-3</v>
      </c>
      <c r="R47" s="258">
        <f>+'Movimientos-Camaronailon'!L47</f>
        <v>0</v>
      </c>
      <c r="S47" s="259">
        <f>Q47+R47</f>
        <v>8.5500000000000003E-3</v>
      </c>
      <c r="T47" s="261"/>
      <c r="U47" s="392">
        <f t="shared" si="4"/>
        <v>8.5500000000000003E-3</v>
      </c>
      <c r="V47" s="276">
        <f t="shared" si="5"/>
        <v>0</v>
      </c>
      <c r="W47" s="262">
        <f t="shared" ref="W47" si="243">+$E$61*C47</f>
        <v>6.3000000000000009E-3</v>
      </c>
      <c r="X47" s="258">
        <f>+'Movimientos-Camaronailon'!M47</f>
        <v>0</v>
      </c>
      <c r="Y47" s="263">
        <f>W47+X47</f>
        <v>6.3000000000000009E-3</v>
      </c>
      <c r="Z47" s="264"/>
      <c r="AA47" s="392">
        <f t="shared" si="6"/>
        <v>6.3000000000000009E-3</v>
      </c>
      <c r="AB47" s="256">
        <f t="shared" si="7"/>
        <v>0</v>
      </c>
      <c r="AC47" s="257">
        <f t="shared" ref="AC47" si="244">+$F$61*C47</f>
        <v>1.3050000000000001E-2</v>
      </c>
      <c r="AD47" s="258">
        <f>+'Movimientos-Camaronailon'!N47</f>
        <v>0</v>
      </c>
      <c r="AE47" s="259">
        <f>AC47+AD47</f>
        <v>1.3050000000000001E-2</v>
      </c>
      <c r="AF47" s="261"/>
      <c r="AG47" s="391">
        <f t="shared" si="8"/>
        <v>1.3050000000000001E-2</v>
      </c>
      <c r="AH47" s="256">
        <f t="shared" si="9"/>
        <v>0</v>
      </c>
      <c r="AI47" s="277">
        <f t="shared" ref="AI47" si="245">+$G$61*C47</f>
        <v>5.13E-3</v>
      </c>
      <c r="AJ47" s="258">
        <f>+'Movimientos-Camaronailon'!O47</f>
        <v>0</v>
      </c>
      <c r="AK47" s="259">
        <f>AI47+AJ47</f>
        <v>5.13E-3</v>
      </c>
      <c r="AL47" s="261"/>
      <c r="AM47" s="392">
        <f t="shared" si="10"/>
        <v>5.13E-3</v>
      </c>
      <c r="AN47" s="276">
        <f t="shared" si="11"/>
        <v>0</v>
      </c>
      <c r="AO47" s="260">
        <f t="shared" ref="AO47:AO48" si="246">+E47+K47+Q47+W47+AC47+AI47</f>
        <v>4.0220000000000006E-2</v>
      </c>
      <c r="AP47" s="258">
        <f t="shared" ref="AP47:AP50" si="247">F47+L47+R47+X47+AD47+AJ47</f>
        <v>0</v>
      </c>
      <c r="AQ47" s="259">
        <f>AO47+AP47</f>
        <v>4.0220000000000006E-2</v>
      </c>
      <c r="AR47" s="260">
        <f t="shared" ref="AR47:AR50" si="248">H47+N47+T47+Z47+AF47+AL47</f>
        <v>0</v>
      </c>
      <c r="AS47" s="392">
        <f t="shared" si="14"/>
        <v>4.0220000000000006E-2</v>
      </c>
      <c r="AT47" s="276">
        <f t="shared" si="15"/>
        <v>0</v>
      </c>
      <c r="AU47" s="539">
        <f>AO47+AO48</f>
        <v>4.4690000000000007E-2</v>
      </c>
      <c r="AV47" s="541">
        <f>AP47+AP48</f>
        <v>0</v>
      </c>
      <c r="AW47" s="539">
        <f>AU47+AV47</f>
        <v>4.4690000000000007E-2</v>
      </c>
      <c r="AX47" s="541">
        <f>AR47+AR48</f>
        <v>0</v>
      </c>
      <c r="AY47" s="539">
        <f>AW47-AX47</f>
        <v>4.4690000000000007E-2</v>
      </c>
      <c r="AZ47" s="543">
        <f>AX47/AW47</f>
        <v>0</v>
      </c>
    </row>
    <row r="48" spans="1:52">
      <c r="A48" s="582"/>
      <c r="B48" s="581"/>
      <c r="C48" s="579"/>
      <c r="D48" s="305" t="s">
        <v>12</v>
      </c>
      <c r="E48" s="277">
        <f t="shared" ref="E48" si="249">+$B$63*C47</f>
        <v>5.0000000000000002E-5</v>
      </c>
      <c r="F48" s="258">
        <f>+'Movimientos-Camaronailon'!J48</f>
        <v>0</v>
      </c>
      <c r="G48" s="265">
        <f>E48+F48+I47</f>
        <v>4.7000000000000004E-4</v>
      </c>
      <c r="H48" s="266"/>
      <c r="I48" s="392">
        <f t="shared" si="0"/>
        <v>4.7000000000000004E-4</v>
      </c>
      <c r="J48" s="419">
        <f t="shared" si="1"/>
        <v>0</v>
      </c>
      <c r="K48" s="255">
        <f t="shared" ref="K48" si="250">+$C$63*C47</f>
        <v>7.5000000000000002E-4</v>
      </c>
      <c r="L48" s="258">
        <f>+'Movimientos-Camaronailon'!K48</f>
        <v>0</v>
      </c>
      <c r="M48" s="267">
        <f>O47+K48+L48</f>
        <v>7.5200000000000006E-3</v>
      </c>
      <c r="N48" s="266"/>
      <c r="O48" s="251">
        <f t="shared" si="2"/>
        <v>7.5200000000000006E-3</v>
      </c>
      <c r="P48" s="256">
        <f t="shared" si="3"/>
        <v>0</v>
      </c>
      <c r="Q48" s="277">
        <f t="shared" ref="Q48" si="251">+$D$63*C47</f>
        <v>9.5000000000000011E-4</v>
      </c>
      <c r="R48" s="258">
        <f>+'Movimientos-Camaronailon'!L48</f>
        <v>0</v>
      </c>
      <c r="S48" s="265">
        <f>U47+Q48+R48</f>
        <v>9.4999999999999998E-3</v>
      </c>
      <c r="T48" s="266"/>
      <c r="U48" s="251">
        <f t="shared" si="4"/>
        <v>9.4999999999999998E-3</v>
      </c>
      <c r="V48" s="276">
        <f t="shared" si="5"/>
        <v>0</v>
      </c>
      <c r="W48" s="262">
        <f t="shared" ref="W48" si="252">+$E$63*C47</f>
        <v>7.000000000000001E-4</v>
      </c>
      <c r="X48" s="258">
        <f>+'Movimientos-Camaronailon'!M48</f>
        <v>0</v>
      </c>
      <c r="Y48" s="265">
        <f>AA47+W48+X48</f>
        <v>7.000000000000001E-3</v>
      </c>
      <c r="Z48" s="266"/>
      <c r="AA48" s="251">
        <f t="shared" si="6"/>
        <v>7.000000000000001E-3</v>
      </c>
      <c r="AB48" s="256">
        <f t="shared" si="7"/>
        <v>0</v>
      </c>
      <c r="AC48" s="257">
        <f t="shared" ref="AC48" si="253">+$F$63*C47</f>
        <v>1.4500000000000001E-3</v>
      </c>
      <c r="AD48" s="258">
        <f>+'Movimientos-Camaronailon'!N48</f>
        <v>0</v>
      </c>
      <c r="AE48" s="265">
        <f>AG47+AC48+AD48</f>
        <v>1.4500000000000001E-2</v>
      </c>
      <c r="AF48" s="266"/>
      <c r="AG48" s="391">
        <f t="shared" si="8"/>
        <v>1.4500000000000001E-2</v>
      </c>
      <c r="AH48" s="256">
        <f t="shared" si="9"/>
        <v>0</v>
      </c>
      <c r="AI48" s="277">
        <f t="shared" ref="AI48" si="254">+$G$63*C47</f>
        <v>5.7000000000000009E-4</v>
      </c>
      <c r="AJ48" s="258">
        <f>+'Movimientos-Camaronailon'!O48</f>
        <v>0</v>
      </c>
      <c r="AK48" s="265">
        <f>AM47+AI48+AJ48</f>
        <v>5.7000000000000002E-3</v>
      </c>
      <c r="AL48" s="266"/>
      <c r="AM48" s="251">
        <f t="shared" si="10"/>
        <v>5.7000000000000002E-3</v>
      </c>
      <c r="AN48" s="276">
        <f t="shared" si="11"/>
        <v>0</v>
      </c>
      <c r="AO48" s="266">
        <f t="shared" si="246"/>
        <v>4.4700000000000009E-3</v>
      </c>
      <c r="AP48" s="258">
        <f t="shared" si="247"/>
        <v>0</v>
      </c>
      <c r="AQ48" s="265">
        <f>AS47+AO48+AP48</f>
        <v>4.4690000000000007E-2</v>
      </c>
      <c r="AR48" s="266">
        <f t="shared" si="248"/>
        <v>0</v>
      </c>
      <c r="AS48" s="251">
        <f t="shared" si="14"/>
        <v>4.4690000000000007E-2</v>
      </c>
      <c r="AT48" s="276">
        <f t="shared" si="15"/>
        <v>0</v>
      </c>
      <c r="AU48" s="540"/>
      <c r="AV48" s="542"/>
      <c r="AW48" s="540"/>
      <c r="AX48" s="542"/>
      <c r="AY48" s="540"/>
      <c r="AZ48" s="544"/>
    </row>
    <row r="49" spans="1:142">
      <c r="A49" s="582"/>
      <c r="B49" s="580" t="str">
        <f>+'Movimientos-Camaronailon'!A49</f>
        <v>PESCA FINA SpA. hoy PACIFICBLU SpA.</v>
      </c>
      <c r="C49" s="576">
        <f>+'Movimientos-Camaronailon'!E49:E50</f>
        <v>0</v>
      </c>
      <c r="D49" s="303" t="s">
        <v>11</v>
      </c>
      <c r="E49" s="277">
        <f t="shared" ref="E49" si="255">+$B$61*C49</f>
        <v>0</v>
      </c>
      <c r="F49" s="258">
        <f>+'Movimientos-Camaronailon'!J49</f>
        <v>0</v>
      </c>
      <c r="G49" s="259">
        <f>E49+F49</f>
        <v>0</v>
      </c>
      <c r="H49" s="260"/>
      <c r="I49" s="392">
        <f t="shared" si="0"/>
        <v>0</v>
      </c>
      <c r="J49" s="419" t="str">
        <f t="shared" si="1"/>
        <v>0%</v>
      </c>
      <c r="K49" s="255">
        <f t="shared" ref="K49" si="256">+$C$61*C49</f>
        <v>0</v>
      </c>
      <c r="L49" s="258">
        <f>+'Movimientos-Camaronailon'!K49</f>
        <v>0</v>
      </c>
      <c r="M49" s="259">
        <f>K49+L49</f>
        <v>0</v>
      </c>
      <c r="N49" s="261"/>
      <c r="O49" s="392">
        <f t="shared" si="2"/>
        <v>0</v>
      </c>
      <c r="P49" s="256" t="str">
        <f t="shared" si="3"/>
        <v>0%</v>
      </c>
      <c r="Q49" s="277">
        <f t="shared" ref="Q49" si="257">+$D$61*C49</f>
        <v>0</v>
      </c>
      <c r="R49" s="258">
        <f>+'Movimientos-Camaronailon'!L49</f>
        <v>0</v>
      </c>
      <c r="S49" s="259">
        <f>Q49+R49</f>
        <v>0</v>
      </c>
      <c r="T49" s="261"/>
      <c r="U49" s="392">
        <f t="shared" si="4"/>
        <v>0</v>
      </c>
      <c r="V49" s="276" t="str">
        <f t="shared" si="5"/>
        <v>0%</v>
      </c>
      <c r="W49" s="262">
        <f t="shared" ref="W49" si="258">+$E$61*C49</f>
        <v>0</v>
      </c>
      <c r="X49" s="258">
        <f>+'Movimientos-Camaronailon'!M49</f>
        <v>0</v>
      </c>
      <c r="Y49" s="263">
        <f>W49+X49</f>
        <v>0</v>
      </c>
      <c r="Z49" s="264"/>
      <c r="AA49" s="392">
        <f t="shared" si="6"/>
        <v>0</v>
      </c>
      <c r="AB49" s="256" t="str">
        <f t="shared" si="7"/>
        <v>0%</v>
      </c>
      <c r="AC49" s="257">
        <f t="shared" ref="AC49" si="259">+$F$61*C49</f>
        <v>0</v>
      </c>
      <c r="AD49" s="258">
        <f>+'Movimientos-Camaronailon'!N49</f>
        <v>0</v>
      </c>
      <c r="AE49" s="259">
        <f>AC49+AD49</f>
        <v>0</v>
      </c>
      <c r="AF49" s="261"/>
      <c r="AG49" s="391">
        <f t="shared" si="8"/>
        <v>0</v>
      </c>
      <c r="AH49" s="256" t="str">
        <f t="shared" si="9"/>
        <v>0%</v>
      </c>
      <c r="AI49" s="277">
        <f t="shared" ref="AI49" si="260">+$G$61*C49</f>
        <v>0</v>
      </c>
      <c r="AJ49" s="258">
        <f>+'Movimientos-Camaronailon'!O49</f>
        <v>0</v>
      </c>
      <c r="AK49" s="259">
        <f>AI49+AJ49</f>
        <v>0</v>
      </c>
      <c r="AL49" s="261"/>
      <c r="AM49" s="392">
        <f t="shared" si="10"/>
        <v>0</v>
      </c>
      <c r="AN49" s="276" t="str">
        <f t="shared" si="11"/>
        <v>0%</v>
      </c>
      <c r="AO49" s="260">
        <f t="shared" si="195"/>
        <v>0</v>
      </c>
      <c r="AP49" s="258">
        <f t="shared" si="247"/>
        <v>0</v>
      </c>
      <c r="AQ49" s="259">
        <f>AO49+AP49</f>
        <v>0</v>
      </c>
      <c r="AR49" s="260">
        <f t="shared" si="248"/>
        <v>0</v>
      </c>
      <c r="AS49" s="392">
        <f t="shared" si="14"/>
        <v>0</v>
      </c>
      <c r="AT49" s="276" t="str">
        <f t="shared" si="15"/>
        <v>0%</v>
      </c>
      <c r="AU49" s="539">
        <f>AO49+AO50</f>
        <v>0</v>
      </c>
      <c r="AV49" s="541">
        <f>AP49+AP50</f>
        <v>0</v>
      </c>
      <c r="AW49" s="539">
        <f>AU49+AV49</f>
        <v>0</v>
      </c>
      <c r="AX49" s="541">
        <f>AR49+AR50</f>
        <v>0</v>
      </c>
      <c r="AY49" s="539">
        <f>AW49-AX49</f>
        <v>0</v>
      </c>
      <c r="AZ49" s="543">
        <v>0</v>
      </c>
    </row>
    <row r="50" spans="1:142">
      <c r="A50" s="582"/>
      <c r="B50" s="581"/>
      <c r="C50" s="579"/>
      <c r="D50" s="305" t="s">
        <v>12</v>
      </c>
      <c r="E50" s="277">
        <f t="shared" ref="E50" si="261">+$B$63*C49</f>
        <v>0</v>
      </c>
      <c r="F50" s="258">
        <f>+'Movimientos-Camaronailon'!J50</f>
        <v>0</v>
      </c>
      <c r="G50" s="265">
        <f>E50+F50+I49</f>
        <v>0</v>
      </c>
      <c r="H50" s="266"/>
      <c r="I50" s="392">
        <f t="shared" si="0"/>
        <v>0</v>
      </c>
      <c r="J50" s="419" t="str">
        <f t="shared" si="1"/>
        <v>0%</v>
      </c>
      <c r="K50" s="255">
        <f t="shared" ref="K50" si="262">+$C$63*C49</f>
        <v>0</v>
      </c>
      <c r="L50" s="258">
        <f>+'Movimientos-Camaronailon'!K50</f>
        <v>0</v>
      </c>
      <c r="M50" s="265">
        <f>O49+K50+L50</f>
        <v>0</v>
      </c>
      <c r="N50" s="266"/>
      <c r="O50" s="251">
        <f t="shared" si="2"/>
        <v>0</v>
      </c>
      <c r="P50" s="256" t="str">
        <f t="shared" si="3"/>
        <v>0%</v>
      </c>
      <c r="Q50" s="277">
        <f t="shared" ref="Q50" si="263">+$D$63*C49</f>
        <v>0</v>
      </c>
      <c r="R50" s="258">
        <f>+'Movimientos-Camaronailon'!L50</f>
        <v>0</v>
      </c>
      <c r="S50" s="265">
        <f>U49+Q50+R50</f>
        <v>0</v>
      </c>
      <c r="T50" s="266"/>
      <c r="U50" s="251">
        <f t="shared" si="4"/>
        <v>0</v>
      </c>
      <c r="V50" s="276" t="str">
        <f t="shared" si="5"/>
        <v>0%</v>
      </c>
      <c r="W50" s="262">
        <f t="shared" ref="W50" si="264">+$E$63*C49</f>
        <v>0</v>
      </c>
      <c r="X50" s="258">
        <f>+'Movimientos-Camaronailon'!M50</f>
        <v>0</v>
      </c>
      <c r="Y50" s="265">
        <f>AA49+W50+X50</f>
        <v>0</v>
      </c>
      <c r="Z50" s="266"/>
      <c r="AA50" s="251">
        <f t="shared" si="6"/>
        <v>0</v>
      </c>
      <c r="AB50" s="256" t="str">
        <f t="shared" si="7"/>
        <v>0%</v>
      </c>
      <c r="AC50" s="257">
        <f t="shared" ref="AC50" si="265">+$F$63*C49</f>
        <v>0</v>
      </c>
      <c r="AD50" s="258">
        <f>+'Movimientos-Camaronailon'!N50</f>
        <v>0</v>
      </c>
      <c r="AE50" s="265">
        <f>AG49+AC50+AD50</f>
        <v>0</v>
      </c>
      <c r="AF50" s="266"/>
      <c r="AG50" s="391">
        <f t="shared" si="8"/>
        <v>0</v>
      </c>
      <c r="AH50" s="256" t="str">
        <f t="shared" si="9"/>
        <v>0%</v>
      </c>
      <c r="AI50" s="277">
        <f t="shared" ref="AI50" si="266">+$G$63*C49</f>
        <v>0</v>
      </c>
      <c r="AJ50" s="258">
        <f>+'Movimientos-Camaronailon'!O50</f>
        <v>0</v>
      </c>
      <c r="AK50" s="265">
        <f>AM49+AI50+AJ50</f>
        <v>0</v>
      </c>
      <c r="AL50" s="266"/>
      <c r="AM50" s="251">
        <f t="shared" si="10"/>
        <v>0</v>
      </c>
      <c r="AN50" s="276" t="str">
        <f t="shared" si="11"/>
        <v>0%</v>
      </c>
      <c r="AO50" s="266">
        <f t="shared" si="195"/>
        <v>0</v>
      </c>
      <c r="AP50" s="258">
        <f t="shared" si="247"/>
        <v>0</v>
      </c>
      <c r="AQ50" s="265">
        <f>AS49+AO50+AP50</f>
        <v>0</v>
      </c>
      <c r="AR50" s="266">
        <f t="shared" si="248"/>
        <v>0</v>
      </c>
      <c r="AS50" s="251">
        <f t="shared" si="14"/>
        <v>0</v>
      </c>
      <c r="AT50" s="276" t="str">
        <f t="shared" si="15"/>
        <v>0%</v>
      </c>
      <c r="AU50" s="540"/>
      <c r="AV50" s="542"/>
      <c r="AW50" s="540"/>
      <c r="AX50" s="542"/>
      <c r="AY50" s="540"/>
      <c r="AZ50" s="544"/>
    </row>
    <row r="51" spans="1:142" ht="15" customHeight="1">
      <c r="A51" s="582"/>
      <c r="B51" s="580" t="str">
        <f>+'Movimientos-Camaronailon'!A51</f>
        <v>GONZALO ANDRES ZUÑIGA ROMERO</v>
      </c>
      <c r="C51" s="576">
        <f>+'Movimientos-Camaronailon'!E51:E52</f>
        <v>0</v>
      </c>
      <c r="D51" s="303" t="s">
        <v>11</v>
      </c>
      <c r="E51" s="277">
        <f t="shared" ref="E51" si="267">+$B$61*C51</f>
        <v>0</v>
      </c>
      <c r="F51" s="258">
        <f>+'Movimientos-Camaronailon'!J51</f>
        <v>1.5268279</v>
      </c>
      <c r="G51" s="259">
        <f>E51+F51</f>
        <v>1.5268279</v>
      </c>
      <c r="H51" s="260"/>
      <c r="I51" s="392">
        <f t="shared" si="0"/>
        <v>1.5268279</v>
      </c>
      <c r="J51" s="419">
        <f t="shared" si="1"/>
        <v>0</v>
      </c>
      <c r="K51" s="255">
        <f t="shared" ref="K51" si="268">+$C$61*C51</f>
        <v>0</v>
      </c>
      <c r="L51" s="258">
        <f>+'Movimientos-Camaronailon'!K51</f>
        <v>24.4292464</v>
      </c>
      <c r="M51" s="259">
        <f>K51+L51</f>
        <v>24.4292464</v>
      </c>
      <c r="N51" s="261"/>
      <c r="O51" s="392">
        <f t="shared" si="2"/>
        <v>24.4292464</v>
      </c>
      <c r="P51" s="256">
        <f t="shared" si="3"/>
        <v>0</v>
      </c>
      <c r="Q51" s="277">
        <f t="shared" ref="Q51" si="269">+$D$61*C51</f>
        <v>0</v>
      </c>
      <c r="R51" s="258">
        <f>+'Movimientos-Camaronailon'!L51</f>
        <v>30.861415000000001</v>
      </c>
      <c r="S51" s="259">
        <f>Q51+R51</f>
        <v>30.861415000000001</v>
      </c>
      <c r="T51" s="261"/>
      <c r="U51" s="392">
        <f t="shared" si="4"/>
        <v>30.861415000000001</v>
      </c>
      <c r="V51" s="276">
        <f t="shared" si="5"/>
        <v>0</v>
      </c>
      <c r="W51" s="262">
        <f t="shared" ref="W51" si="270">+$E$61*C51</f>
        <v>0</v>
      </c>
      <c r="X51" s="258">
        <f>+'Movimientos-Camaronailon'!M51</f>
        <v>22.739989999999999</v>
      </c>
      <c r="Y51" s="263">
        <f>W51+X51</f>
        <v>22.739989999999999</v>
      </c>
      <c r="Z51" s="264"/>
      <c r="AA51" s="392">
        <f t="shared" si="6"/>
        <v>22.739989999999999</v>
      </c>
      <c r="AB51" s="256">
        <f t="shared" si="7"/>
        <v>0</v>
      </c>
      <c r="AC51" s="257">
        <f t="shared" ref="AC51" si="271">+$F$61*C51</f>
        <v>0</v>
      </c>
      <c r="AD51" s="258">
        <f>+'Movimientos-Camaronailon'!N51</f>
        <v>47.104264999999998</v>
      </c>
      <c r="AE51" s="259">
        <f>AC51+AD51</f>
        <v>47.104264999999998</v>
      </c>
      <c r="AF51" s="261"/>
      <c r="AG51" s="391">
        <f t="shared" si="8"/>
        <v>47.104264999999998</v>
      </c>
      <c r="AH51" s="256">
        <f t="shared" si="9"/>
        <v>0</v>
      </c>
      <c r="AI51" s="277">
        <f t="shared" ref="AI51" si="272">+$G$61*C51</f>
        <v>0</v>
      </c>
      <c r="AJ51" s="258">
        <f>+'Movimientos-Camaronailon'!O51</f>
        <v>18.516849000000001</v>
      </c>
      <c r="AK51" s="259">
        <f>AI51+AJ51</f>
        <v>18.516849000000001</v>
      </c>
      <c r="AL51" s="261"/>
      <c r="AM51" s="392">
        <f t="shared" si="10"/>
        <v>18.516849000000001</v>
      </c>
      <c r="AN51" s="276">
        <f t="shared" si="11"/>
        <v>0</v>
      </c>
      <c r="AO51" s="260">
        <f t="shared" ref="AO51:AO52" si="273">+E51+K51+Q51+W51+AC51+AI51</f>
        <v>0</v>
      </c>
      <c r="AP51" s="258">
        <f t="shared" ref="AP51:AP52" si="274">F51+L51+R51+X51+AD51+AJ51</f>
        <v>145.17859330000002</v>
      </c>
      <c r="AQ51" s="259">
        <f>AO51+AP51</f>
        <v>145.17859330000002</v>
      </c>
      <c r="AR51" s="260">
        <f t="shared" ref="AR51:AR52" si="275">H51+N51+T51+Z51+AF51+AL51</f>
        <v>0</v>
      </c>
      <c r="AS51" s="392">
        <f t="shared" si="14"/>
        <v>145.17859330000002</v>
      </c>
      <c r="AT51" s="276">
        <f t="shared" si="15"/>
        <v>0</v>
      </c>
      <c r="AU51" s="539">
        <f>AO51+AO52</f>
        <v>0</v>
      </c>
      <c r="AV51" s="541">
        <f>AP51+AP52</f>
        <v>145.17859330000002</v>
      </c>
      <c r="AW51" s="539">
        <f>AU51+AV51</f>
        <v>145.17859330000002</v>
      </c>
      <c r="AX51" s="541">
        <f>AR51+AR52</f>
        <v>0</v>
      </c>
      <c r="AY51" s="539">
        <f>AW51-AX51</f>
        <v>145.17859330000002</v>
      </c>
      <c r="AZ51" s="543">
        <v>0</v>
      </c>
    </row>
    <row r="52" spans="1:142">
      <c r="A52" s="582"/>
      <c r="B52" s="581"/>
      <c r="C52" s="579"/>
      <c r="D52" s="305" t="s">
        <v>12</v>
      </c>
      <c r="E52" s="277">
        <f t="shared" ref="E52" si="276">+$B$63*C51</f>
        <v>0</v>
      </c>
      <c r="F52" s="258">
        <f>+'Movimientos-Camaronailon'!J52</f>
        <v>0</v>
      </c>
      <c r="G52" s="267">
        <f>E52+F52+I51</f>
        <v>1.5268279</v>
      </c>
      <c r="H52" s="258"/>
      <c r="I52" s="392">
        <f t="shared" si="0"/>
        <v>1.5268279</v>
      </c>
      <c r="J52" s="419">
        <f t="shared" si="1"/>
        <v>0</v>
      </c>
      <c r="K52" s="255">
        <f t="shared" ref="K52" si="277">+$C$63*C51</f>
        <v>0</v>
      </c>
      <c r="L52" s="258">
        <f>+'Movimientos-Camaronailon'!K52</f>
        <v>0</v>
      </c>
      <c r="M52" s="267">
        <f>O51+K52+L52</f>
        <v>24.4292464</v>
      </c>
      <c r="N52" s="266"/>
      <c r="O52" s="251">
        <f t="shared" si="2"/>
        <v>24.4292464</v>
      </c>
      <c r="P52" s="256">
        <f t="shared" si="3"/>
        <v>0</v>
      </c>
      <c r="Q52" s="277">
        <f t="shared" ref="Q52" si="278">+$D$63*C51</f>
        <v>0</v>
      </c>
      <c r="R52" s="258">
        <f>+'Movimientos-Camaronailon'!L52</f>
        <v>0</v>
      </c>
      <c r="S52" s="267">
        <f>U51+Q52+R52</f>
        <v>30.861415000000001</v>
      </c>
      <c r="T52" s="266"/>
      <c r="U52" s="251">
        <f t="shared" si="4"/>
        <v>30.861415000000001</v>
      </c>
      <c r="V52" s="276">
        <f t="shared" si="5"/>
        <v>0</v>
      </c>
      <c r="W52" s="262">
        <f t="shared" ref="W52" si="279">+$E$63*C51</f>
        <v>0</v>
      </c>
      <c r="X52" s="258">
        <f>+'Movimientos-Camaronailon'!M52</f>
        <v>0</v>
      </c>
      <c r="Y52" s="267">
        <f>AA51+W52+X52</f>
        <v>22.739989999999999</v>
      </c>
      <c r="Z52" s="266"/>
      <c r="AA52" s="251">
        <f t="shared" si="6"/>
        <v>22.739989999999999</v>
      </c>
      <c r="AB52" s="256">
        <f t="shared" si="7"/>
        <v>0</v>
      </c>
      <c r="AC52" s="257">
        <f t="shared" ref="AC52" si="280">+$F$63*C51</f>
        <v>0</v>
      </c>
      <c r="AD52" s="258">
        <f>+'Movimientos-Camaronailon'!N52</f>
        <v>0</v>
      </c>
      <c r="AE52" s="267">
        <f>AG51+AC52+AD52</f>
        <v>47.104264999999998</v>
      </c>
      <c r="AF52" s="266"/>
      <c r="AG52" s="391">
        <f t="shared" si="8"/>
        <v>47.104264999999998</v>
      </c>
      <c r="AH52" s="256">
        <f t="shared" si="9"/>
        <v>0</v>
      </c>
      <c r="AI52" s="277">
        <f t="shared" ref="AI52" si="281">+$G$63*C51</f>
        <v>0</v>
      </c>
      <c r="AJ52" s="258">
        <f>+'Movimientos-Camaronailon'!O52</f>
        <v>0</v>
      </c>
      <c r="AK52" s="267">
        <f>AM51+AI52+AJ52</f>
        <v>18.516849000000001</v>
      </c>
      <c r="AL52" s="266"/>
      <c r="AM52" s="251">
        <f t="shared" si="10"/>
        <v>18.516849000000001</v>
      </c>
      <c r="AN52" s="276">
        <f t="shared" si="11"/>
        <v>0</v>
      </c>
      <c r="AO52" s="266">
        <f t="shared" si="273"/>
        <v>0</v>
      </c>
      <c r="AP52" s="258">
        <f t="shared" si="274"/>
        <v>0</v>
      </c>
      <c r="AQ52" s="267">
        <f>AS51+AO52+AP52</f>
        <v>145.17859330000002</v>
      </c>
      <c r="AR52" s="258">
        <f t="shared" si="275"/>
        <v>0</v>
      </c>
      <c r="AS52" s="251">
        <f t="shared" si="14"/>
        <v>145.17859330000002</v>
      </c>
      <c r="AT52" s="276">
        <f t="shared" si="15"/>
        <v>0</v>
      </c>
      <c r="AU52" s="546"/>
      <c r="AV52" s="542"/>
      <c r="AW52" s="546"/>
      <c r="AX52" s="545"/>
      <c r="AY52" s="546"/>
      <c r="AZ52" s="544"/>
    </row>
    <row r="53" spans="1:142">
      <c r="A53" s="582"/>
      <c r="B53" s="580" t="str">
        <f>+'Movimientos-Camaronailon'!A53</f>
        <v>PESQUERA CMK LTDA.</v>
      </c>
      <c r="C53" s="576">
        <f>+'Movimientos-Camaronailon'!E53:E54</f>
        <v>0</v>
      </c>
      <c r="D53" s="303" t="s">
        <v>11</v>
      </c>
      <c r="E53" s="277">
        <f t="shared" ref="E53" si="282">+$B$61*C53</f>
        <v>0</v>
      </c>
      <c r="F53" s="258">
        <f>+'Movimientos-Camaronailon'!J53</f>
        <v>0</v>
      </c>
      <c r="G53" s="259">
        <f>E53+F53</f>
        <v>0</v>
      </c>
      <c r="H53" s="260"/>
      <c r="I53" s="392">
        <f t="shared" si="0"/>
        <v>0</v>
      </c>
      <c r="J53" s="419" t="str">
        <f t="shared" si="1"/>
        <v>0%</v>
      </c>
      <c r="K53" s="255">
        <f t="shared" ref="K53" si="283">+$C$61*C53</f>
        <v>0</v>
      </c>
      <c r="L53" s="258">
        <f>+'Movimientos-Camaronailon'!K53</f>
        <v>0</v>
      </c>
      <c r="M53" s="259">
        <f>K53+L53</f>
        <v>0</v>
      </c>
      <c r="N53" s="261"/>
      <c r="O53" s="392">
        <f t="shared" si="2"/>
        <v>0</v>
      </c>
      <c r="P53" s="256" t="str">
        <f t="shared" si="3"/>
        <v>0%</v>
      </c>
      <c r="Q53" s="277">
        <f t="shared" ref="Q53" si="284">+$D$61*C53</f>
        <v>0</v>
      </c>
      <c r="R53" s="258">
        <f>+'Movimientos-Camaronailon'!L53</f>
        <v>4.4690000000000001E-2</v>
      </c>
      <c r="S53" s="259">
        <f>Q53+R53</f>
        <v>4.4690000000000001E-2</v>
      </c>
      <c r="T53" s="261"/>
      <c r="U53" s="392">
        <f t="shared" si="4"/>
        <v>4.4690000000000001E-2</v>
      </c>
      <c r="V53" s="276">
        <f t="shared" si="5"/>
        <v>0</v>
      </c>
      <c r="W53" s="262">
        <f t="shared" ref="W53" si="285">+$E$61*C53</f>
        <v>0</v>
      </c>
      <c r="X53" s="258">
        <f>+'Movimientos-Camaronailon'!M53</f>
        <v>4.4690000000000001E-2</v>
      </c>
      <c r="Y53" s="263">
        <f>W53+X53</f>
        <v>4.4690000000000001E-2</v>
      </c>
      <c r="Z53" s="264"/>
      <c r="AA53" s="392">
        <f t="shared" si="6"/>
        <v>4.4690000000000001E-2</v>
      </c>
      <c r="AB53" s="256">
        <f t="shared" si="7"/>
        <v>0</v>
      </c>
      <c r="AC53" s="257">
        <f t="shared" ref="AC53" si="286">+$F$61*C53</f>
        <v>0</v>
      </c>
      <c r="AD53" s="258">
        <f>+'Movimientos-Camaronailon'!N53</f>
        <v>0.80442000000000002</v>
      </c>
      <c r="AE53" s="259">
        <f>AC53+AD53</f>
        <v>0.80442000000000002</v>
      </c>
      <c r="AF53" s="261"/>
      <c r="AG53" s="391">
        <f t="shared" si="8"/>
        <v>0.80442000000000002</v>
      </c>
      <c r="AH53" s="256">
        <f t="shared" si="9"/>
        <v>0</v>
      </c>
      <c r="AI53" s="277">
        <f t="shared" ref="AI53" si="287">+$G$61*C53</f>
        <v>0</v>
      </c>
      <c r="AJ53" s="258">
        <f>+'Movimientos-Camaronailon'!O53</f>
        <v>0.13406999999999999</v>
      </c>
      <c r="AK53" s="259">
        <f>AI53+AJ53</f>
        <v>0.13406999999999999</v>
      </c>
      <c r="AL53" s="261"/>
      <c r="AM53" s="392">
        <f t="shared" si="10"/>
        <v>0.13406999999999999</v>
      </c>
      <c r="AN53" s="276">
        <f t="shared" si="11"/>
        <v>0</v>
      </c>
      <c r="AO53" s="260">
        <f t="shared" si="195"/>
        <v>0</v>
      </c>
      <c r="AP53" s="258">
        <f>F53+L53+R53+X53+AD53+AJ53</f>
        <v>1.0278700000000001</v>
      </c>
      <c r="AQ53" s="259">
        <f>AO53+AP53</f>
        <v>1.0278700000000001</v>
      </c>
      <c r="AR53" s="260">
        <f t="shared" ref="AR53:AR54" si="288">H53+N53+T53+Z53+AF53+AL53</f>
        <v>0</v>
      </c>
      <c r="AS53" s="392">
        <f t="shared" si="14"/>
        <v>1.0278700000000001</v>
      </c>
      <c r="AT53" s="276">
        <f t="shared" si="15"/>
        <v>0</v>
      </c>
      <c r="AU53" s="539">
        <f>AO53+AO54</f>
        <v>0</v>
      </c>
      <c r="AV53" s="541">
        <f>AP53+AP54</f>
        <v>1.0278700000000001</v>
      </c>
      <c r="AW53" s="539">
        <f>AU53+AV53</f>
        <v>1.0278700000000001</v>
      </c>
      <c r="AX53" s="541">
        <f>AR53+AR54</f>
        <v>0</v>
      </c>
      <c r="AY53" s="539">
        <f>AW53-AX53</f>
        <v>1.0278700000000001</v>
      </c>
      <c r="AZ53" s="543">
        <v>0</v>
      </c>
    </row>
    <row r="54" spans="1:142">
      <c r="A54" s="582"/>
      <c r="B54" s="581"/>
      <c r="C54" s="579"/>
      <c r="D54" s="305" t="s">
        <v>12</v>
      </c>
      <c r="E54" s="277">
        <f t="shared" ref="E54" si="289">+$B$63*C53</f>
        <v>0</v>
      </c>
      <c r="F54" s="258">
        <f>+'Movimientos-Camaronailon'!J54</f>
        <v>0</v>
      </c>
      <c r="G54" s="267">
        <f>E54+F54+I53</f>
        <v>0</v>
      </c>
      <c r="H54" s="258"/>
      <c r="I54" s="392">
        <f t="shared" si="0"/>
        <v>0</v>
      </c>
      <c r="J54" s="419" t="str">
        <f t="shared" si="1"/>
        <v>0%</v>
      </c>
      <c r="K54" s="255">
        <f t="shared" ref="K54" si="290">+$C$63*C53</f>
        <v>0</v>
      </c>
      <c r="L54" s="258">
        <f>+'Movimientos-Camaronailon'!K54</f>
        <v>0</v>
      </c>
      <c r="M54" s="267">
        <f>O53+K54+L54</f>
        <v>0</v>
      </c>
      <c r="N54" s="258"/>
      <c r="O54" s="251">
        <f t="shared" si="2"/>
        <v>0</v>
      </c>
      <c r="P54" s="256" t="str">
        <f t="shared" si="3"/>
        <v>0%</v>
      </c>
      <c r="Q54" s="277">
        <f t="shared" ref="Q54" si="291">+$D$63*C53</f>
        <v>0</v>
      </c>
      <c r="R54" s="258">
        <f>+'Movimientos-Camaronailon'!L54</f>
        <v>0</v>
      </c>
      <c r="S54" s="267">
        <f>U53+Q54+R54</f>
        <v>4.4690000000000001E-2</v>
      </c>
      <c r="T54" s="258"/>
      <c r="U54" s="251">
        <f t="shared" si="4"/>
        <v>4.4690000000000001E-2</v>
      </c>
      <c r="V54" s="276">
        <f t="shared" si="5"/>
        <v>0</v>
      </c>
      <c r="W54" s="262">
        <f t="shared" ref="W54" si="292">+$E$63*C53</f>
        <v>0</v>
      </c>
      <c r="X54" s="258">
        <f>+'Movimientos-Camaronailon'!M54</f>
        <v>0</v>
      </c>
      <c r="Y54" s="267">
        <f>AA53+W54+X54</f>
        <v>4.4690000000000001E-2</v>
      </c>
      <c r="Z54" s="258"/>
      <c r="AA54" s="251">
        <f t="shared" si="6"/>
        <v>4.4690000000000001E-2</v>
      </c>
      <c r="AB54" s="256">
        <f t="shared" si="7"/>
        <v>0</v>
      </c>
      <c r="AC54" s="257">
        <f t="shared" ref="AC54" si="293">+$F$63*C53</f>
        <v>0</v>
      </c>
      <c r="AD54" s="258">
        <f>+'Movimientos-Camaronailon'!N54</f>
        <v>0</v>
      </c>
      <c r="AE54" s="267">
        <f>AG53+AC54+AD54</f>
        <v>0.80442000000000002</v>
      </c>
      <c r="AF54" s="258"/>
      <c r="AG54" s="391">
        <f t="shared" si="8"/>
        <v>0.80442000000000002</v>
      </c>
      <c r="AH54" s="256">
        <f t="shared" si="9"/>
        <v>0</v>
      </c>
      <c r="AI54" s="277">
        <f t="shared" ref="AI54" si="294">+$G$63*C53</f>
        <v>0</v>
      </c>
      <c r="AJ54" s="258">
        <f>+'Movimientos-Camaronailon'!O54</f>
        <v>0</v>
      </c>
      <c r="AK54" s="267">
        <f>AM53+AI54+AJ54</f>
        <v>0.13406999999999999</v>
      </c>
      <c r="AL54" s="258"/>
      <c r="AM54" s="251">
        <f t="shared" si="10"/>
        <v>0.13406999999999999</v>
      </c>
      <c r="AN54" s="276">
        <f t="shared" si="11"/>
        <v>0</v>
      </c>
      <c r="AO54" s="258">
        <f t="shared" si="195"/>
        <v>0</v>
      </c>
      <c r="AP54" s="258">
        <f>F54+L54+R54+X54+AD54+AJ54</f>
        <v>0</v>
      </c>
      <c r="AQ54" s="267">
        <f>AS53+AO54+AP54</f>
        <v>1.0278700000000001</v>
      </c>
      <c r="AR54" s="258">
        <f t="shared" si="288"/>
        <v>0</v>
      </c>
      <c r="AS54" s="251">
        <f t="shared" si="14"/>
        <v>1.0278700000000001</v>
      </c>
      <c r="AT54" s="276">
        <f t="shared" si="15"/>
        <v>0</v>
      </c>
      <c r="AU54" s="546"/>
      <c r="AV54" s="542"/>
      <c r="AW54" s="546"/>
      <c r="AX54" s="545"/>
      <c r="AY54" s="546"/>
      <c r="AZ54" s="549"/>
    </row>
    <row r="55" spans="1:142">
      <c r="A55" s="582"/>
      <c r="B55" s="580" t="str">
        <f>+'Movimientos-Camaronailon'!A55</f>
        <v>JORGE COFRE REYES</v>
      </c>
      <c r="C55" s="576">
        <f>+'Movimientos-Camaronailon'!E55:E56</f>
        <v>0</v>
      </c>
      <c r="D55" s="304" t="s">
        <v>11</v>
      </c>
      <c r="E55" s="277">
        <f t="shared" ref="E55" si="295">+$B$61*C55</f>
        <v>0</v>
      </c>
      <c r="F55" s="258">
        <f>+'Movimientos-Camaronailon'!J55</f>
        <v>0</v>
      </c>
      <c r="G55" s="259">
        <f>E55+F55</f>
        <v>0</v>
      </c>
      <c r="H55" s="260"/>
      <c r="I55" s="392">
        <f t="shared" si="0"/>
        <v>0</v>
      </c>
      <c r="J55" s="419" t="str">
        <f t="shared" si="1"/>
        <v>0%</v>
      </c>
      <c r="K55" s="255">
        <f t="shared" ref="K55" si="296">+$C$61*C55</f>
        <v>0</v>
      </c>
      <c r="L55" s="258">
        <f>+'Movimientos-Camaronailon'!K55</f>
        <v>0</v>
      </c>
      <c r="M55" s="259">
        <f>K55+L55</f>
        <v>0</v>
      </c>
      <c r="N55" s="261"/>
      <c r="O55" s="392">
        <f t="shared" si="2"/>
        <v>0</v>
      </c>
      <c r="P55" s="256" t="str">
        <f t="shared" si="3"/>
        <v>0%</v>
      </c>
      <c r="Q55" s="277">
        <f t="shared" ref="Q55" si="297">+$D$61*C55</f>
        <v>0</v>
      </c>
      <c r="R55" s="258">
        <f>+'Movimientos-Camaronailon'!L55</f>
        <v>4.4690000000000001E-2</v>
      </c>
      <c r="S55" s="259">
        <f>Q55+R55</f>
        <v>4.4690000000000001E-2</v>
      </c>
      <c r="T55" s="261"/>
      <c r="U55" s="392">
        <f t="shared" si="4"/>
        <v>4.4690000000000001E-2</v>
      </c>
      <c r="V55" s="276">
        <f t="shared" si="5"/>
        <v>0</v>
      </c>
      <c r="W55" s="262">
        <f t="shared" ref="W55" si="298">+$E$61*C55</f>
        <v>0</v>
      </c>
      <c r="X55" s="258">
        <f>+'Movimientos-Camaronailon'!M55</f>
        <v>4.4690000000000001E-2</v>
      </c>
      <c r="Y55" s="259">
        <f>W55+X55</f>
        <v>4.4690000000000001E-2</v>
      </c>
      <c r="Z55" s="261"/>
      <c r="AA55" s="392">
        <f t="shared" si="6"/>
        <v>4.4690000000000001E-2</v>
      </c>
      <c r="AB55" s="256">
        <f t="shared" si="7"/>
        <v>0</v>
      </c>
      <c r="AC55" s="257">
        <f t="shared" ref="AC55" si="299">+$F$61*C55</f>
        <v>0</v>
      </c>
      <c r="AD55" s="258">
        <f>+'Movimientos-Camaronailon'!N55</f>
        <v>0.98318000000000005</v>
      </c>
      <c r="AE55" s="259">
        <f>AC55+AD55</f>
        <v>0.98318000000000005</v>
      </c>
      <c r="AF55" s="333">
        <f>0.952</f>
        <v>0.95199999999999996</v>
      </c>
      <c r="AG55" s="391">
        <f t="shared" si="8"/>
        <v>3.1180000000000097E-2</v>
      </c>
      <c r="AH55" s="256">
        <f t="shared" si="9"/>
        <v>0.96828658028031478</v>
      </c>
      <c r="AI55" s="277">
        <f t="shared" ref="AI55" si="300">+$G$61*C55</f>
        <v>0</v>
      </c>
      <c r="AJ55" s="258">
        <f>+'Movimientos-Camaronailon'!O55</f>
        <v>0.17876</v>
      </c>
      <c r="AK55" s="259">
        <f>AI55+AJ55</f>
        <v>0.17876</v>
      </c>
      <c r="AL55" s="261">
        <f>+G74</f>
        <v>0.15</v>
      </c>
      <c r="AM55" s="392">
        <f t="shared" si="10"/>
        <v>2.8760000000000008E-2</v>
      </c>
      <c r="AN55" s="276">
        <f t="shared" si="11"/>
        <v>0.83911389572611317</v>
      </c>
      <c r="AO55" s="260">
        <f t="shared" si="195"/>
        <v>0</v>
      </c>
      <c r="AP55" s="258">
        <f>F55+L55+R55+X55+AD55+AJ55</f>
        <v>1.25132</v>
      </c>
      <c r="AQ55" s="259">
        <f>AO55+AP55</f>
        <v>1.25132</v>
      </c>
      <c r="AR55" s="260">
        <f>H55+N55+T55+Z55+AF55+AL55</f>
        <v>1.1019999999999999</v>
      </c>
      <c r="AS55" s="392">
        <f t="shared" si="14"/>
        <v>0.14932000000000012</v>
      </c>
      <c r="AT55" s="276">
        <f t="shared" si="15"/>
        <v>0.88067001246683496</v>
      </c>
      <c r="AU55" s="539">
        <f>AO55+AO56</f>
        <v>0</v>
      </c>
      <c r="AV55" s="541">
        <f>AP55+AP56</f>
        <v>1.25132</v>
      </c>
      <c r="AW55" s="539">
        <f>AU55+AV55</f>
        <v>1.25132</v>
      </c>
      <c r="AX55" s="541">
        <f>AR55+AR56</f>
        <v>1.1019999999999999</v>
      </c>
      <c r="AY55" s="539">
        <f>AW55-AX55</f>
        <v>0.14932000000000012</v>
      </c>
      <c r="AZ55" s="543">
        <v>0</v>
      </c>
    </row>
    <row r="56" spans="1:142">
      <c r="A56" s="582"/>
      <c r="B56" s="581"/>
      <c r="C56" s="579"/>
      <c r="D56" s="305" t="s">
        <v>12</v>
      </c>
      <c r="E56" s="278">
        <f t="shared" ref="E56" si="301">+$B$63*C55</f>
        <v>0</v>
      </c>
      <c r="F56" s="258">
        <f>+'Movimientos-Camaronailon'!J56</f>
        <v>0</v>
      </c>
      <c r="G56" s="265">
        <f>E56+F56+I55</f>
        <v>0</v>
      </c>
      <c r="H56" s="266"/>
      <c r="I56" s="392">
        <f t="shared" si="0"/>
        <v>0</v>
      </c>
      <c r="J56" s="276" t="str">
        <f t="shared" si="1"/>
        <v>0%</v>
      </c>
      <c r="K56" s="255">
        <f t="shared" ref="K56" si="302">+$C$63*C55</f>
        <v>0</v>
      </c>
      <c r="L56" s="258">
        <f>+'Movimientos-Camaronailon'!K56</f>
        <v>0</v>
      </c>
      <c r="M56" s="267">
        <f>O55+K56+L56</f>
        <v>0</v>
      </c>
      <c r="N56" s="258"/>
      <c r="O56" s="251">
        <f t="shared" si="2"/>
        <v>0</v>
      </c>
      <c r="P56" s="256" t="str">
        <f t="shared" si="3"/>
        <v>0%</v>
      </c>
      <c r="Q56" s="277">
        <f t="shared" ref="Q56" si="303">+$D$63*C55</f>
        <v>0</v>
      </c>
      <c r="R56" s="258">
        <f>+'Movimientos-Camaronailon'!L56</f>
        <v>0</v>
      </c>
      <c r="S56" s="267">
        <f>U55+Q56+R56</f>
        <v>4.4690000000000001E-2</v>
      </c>
      <c r="T56" s="258"/>
      <c r="U56" s="251">
        <f t="shared" si="4"/>
        <v>4.4690000000000001E-2</v>
      </c>
      <c r="V56" s="276">
        <f t="shared" si="5"/>
        <v>0</v>
      </c>
      <c r="W56" s="262">
        <f t="shared" ref="W56" si="304">+$E$63*C55</f>
        <v>0</v>
      </c>
      <c r="X56" s="258">
        <f>+'Movimientos-Camaronailon'!M56</f>
        <v>0</v>
      </c>
      <c r="Y56" s="267">
        <f>AA55+W56+X56</f>
        <v>4.4690000000000001E-2</v>
      </c>
      <c r="Z56" s="258"/>
      <c r="AA56" s="251">
        <f t="shared" si="6"/>
        <v>4.4690000000000001E-2</v>
      </c>
      <c r="AB56" s="256">
        <f t="shared" si="7"/>
        <v>0</v>
      </c>
      <c r="AC56" s="257">
        <f t="shared" ref="AC56" si="305">+$F$63*C55</f>
        <v>0</v>
      </c>
      <c r="AD56" s="258">
        <f>+'Movimientos-Camaronailon'!N56</f>
        <v>0</v>
      </c>
      <c r="AE56" s="267">
        <f>AG55+AC56+AD56</f>
        <v>3.1180000000000097E-2</v>
      </c>
      <c r="AF56" s="258"/>
      <c r="AG56" s="391">
        <f t="shared" si="8"/>
        <v>3.1180000000000097E-2</v>
      </c>
      <c r="AH56" s="256">
        <f t="shared" si="9"/>
        <v>0</v>
      </c>
      <c r="AI56" s="277">
        <f t="shared" ref="AI56" si="306">+$G$63*C55</f>
        <v>0</v>
      </c>
      <c r="AJ56" s="258">
        <f>+'Movimientos-Camaronailon'!O56</f>
        <v>0</v>
      </c>
      <c r="AK56" s="267">
        <f>AM55+AI56+AJ56</f>
        <v>2.8760000000000008E-2</v>
      </c>
      <c r="AL56" s="258"/>
      <c r="AM56" s="251">
        <f t="shared" si="10"/>
        <v>2.8760000000000008E-2</v>
      </c>
      <c r="AN56" s="276">
        <f t="shared" si="11"/>
        <v>0</v>
      </c>
      <c r="AO56" s="258">
        <f t="shared" si="195"/>
        <v>0</v>
      </c>
      <c r="AP56" s="258">
        <f>F56+L56+R56+X56+AD56+AJ56</f>
        <v>0</v>
      </c>
      <c r="AQ56" s="267">
        <f>AS55+AO56+AP56</f>
        <v>0.14932000000000012</v>
      </c>
      <c r="AR56" s="258">
        <f t="shared" ref="AR56" si="307">H56+N56+T56+Z56+AF56+AL56</f>
        <v>0</v>
      </c>
      <c r="AS56" s="251">
        <f t="shared" si="14"/>
        <v>0.14932000000000012</v>
      </c>
      <c r="AT56" s="276">
        <f t="shared" si="15"/>
        <v>0</v>
      </c>
      <c r="AU56" s="546"/>
      <c r="AV56" s="542"/>
      <c r="AW56" s="540"/>
      <c r="AX56" s="542"/>
      <c r="AY56" s="540"/>
      <c r="AZ56" s="544"/>
    </row>
    <row r="57" spans="1:142" s="234" customFormat="1" ht="12" customHeight="1">
      <c r="A57" s="306"/>
      <c r="B57" s="583" t="s">
        <v>115</v>
      </c>
      <c r="C57" s="565">
        <f>SUM(C9:C56)</f>
        <v>0.99999969999999982</v>
      </c>
      <c r="D57" s="307" t="s">
        <v>11</v>
      </c>
      <c r="E57" s="279">
        <f>+E9+E11+E13+E15+E17+E19+E21+E23+E25+E27+E29+E31+E33+E35+E37+E39+E41+E43+E45+E47+E49+E51+E53+E55</f>
        <v>41.999987399999988</v>
      </c>
      <c r="F57" s="279">
        <f>+F9+F11+F13+F15+F17+F19+F21+F23+F25+F27+F29+F31+F33+F35+F37+F39+F41+F43+F45+F47+F49+F51+F53+F55</f>
        <v>2.2204460492503131E-16</v>
      </c>
      <c r="G57" s="280">
        <f>+E57+F57</f>
        <v>41.999987399999988</v>
      </c>
      <c r="H57" s="279">
        <f>+H9+H11+H13+H15+H17+H19+H21+H23+H25+H27+H29+H31+H33+H35+H37+H39+H41+H43+H45+H47+H49+H51+H53+H55</f>
        <v>0</v>
      </c>
      <c r="I57" s="281">
        <f>G57-H57</f>
        <v>41.999987399999988</v>
      </c>
      <c r="J57" s="282">
        <f>H57/G57</f>
        <v>0</v>
      </c>
      <c r="K57" s="283">
        <f>+K9+K11+K13+K15+K17+K19+K21+K23+K25+K27+K29+K31+K33+K35+K37+K39+K41+K43+K45+K47+K49+K51+K53+K55</f>
        <v>676.99979689999986</v>
      </c>
      <c r="L57" s="284">
        <f>+L9+L11+L13+L15+L17+L19+L21+L23+L25+L27+L29+L31+L33+L35+L37+L39+L41+L43+L45+L47+L49+L51+L53+L55</f>
        <v>21.981999999999999</v>
      </c>
      <c r="M57" s="285">
        <f>+K57+L57</f>
        <v>698.98179689999984</v>
      </c>
      <c r="N57" s="284">
        <f>+N9+N11+N13+N15+N17+N19+N21+N23+N25+N27+N29+N31+N33+N35+N37+N39+N41+N43+N45+N47+N49+N51+N53+N55</f>
        <v>179.82400000000001</v>
      </c>
      <c r="O57" s="286">
        <f>M57-N57</f>
        <v>519.15779689999977</v>
      </c>
      <c r="P57" s="323">
        <f>N57/M57</f>
        <v>0.25726564096164384</v>
      </c>
      <c r="Q57" s="279">
        <f>+Q9+Q11+Q13+Q15+Q17+Q19+Q21+Q23+Q25+Q27+Q29+Q31+Q33+Q35+Q37+Q39+Q41+Q43+Q45+Q47+Q49+Q51+Q53+Q55</f>
        <v>854.99974350000036</v>
      </c>
      <c r="R57" s="279">
        <f>+R9+R11+R13+R15+R17+R19+R21+R23+R25+R27+R29+R31+R33+R35+R37+R39+R41+R43+R45+R47+R49+R51+R53+R55</f>
        <v>-5.5649929109335972E-15</v>
      </c>
      <c r="S57" s="280">
        <f>+Q57+R57</f>
        <v>854.99974350000036</v>
      </c>
      <c r="T57" s="279">
        <f>+T9+T11+T13+T15+T17+T19+T21+T23+T25+T27+T29+T31+T33+T35+T37+T39+T41+T43+T45+T47+T49+T51+T53+T55</f>
        <v>528.05600000000004</v>
      </c>
      <c r="U57" s="281">
        <f>S57-T57</f>
        <v>326.94374350000032</v>
      </c>
      <c r="V57" s="282">
        <f>T57/S57</f>
        <v>0.61760954200800855</v>
      </c>
      <c r="W57" s="287">
        <f>+W9+W11+W13+W15+W17+W19+W21+W23+W25+W27+W29+W31+W33+W35+W37+W39+W41+W43+W45+W47+W49+W51+W53+W55</f>
        <v>629.99981100000014</v>
      </c>
      <c r="X57" s="288">
        <f>+X9+X11+X13+X15+X17+X19+X21+X23+X25+X27+X29+X31+X33+X35+X37+X39+X41+X43+X45+X47+X49+X51+X53+X55</f>
        <v>-5.5649929109335972E-15</v>
      </c>
      <c r="Y57" s="289">
        <f>+W57+X57</f>
        <v>629.99981100000014</v>
      </c>
      <c r="Z57" s="288">
        <f>+Z9+Z11+Z13+Z15+Z17+Z19+Z21+Z23+Z25+Z27+Z29+Z31+Z33+Z35+Z37+Z39+Z41+Z43+Z45+Z47+Z49+Z51+Z53+Z55</f>
        <v>383.68</v>
      </c>
      <c r="AA57" s="290">
        <f>Y57-Z57</f>
        <v>246.31981100000013</v>
      </c>
      <c r="AB57" s="291">
        <f>Z57/Y57</f>
        <v>0.60901605572068962</v>
      </c>
      <c r="AC57" s="292">
        <f>+AC9+AC11+AC13+AC15+AC17+AC19+AC21+AC23+AC25+AC27+AC29+AC31+AC33+AC35+AC37+AC39+AC41+AC43+AC45+AC47+AC49+AC51+AC53+AC55</f>
        <v>1304.9996084999996</v>
      </c>
      <c r="AD57" s="293">
        <f>+AD9+AD11+AD13+AD15+AD17+AD19+AD21+AD23+AD25+AD27+AD29+AD31+AD33+AD35+AD37+AD39+AD41+AD43+AD45+AD47+AD49+AD51+AD53+AD55</f>
        <v>2.4424906541753444E-15</v>
      </c>
      <c r="AE57" s="294">
        <f>+AC57+AD57</f>
        <v>1304.9996084999996</v>
      </c>
      <c r="AF57" s="293">
        <f>+AF9+AF11+AF13+AF15+AF17+AF19+AF21+AF23+AF25+AF27+AF29+AF31+AF33+AF35+AF37+AF39+AF41+AF43+AF45+AF47+AF49+AF51+AF53+AF55</f>
        <v>1038.5090000000002</v>
      </c>
      <c r="AG57" s="295">
        <f>AE57-AF57</f>
        <v>266.49060849999933</v>
      </c>
      <c r="AH57" s="327">
        <f>AF57/AE57</f>
        <v>0.79579257590252417</v>
      </c>
      <c r="AI57" s="296">
        <f>+AI9+AI11+AI13+AI15+AI17+AI19+AI21+AI23+AI25+AI27+AI29+AI31+AI33+AI35+AI37+AI39+AI41+AI43+AI45+AI47+AI49+AI51+AI53+AI55</f>
        <v>512.99984610000001</v>
      </c>
      <c r="AJ57" s="296">
        <f>+AJ9+AJ11+AJ13+AJ15+AJ17+AJ19+AJ21+AJ23+AJ25+AJ27+AJ29+AJ31+AJ33+AJ35+AJ37+AJ39+AJ41+AJ43+AJ45+AJ47+AJ49+AJ51+AJ53+AJ55</f>
        <v>1.8318679906315083E-15</v>
      </c>
      <c r="AK57" s="297">
        <f>+AI57+AJ57</f>
        <v>512.99984610000001</v>
      </c>
      <c r="AL57" s="296">
        <f>+AL9+AL11+AL13+AL15+AL17+AL19+AL21+AL23+AL25+AL27+AL29+AL31+AL33+AL35+AL37+AL39+AL41+AL43+AL45+AL47+AL49+AL51+AL53+AL55</f>
        <v>114.25</v>
      </c>
      <c r="AM57" s="298">
        <f>AK57-AL57</f>
        <v>398.74984610000001</v>
      </c>
      <c r="AN57" s="328">
        <f>AL57/AK57</f>
        <v>0.22270961846980561</v>
      </c>
      <c r="AO57" s="299">
        <f>+AO9+AO11+AO13+AO15+AO17+AO19+AO21+AO23+AO25+AO27+AO29+AO31+AO33+AO35+AO37+AO39+AO41+AO43+AO45+AO47+AO49+AO51+AO53+AO55</f>
        <v>4021.9987934000005</v>
      </c>
      <c r="AP57" s="299">
        <f>+AP9+AP11+AP13+AP15+AP17+AP19+AP21+AP23+AP25+AP27+AP29+AP31+AP33+AP35+AP37+AP39+AP41+AP43+AP45+AP47+AP49+AP51+AP53+AP55</f>
        <v>21.982000000000014</v>
      </c>
      <c r="AQ57" s="300">
        <f>+AO57+AP57</f>
        <v>4043.9807934000005</v>
      </c>
      <c r="AR57" s="299">
        <f>+AR9+AR11+AR13+AR15+AR17+AR19+AR21+AR23+AR25+AR27+AR29+AR31+AR33+AR35+AR37+AR39+AR41+AR43+AR45+AR47+AR49+AR51+AR53+AR55</f>
        <v>2244.319</v>
      </c>
      <c r="AS57" s="301">
        <f>AQ57-AR57</f>
        <v>1799.6617934000005</v>
      </c>
      <c r="AT57" s="325">
        <f>AR57/AQ57</f>
        <v>0.55497766054251596</v>
      </c>
      <c r="AU57" s="567">
        <f>SUM(AU9:AU56)</f>
        <v>4468.9986592999994</v>
      </c>
      <c r="AV57" s="568">
        <f>SUM(AV9:AV56)</f>
        <v>21.982000000000014</v>
      </c>
      <c r="AW57" s="570">
        <f>+AU57+AV57</f>
        <v>4490.9806592999994</v>
      </c>
      <c r="AX57" s="572">
        <f>SUM(AX9:AX56)</f>
        <v>2892.1730000000002</v>
      </c>
      <c r="AY57" s="574">
        <f>AW57-AX57</f>
        <v>1598.8076592999992</v>
      </c>
      <c r="AZ57" s="653">
        <f>AX57/AW57</f>
        <v>0.64399587070383812</v>
      </c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2"/>
      <c r="BX57" s="232"/>
      <c r="BY57" s="232"/>
      <c r="BZ57" s="232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32"/>
      <c r="CL57" s="232"/>
      <c r="CM57" s="232"/>
      <c r="CN57" s="232"/>
      <c r="CO57" s="232"/>
      <c r="CP57" s="232"/>
      <c r="CQ57" s="232"/>
      <c r="CR57" s="232"/>
      <c r="CS57" s="232"/>
      <c r="CT57" s="232"/>
      <c r="CU57" s="232"/>
      <c r="CV57" s="232"/>
      <c r="CW57" s="232"/>
      <c r="CX57" s="232"/>
      <c r="CY57" s="232"/>
      <c r="CZ57" s="232"/>
      <c r="DA57" s="232"/>
      <c r="DB57" s="232"/>
      <c r="DC57" s="232"/>
      <c r="DD57" s="232"/>
      <c r="DE57" s="232"/>
      <c r="DF57" s="232"/>
      <c r="DG57" s="232"/>
      <c r="DH57" s="232"/>
      <c r="DI57" s="232"/>
      <c r="DJ57" s="232"/>
      <c r="DK57" s="232"/>
      <c r="DL57" s="232"/>
      <c r="DM57" s="232"/>
      <c r="DN57" s="232"/>
      <c r="DO57" s="232"/>
      <c r="DP57" s="232"/>
      <c r="DQ57" s="232"/>
      <c r="DR57" s="232"/>
      <c r="DS57" s="232"/>
      <c r="DT57" s="232"/>
      <c r="DU57" s="232"/>
      <c r="DV57" s="232"/>
      <c r="DW57" s="232"/>
      <c r="DX57" s="232"/>
      <c r="DY57" s="232"/>
      <c r="DZ57" s="232"/>
      <c r="EA57" s="232"/>
      <c r="EB57" s="232"/>
      <c r="EC57" s="232"/>
      <c r="ED57" s="232"/>
      <c r="EE57" s="232"/>
      <c r="EF57" s="232"/>
      <c r="EG57" s="232"/>
      <c r="EH57" s="232"/>
      <c r="EI57" s="232"/>
      <c r="EJ57" s="232"/>
      <c r="EK57" s="232"/>
      <c r="EL57" s="232"/>
    </row>
    <row r="58" spans="1:142" s="234" customFormat="1" ht="12" customHeight="1">
      <c r="A58" s="308"/>
      <c r="B58" s="584"/>
      <c r="C58" s="566"/>
      <c r="D58" s="309" t="s">
        <v>12</v>
      </c>
      <c r="E58" s="279">
        <f>+E10+E12+E14+E16+E18+E20+E22+E24+E26+E28+E30+E32+E34+E36+E38+E40+E42+E44+E46+E48+E50+E52+E54+E56</f>
        <v>4.9999985000000011</v>
      </c>
      <c r="F58" s="279">
        <f>+F10+F12+F14+F16+F18+F20+F22+F24+F26+F28+F30+F32+F34+F36+F38+F40+F42+F44+F46+F48+F50+F52+F54+F56</f>
        <v>0</v>
      </c>
      <c r="G58" s="280">
        <f>+E58+F58</f>
        <v>4.9999985000000011</v>
      </c>
      <c r="H58" s="279">
        <f>+H10+H12+H14+H16+H18+H20+H22+H24+H26+H28+H30+H32+H34+H36+H38+H40+H42+H44+H46+H48+H50+H52+H54+H56</f>
        <v>0</v>
      </c>
      <c r="I58" s="281">
        <f>G58-H58</f>
        <v>4.9999985000000011</v>
      </c>
      <c r="J58" s="282">
        <f>H58/G58</f>
        <v>0</v>
      </c>
      <c r="K58" s="283">
        <f>+K10+K12+K14+K16+K18+K20+K22+K24+K26+K28+K30+K32+K34+K36+K38+K40+K42+K44+K46+K48+K50+K52+K54+K56</f>
        <v>74.999977499999986</v>
      </c>
      <c r="L58" s="284">
        <f>+L10+L12+L14+L16+L18+L20+L22+L24+L26+L28+L30+L32+L34+L36+L38+L40+L42+L44+L46+L48+L50+L52+L54+L56</f>
        <v>0</v>
      </c>
      <c r="M58" s="285">
        <f>+K58+L58</f>
        <v>74.999977499999986</v>
      </c>
      <c r="N58" s="284">
        <f>+N10+N12+N14+N16+N18+N20+N22+N24+N26+N28+N30+N32+N34+N36+N38+N40+N42+N44+N46+N48+N50+N52+N54+N56</f>
        <v>35.725000000000001</v>
      </c>
      <c r="O58" s="286">
        <f>M58-N58</f>
        <v>39.274977499999984</v>
      </c>
      <c r="P58" s="323">
        <f>N58/M58</f>
        <v>0.4763334762333763</v>
      </c>
      <c r="Q58" s="279">
        <f>+Q10+Q12+Q14+Q16+Q18+Q20+Q22+Q24+Q26+Q28+Q30+Q32+Q34+Q36+Q38+Q40+Q42+Q44+Q46+Q48+Q50+Q52+Q54+Q56</f>
        <v>94.999971500000015</v>
      </c>
      <c r="R58" s="279">
        <f>+R10+R12+R14+R16+R18+R20+R22+R24+R26+R28+R30+R32+R34+R36+R38+R40+R42+R44+R46+R48+R50+R52+R54+R56</f>
        <v>0</v>
      </c>
      <c r="S58" s="280">
        <f>+Q58+R58</f>
        <v>94.999971500000015</v>
      </c>
      <c r="T58" s="279">
        <f>+T10+T12+T14+T16+T18+T20+T22+T24+T26+T28+T30+T32+T34+T36+T38+T40+T42+T44+T46+T48+T50+T52+T54+T56</f>
        <v>146.04</v>
      </c>
      <c r="U58" s="281">
        <f>S58-T58</f>
        <v>-51.040028499999977</v>
      </c>
      <c r="V58" s="282">
        <f>T58/S58</f>
        <v>1.5372636190738223</v>
      </c>
      <c r="W58" s="287">
        <f>+W10+W12+W14+W16+W18+W20+W22+W24+W26+W28+W30+W32+W34+W36+W38+W40+W42+W44+W46+W48+W50+W52+W54+W56</f>
        <v>69.999978999999996</v>
      </c>
      <c r="X58" s="288">
        <f>+X10+X12+X14+X16+X18+X20+X22+X24+X26+X28+X30+X32+X34+X36+X38+X40+X42+X44+X46+X48+X50+X52+X54+X56</f>
        <v>0</v>
      </c>
      <c r="Y58" s="289">
        <f>+W58+X58</f>
        <v>69.999978999999996</v>
      </c>
      <c r="Z58" s="288">
        <f>+Z10+Z12+Z14+Z16+Z18+Z20+Z22+Z24+Z26+Z28+Z30+Z32+Z34+Z36+Z38+Z40+Z42+Z44+Z46+Z48+Z50+Z52+Z54+Z56</f>
        <v>117.985</v>
      </c>
      <c r="AA58" s="290">
        <f>Y58-Z58</f>
        <v>-47.985021000000003</v>
      </c>
      <c r="AB58" s="291">
        <f>Z58/Y58</f>
        <v>1.6855005056501517</v>
      </c>
      <c r="AC58" s="292">
        <f>+AC10+AC12+AC14+AC16+AC18+AC20+AC22+AC24+AC26+AC28+AC30+AC32+AC34+AC36+AC38+AC40+AC42+AC44+AC46+AC48+AC50+AC52+AC54+AC56</f>
        <v>144.99995650000002</v>
      </c>
      <c r="AD58" s="293">
        <f>+AD10+AD12+AD14+AD16+AD18+AD20+AD22+AD24+AD26+AD28+AD30+AD32+AD34+AD36+AD38+AD40+AD42+AD44+AD46+AD48+AD50+AD52+AD54+AD56</f>
        <v>0</v>
      </c>
      <c r="AE58" s="294">
        <f>+AC58+AD58</f>
        <v>144.99995650000002</v>
      </c>
      <c r="AF58" s="293">
        <f>+AF10+AF12+AF14+AF16+AF18+AF20+AF22+AF24+AF26+AF28+AF30+AF32+AF34+AF36+AF38+AF40+AF42+AF44+AF46+AF48+AF50+AF52+AF54+AF56</f>
        <v>221.13800000000001</v>
      </c>
      <c r="AG58" s="295">
        <f>AE58-AF58</f>
        <v>-76.138043499999981</v>
      </c>
      <c r="AH58" s="327">
        <f>AF58/AE58</f>
        <v>1.5250901126994474</v>
      </c>
      <c r="AI58" s="296">
        <f>+AI10+AI12+AI14+AI16+AI18+AI20+AI22+AI24+AI26+AI28+AI30+AI32+AI34+AI36+AI38+AI40+AI42+AI44+AI46+AI48+AI50+AI52+AI54+AI56</f>
        <v>56.999982900000013</v>
      </c>
      <c r="AJ58" s="296">
        <f>+AJ10+AJ12+AJ14+AJ16+AJ18+AJ20+AJ22+AJ24+AJ26+AJ28+AJ30+AJ32+AJ34+AJ36+AJ38+AJ40+AJ42+AJ44+AJ46+AJ48+AJ50+AJ52+AJ54+AJ56</f>
        <v>0</v>
      </c>
      <c r="AK58" s="297">
        <f>+AI58+AJ58</f>
        <v>56.999982900000013</v>
      </c>
      <c r="AL58" s="296">
        <f>+AL10+AL12+AL14+AL16+AL18+AL20+AL22+AL24+AL26+AL28+AL30+AL32+AL34+AL36+AL38+AL40+AL42+AL44+AL46+AL48+AL50+AL52+AL54+AL56</f>
        <v>126.96599999999999</v>
      </c>
      <c r="AM58" s="298">
        <f>AK58-AL58</f>
        <v>-69.966017099999988</v>
      </c>
      <c r="AN58" s="328">
        <f>AL58/AK58</f>
        <v>2.2274743524528313</v>
      </c>
      <c r="AO58" s="299">
        <f>+AO10+AO12+AO14+AO16+AO18+AO20+AO22+AO24+AO26+AO28+AO30+AO32+AO34+AO36+AO38+AO40+AO42+AO44+AO46+AO48+AO50+AO52+AO54+AO56</f>
        <v>446.99986590000009</v>
      </c>
      <c r="AP58" s="299">
        <f>+AP10+AP12+AP14+AP16+AP18+AP20+AP22+AP24+AP26+AP28+AP30+AP32+AP34+AP36+AP38+AP40+AP42+AP44+AP46+AP48+AP50+AP52+AP54+AP56</f>
        <v>0</v>
      </c>
      <c r="AQ58" s="300">
        <f>+AO58+AP58</f>
        <v>446.99986590000009</v>
      </c>
      <c r="AR58" s="299">
        <f>+AR10+AR12+AR14+AR16+AR18+AR20+AR22+AR24+AR26+AR28+AR30+AR32+AR34+AR36+AR38+AR40+AR42+AR44+AR46+AR48+AR50+AR52+AR54+AR56</f>
        <v>647.85400000000004</v>
      </c>
      <c r="AS58" s="301">
        <f>AQ58-AR58</f>
        <v>-200.85413409999995</v>
      </c>
      <c r="AT58" s="325">
        <f>AR58/AQ58</f>
        <v>1.4493382424077366</v>
      </c>
      <c r="AU58" s="567"/>
      <c r="AV58" s="569"/>
      <c r="AW58" s="571"/>
      <c r="AX58" s="573"/>
      <c r="AY58" s="575"/>
      <c r="AZ58" s="654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2"/>
      <c r="BZ58" s="232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32"/>
      <c r="CL58" s="232"/>
      <c r="CM58" s="232"/>
      <c r="CN58" s="232"/>
      <c r="CO58" s="232"/>
      <c r="CP58" s="232"/>
      <c r="CQ58" s="232"/>
      <c r="CR58" s="232"/>
      <c r="CS58" s="232"/>
      <c r="CT58" s="232"/>
      <c r="CU58" s="232"/>
      <c r="CV58" s="232"/>
      <c r="CW58" s="232"/>
      <c r="CX58" s="232"/>
      <c r="CY58" s="232"/>
      <c r="CZ58" s="232"/>
      <c r="DA58" s="232"/>
      <c r="DB58" s="232"/>
      <c r="DC58" s="232"/>
      <c r="DD58" s="232"/>
      <c r="DE58" s="232"/>
      <c r="DF58" s="232"/>
      <c r="DG58" s="232"/>
      <c r="DH58" s="232"/>
      <c r="DI58" s="232"/>
      <c r="DJ58" s="232"/>
      <c r="DK58" s="232"/>
      <c r="DL58" s="232"/>
      <c r="DM58" s="232"/>
      <c r="DN58" s="232"/>
      <c r="DO58" s="232"/>
      <c r="DP58" s="232"/>
      <c r="DQ58" s="232"/>
      <c r="DR58" s="232"/>
      <c r="DS58" s="232"/>
      <c r="DT58" s="232"/>
      <c r="DU58" s="232"/>
      <c r="DV58" s="232"/>
      <c r="DW58" s="232"/>
      <c r="DX58" s="232"/>
      <c r="DY58" s="232"/>
      <c r="DZ58" s="232"/>
      <c r="EA58" s="232"/>
      <c r="EB58" s="232"/>
      <c r="EC58" s="232"/>
      <c r="ED58" s="232"/>
      <c r="EE58" s="232"/>
      <c r="EF58" s="232"/>
      <c r="EG58" s="232"/>
      <c r="EH58" s="232"/>
      <c r="EI58" s="232"/>
      <c r="EJ58" s="232"/>
      <c r="EK58" s="232"/>
      <c r="EL58" s="232"/>
    </row>
    <row r="59" spans="1:142" ht="19.149999999999999" customHeight="1">
      <c r="N59" s="436">
        <f>SUM(N57:N58)</f>
        <v>215.54900000000001</v>
      </c>
      <c r="T59" s="436">
        <f>SUM(T57:T58)</f>
        <v>674.096</v>
      </c>
      <c r="Z59" s="436">
        <f>SUM(Z57:Z58)</f>
        <v>501.66500000000002</v>
      </c>
      <c r="AX59" s="240">
        <f>+AX57-H75</f>
        <v>647.85400000000027</v>
      </c>
    </row>
    <row r="60" spans="1:142" s="310" customFormat="1" ht="12" customHeight="1">
      <c r="A60" s="318" t="s">
        <v>132</v>
      </c>
      <c r="B60" s="319" t="s">
        <v>84</v>
      </c>
      <c r="C60" s="320" t="s">
        <v>85</v>
      </c>
      <c r="D60" s="320" t="s">
        <v>86</v>
      </c>
      <c r="E60" s="320" t="s">
        <v>87</v>
      </c>
      <c r="F60" s="319" t="s">
        <v>88</v>
      </c>
      <c r="G60" s="319" t="s">
        <v>89</v>
      </c>
      <c r="H60" s="319" t="s">
        <v>160</v>
      </c>
      <c r="T60" s="312"/>
      <c r="Z60" s="312"/>
      <c r="AF60" s="312"/>
      <c r="AG60" s="313"/>
      <c r="AL60" s="312"/>
    </row>
    <row r="61" spans="1:142" s="310" customFormat="1" ht="12" customHeight="1">
      <c r="A61" s="314" t="s">
        <v>105</v>
      </c>
      <c r="B61" s="241">
        <v>42</v>
      </c>
      <c r="C61" s="241">
        <v>677</v>
      </c>
      <c r="D61" s="241">
        <v>855</v>
      </c>
      <c r="E61" s="241">
        <v>630</v>
      </c>
      <c r="F61" s="241">
        <v>1305</v>
      </c>
      <c r="G61" s="241">
        <v>513</v>
      </c>
      <c r="H61" s="241">
        <f>SUM(B61:G61)</f>
        <v>4022</v>
      </c>
      <c r="T61" s="312"/>
      <c r="AF61" s="312"/>
      <c r="AG61" s="313"/>
      <c r="AL61" s="312"/>
    </row>
    <row r="62" spans="1:142" s="310" customFormat="1" ht="12" customHeight="1">
      <c r="A62" s="382" t="s">
        <v>188</v>
      </c>
      <c r="B62" s="383" t="s">
        <v>187</v>
      </c>
      <c r="C62" s="383" t="s">
        <v>187</v>
      </c>
      <c r="D62" s="383" t="s">
        <v>187</v>
      </c>
      <c r="E62" s="383" t="s">
        <v>187</v>
      </c>
      <c r="F62" s="383" t="s">
        <v>187</v>
      </c>
      <c r="G62" s="383" t="s">
        <v>187</v>
      </c>
      <c r="H62" s="383" t="s">
        <v>187</v>
      </c>
      <c r="T62" s="312"/>
      <c r="AF62" s="312"/>
      <c r="AG62" s="313"/>
      <c r="AL62" s="312"/>
    </row>
    <row r="63" spans="1:142" s="310" customFormat="1" ht="12" customHeight="1">
      <c r="A63" s="314" t="s">
        <v>106</v>
      </c>
      <c r="B63" s="241">
        <v>5</v>
      </c>
      <c r="C63" s="241">
        <v>75</v>
      </c>
      <c r="D63" s="241">
        <v>95</v>
      </c>
      <c r="E63" s="241">
        <v>70</v>
      </c>
      <c r="F63" s="241">
        <v>145</v>
      </c>
      <c r="G63" s="241">
        <v>57</v>
      </c>
      <c r="H63" s="241">
        <f>SUM(B63:G63)</f>
        <v>447</v>
      </c>
      <c r="T63" s="312"/>
      <c r="V63" s="315"/>
      <c r="Z63" s="312"/>
      <c r="AF63" s="312"/>
      <c r="AL63" s="312"/>
      <c r="AX63" s="315"/>
    </row>
    <row r="64" spans="1:142" s="310" customFormat="1" ht="12" customHeight="1">
      <c r="A64" s="321" t="s">
        <v>107</v>
      </c>
      <c r="B64" s="241">
        <f>SUM(B61:B63)</f>
        <v>47</v>
      </c>
      <c r="C64" s="241">
        <f t="shared" ref="C64" si="308">SUM(C61:C63)</f>
        <v>752</v>
      </c>
      <c r="D64" s="241">
        <f>SUM(D61:D63)</f>
        <v>950</v>
      </c>
      <c r="E64" s="241">
        <f>SUM(E61:E63)</f>
        <v>700</v>
      </c>
      <c r="F64" s="241">
        <f>SUM(F61:F63)</f>
        <v>1450</v>
      </c>
      <c r="G64" s="241">
        <f>SUM(G61:G63)</f>
        <v>570</v>
      </c>
      <c r="H64" s="241">
        <f>SUM(H61:H63)</f>
        <v>4469</v>
      </c>
      <c r="AF64" s="315"/>
      <c r="AG64" s="313"/>
      <c r="AK64" s="315"/>
      <c r="AX64" s="315"/>
    </row>
    <row r="65" spans="1:33" s="310" customFormat="1" ht="24.6" customHeight="1">
      <c r="AG65" s="313"/>
    </row>
    <row r="66" spans="1:33" s="310" customFormat="1">
      <c r="AG66" s="313"/>
    </row>
    <row r="67" spans="1:33" s="310" customFormat="1">
      <c r="A67" s="335" t="s">
        <v>147</v>
      </c>
      <c r="B67" s="336">
        <v>3</v>
      </c>
      <c r="C67" s="339">
        <v>4</v>
      </c>
      <c r="D67" s="339">
        <v>5</v>
      </c>
      <c r="E67" s="339">
        <v>6</v>
      </c>
      <c r="F67" s="339">
        <v>7</v>
      </c>
      <c r="G67" s="339">
        <v>8</v>
      </c>
      <c r="H67" s="340" t="s">
        <v>121</v>
      </c>
      <c r="I67" s="316"/>
      <c r="AG67" s="313"/>
    </row>
    <row r="68" spans="1:33" s="310" customFormat="1">
      <c r="A68" s="317" t="s">
        <v>91</v>
      </c>
      <c r="B68" s="41"/>
      <c r="C68" s="41">
        <v>43.957999999999998</v>
      </c>
      <c r="D68" s="41">
        <v>132.21700000000001</v>
      </c>
      <c r="E68" s="41">
        <v>28.753</v>
      </c>
      <c r="F68" s="41">
        <v>243.35800000000006</v>
      </c>
      <c r="G68" s="41">
        <v>62.639000000000003</v>
      </c>
      <c r="H68" s="136">
        <f>SUM(C68:G68)</f>
        <v>510.92500000000007</v>
      </c>
      <c r="I68" s="316"/>
      <c r="AG68" s="313"/>
    </row>
    <row r="69" spans="1:33" s="310" customFormat="1">
      <c r="A69" s="317" t="s">
        <v>93</v>
      </c>
      <c r="B69" s="41"/>
      <c r="C69" s="41">
        <v>7.069</v>
      </c>
      <c r="D69" s="41">
        <v>50.086999999999996</v>
      </c>
      <c r="E69" s="41">
        <v>47.292000000000002</v>
      </c>
      <c r="F69" s="41">
        <v>190.154</v>
      </c>
      <c r="G69" s="41">
        <v>3.585</v>
      </c>
      <c r="H69" s="136">
        <f t="shared" ref="H69:H74" si="309">SUM(C69:G69)</f>
        <v>298.18699999999995</v>
      </c>
      <c r="I69" s="316"/>
      <c r="AG69" s="313"/>
    </row>
    <row r="70" spans="1:33" s="310" customFormat="1">
      <c r="A70" s="317" t="s">
        <v>145</v>
      </c>
      <c r="B70" s="41"/>
      <c r="C70" s="41">
        <v>53.346000000000011</v>
      </c>
      <c r="D70" s="41">
        <f>144.264</f>
        <v>144.26400000000001</v>
      </c>
      <c r="E70" s="41">
        <v>157.25500000000002</v>
      </c>
      <c r="F70" s="41">
        <v>286.64299999999992</v>
      </c>
      <c r="G70" s="41">
        <v>43.731000000000002</v>
      </c>
      <c r="H70" s="136">
        <f t="shared" si="309"/>
        <v>685.23899999999992</v>
      </c>
      <c r="I70" s="316"/>
      <c r="AG70" s="313"/>
    </row>
    <row r="71" spans="1:33" s="310" customFormat="1">
      <c r="A71" s="317" t="s">
        <v>146</v>
      </c>
      <c r="B71" s="41"/>
      <c r="C71" s="41">
        <v>75.451000000000008</v>
      </c>
      <c r="D71" s="41">
        <v>201.256</v>
      </c>
      <c r="E71" s="41">
        <v>149.38000000000005</v>
      </c>
      <c r="F71" s="41">
        <v>309.07100000000008</v>
      </c>
      <c r="G71" s="41"/>
      <c r="H71" s="136">
        <f t="shared" si="309"/>
        <v>735.15800000000013</v>
      </c>
      <c r="I71" s="316"/>
      <c r="AG71" s="313"/>
    </row>
    <row r="72" spans="1:33" s="310" customFormat="1">
      <c r="A72" s="317" t="s">
        <v>34</v>
      </c>
      <c r="B72" s="41"/>
      <c r="C72" s="41"/>
      <c r="D72" s="41">
        <v>0.23200000000000001</v>
      </c>
      <c r="E72" s="41"/>
      <c r="F72" s="41">
        <v>3.335</v>
      </c>
      <c r="G72" s="41">
        <v>1.7370000000000003</v>
      </c>
      <c r="H72" s="136">
        <f t="shared" si="309"/>
        <v>5.3040000000000003</v>
      </c>
      <c r="I72" s="316"/>
      <c r="AG72" s="313"/>
    </row>
    <row r="73" spans="1:33" s="310" customFormat="1" ht="16.899999999999999" customHeight="1">
      <c r="A73" s="317" t="s">
        <v>152</v>
      </c>
      <c r="B73" s="41"/>
      <c r="C73" s="41"/>
      <c r="D73" s="41"/>
      <c r="E73" s="41">
        <v>1</v>
      </c>
      <c r="F73" s="41">
        <v>4.9960000000000004</v>
      </c>
      <c r="G73" s="41">
        <v>2.4079999999999999</v>
      </c>
      <c r="H73" s="136">
        <f t="shared" si="309"/>
        <v>8.4039999999999999</v>
      </c>
      <c r="I73" s="384"/>
      <c r="AG73" s="313"/>
    </row>
    <row r="74" spans="1:33" s="310" customFormat="1" ht="12" customHeight="1">
      <c r="A74" s="317" t="s">
        <v>153</v>
      </c>
      <c r="C74" s="338"/>
      <c r="D74" s="338"/>
      <c r="E74" s="346"/>
      <c r="F74" s="374">
        <v>0.95199999999999996</v>
      </c>
      <c r="G74" s="375">
        <v>0.15</v>
      </c>
      <c r="H74" s="136">
        <f t="shared" si="309"/>
        <v>1.1019999999999999</v>
      </c>
      <c r="I74" s="384"/>
      <c r="AG74" s="313"/>
    </row>
    <row r="75" spans="1:33" s="310" customFormat="1">
      <c r="A75" s="334"/>
      <c r="B75" s="337" t="s">
        <v>121</v>
      </c>
      <c r="C75" s="339">
        <f t="shared" ref="C75:G75" si="310">SUM(C68:C74)</f>
        <v>179.82400000000001</v>
      </c>
      <c r="D75" s="339">
        <f t="shared" si="310"/>
        <v>528.05599999999993</v>
      </c>
      <c r="E75" s="339">
        <f t="shared" si="310"/>
        <v>383.68000000000006</v>
      </c>
      <c r="F75" s="339">
        <f t="shared" si="310"/>
        <v>1038.5090000000002</v>
      </c>
      <c r="G75" s="339">
        <f t="shared" si="310"/>
        <v>114.25000000000001</v>
      </c>
      <c r="H75" s="341">
        <f>SUM(H68:H74)</f>
        <v>2244.319</v>
      </c>
      <c r="I75" s="385">
        <f>+H75-AX57</f>
        <v>-647.85400000000027</v>
      </c>
      <c r="AG75" s="313"/>
    </row>
    <row r="76" spans="1:33" s="310" customFormat="1">
      <c r="A76" s="386"/>
      <c r="B76" s="386"/>
      <c r="C76" s="387">
        <f>+C75-N57</f>
        <v>0</v>
      </c>
      <c r="D76" s="388">
        <f>+D75-T57</f>
        <v>0</v>
      </c>
      <c r="E76" s="388">
        <f>+E75-Z57</f>
        <v>0</v>
      </c>
      <c r="F76" s="388">
        <f>+F75-AF57</f>
        <v>0</v>
      </c>
      <c r="G76" s="388">
        <f>+G75-AL57</f>
        <v>0</v>
      </c>
      <c r="H76" s="386"/>
      <c r="I76" s="386"/>
      <c r="AG76" s="313"/>
    </row>
    <row r="77" spans="1:33" s="310" customFormat="1">
      <c r="C77" s="311"/>
      <c r="I77" s="386"/>
      <c r="AG77" s="313"/>
    </row>
    <row r="78" spans="1:33" s="310" customFormat="1">
      <c r="C78" s="311"/>
      <c r="I78" s="386"/>
      <c r="AG78" s="313"/>
    </row>
    <row r="79" spans="1:33">
      <c r="I79" s="386"/>
    </row>
    <row r="80" spans="1:33">
      <c r="I80" s="386"/>
    </row>
  </sheetData>
  <mergeCells count="211">
    <mergeCell ref="B53:B54"/>
    <mergeCell ref="B55:B56"/>
    <mergeCell ref="B57:B58"/>
    <mergeCell ref="C55:C56"/>
    <mergeCell ref="C2:R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9:A56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AU27:AU28"/>
    <mergeCell ref="AV27:AV28"/>
    <mergeCell ref="AW27:AW28"/>
    <mergeCell ref="AX27:AX28"/>
    <mergeCell ref="AY27:AY28"/>
    <mergeCell ref="AZ27:AZ28"/>
    <mergeCell ref="AU33:AU34"/>
    <mergeCell ref="AV33:AV34"/>
    <mergeCell ref="AW33:AW34"/>
    <mergeCell ref="AX33:AX34"/>
    <mergeCell ref="AY33:AY34"/>
    <mergeCell ref="AZ33:AZ34"/>
    <mergeCell ref="AU31:AU32"/>
    <mergeCell ref="AV31:AV32"/>
    <mergeCell ref="AW31:AW32"/>
    <mergeCell ref="AX31:AX32"/>
    <mergeCell ref="AY31:AY32"/>
    <mergeCell ref="AZ31:AZ32"/>
    <mergeCell ref="AV29:AV30"/>
    <mergeCell ref="AW29:AW30"/>
    <mergeCell ref="AZ29:AZ30"/>
    <mergeCell ref="AZ41:AZ42"/>
    <mergeCell ref="AU21:AU22"/>
    <mergeCell ref="AV39:AV40"/>
    <mergeCell ref="AZ17:AZ18"/>
    <mergeCell ref="AU23:AU24"/>
    <mergeCell ref="AZ39:AZ40"/>
    <mergeCell ref="AU39:AU40"/>
    <mergeCell ref="AV21:AV22"/>
    <mergeCell ref="AW21:AW22"/>
    <mergeCell ref="AX21:AX22"/>
    <mergeCell ref="AY21:AY22"/>
    <mergeCell ref="AZ21:AZ22"/>
    <mergeCell ref="AV25:AV26"/>
    <mergeCell ref="AW25:AW26"/>
    <mergeCell ref="AX25:AX26"/>
    <mergeCell ref="AY25:AY26"/>
    <mergeCell ref="AZ25:AZ26"/>
    <mergeCell ref="AZ37:AZ38"/>
    <mergeCell ref="AY35:AY36"/>
    <mergeCell ref="AV23:AV24"/>
    <mergeCell ref="AW23:AW24"/>
    <mergeCell ref="AX23:AX24"/>
    <mergeCell ref="AW37:AW38"/>
    <mergeCell ref="AX37:AX38"/>
    <mergeCell ref="AZ35:AZ36"/>
    <mergeCell ref="AW13:AW14"/>
    <mergeCell ref="AX13:AX14"/>
    <mergeCell ref="AY13:AY14"/>
    <mergeCell ref="AZ13:AZ14"/>
    <mergeCell ref="AV19:AV20"/>
    <mergeCell ref="AW19:AW20"/>
    <mergeCell ref="AX19:AX20"/>
    <mergeCell ref="AY19:AY20"/>
    <mergeCell ref="AZ19:AZ20"/>
    <mergeCell ref="C57:C58"/>
    <mergeCell ref="AU57:AU58"/>
    <mergeCell ref="AV57:AV58"/>
    <mergeCell ref="AW57:AW58"/>
    <mergeCell ref="AX57:AX58"/>
    <mergeCell ref="AY57:AY58"/>
    <mergeCell ref="C9:C10"/>
    <mergeCell ref="AY43:AY44"/>
    <mergeCell ref="AZ43:AZ44"/>
    <mergeCell ref="AU43:AU44"/>
    <mergeCell ref="AY39:AY40"/>
    <mergeCell ref="AY55:AY56"/>
    <mergeCell ref="AW49:AW50"/>
    <mergeCell ref="AX49:AX50"/>
    <mergeCell ref="AY49:AY50"/>
    <mergeCell ref="AZ55:AZ56"/>
    <mergeCell ref="AU53:AU54"/>
    <mergeCell ref="AZ57:AZ58"/>
    <mergeCell ref="AX29:AX30"/>
    <mergeCell ref="AY29:AY30"/>
    <mergeCell ref="AU11:AU12"/>
    <mergeCell ref="AV11:AV12"/>
    <mergeCell ref="AW11:AW12"/>
    <mergeCell ref="AX11:AX12"/>
    <mergeCell ref="AO7:AT7"/>
    <mergeCell ref="AU7:AZ7"/>
    <mergeCell ref="E7:J7"/>
    <mergeCell ref="K7:P7"/>
    <mergeCell ref="Q7:V7"/>
    <mergeCell ref="W7:AB7"/>
    <mergeCell ref="AY23:AY24"/>
    <mergeCell ref="AZ23:AZ24"/>
    <mergeCell ref="AU17:AU18"/>
    <mergeCell ref="AU9:AU10"/>
    <mergeCell ref="AV9:AV10"/>
    <mergeCell ref="AW9:AW10"/>
    <mergeCell ref="AX9:AX10"/>
    <mergeCell ref="AY9:AY10"/>
    <mergeCell ref="AV15:AV16"/>
    <mergeCell ref="AW15:AW16"/>
    <mergeCell ref="AX15:AX16"/>
    <mergeCell ref="AY15:AY16"/>
    <mergeCell ref="AZ9:AZ10"/>
    <mergeCell ref="AZ15:AZ16"/>
    <mergeCell ref="AY11:AY12"/>
    <mergeCell ref="AZ11:AZ12"/>
    <mergeCell ref="AU13:AU14"/>
    <mergeCell ref="AV13:AV14"/>
    <mergeCell ref="AW53:AW54"/>
    <mergeCell ref="AX53:AX54"/>
    <mergeCell ref="AY53:AY54"/>
    <mergeCell ref="AZ53:AZ54"/>
    <mergeCell ref="AU51:AU52"/>
    <mergeCell ref="AV51:AV52"/>
    <mergeCell ref="AW51:AW52"/>
    <mergeCell ref="AX51:AX52"/>
    <mergeCell ref="AY51:AY52"/>
    <mergeCell ref="AZ51:AZ52"/>
    <mergeCell ref="AU55:AU56"/>
    <mergeCell ref="AV55:AV56"/>
    <mergeCell ref="AW55:AW56"/>
    <mergeCell ref="AX55:AX56"/>
    <mergeCell ref="AU15:AU16"/>
    <mergeCell ref="AU37:AU38"/>
    <mergeCell ref="AU19:AU20"/>
    <mergeCell ref="AU25:AU26"/>
    <mergeCell ref="AU45:AU46"/>
    <mergeCell ref="AV45:AV46"/>
    <mergeCell ref="AW45:AW46"/>
    <mergeCell ref="AU35:AU36"/>
    <mergeCell ref="AV35:AV36"/>
    <mergeCell ref="AW35:AW36"/>
    <mergeCell ref="AX35:AX36"/>
    <mergeCell ref="AU41:AU42"/>
    <mergeCell ref="AV41:AV42"/>
    <mergeCell ref="AW41:AW42"/>
    <mergeCell ref="AX41:AX42"/>
    <mergeCell ref="AV17:AV18"/>
    <mergeCell ref="AW17:AW18"/>
    <mergeCell ref="AX17:AX18"/>
    <mergeCell ref="AV37:AV38"/>
    <mergeCell ref="AV53:AV54"/>
    <mergeCell ref="H4:N4"/>
    <mergeCell ref="AU49:AU50"/>
    <mergeCell ref="AV49:AV50"/>
    <mergeCell ref="AZ47:AZ48"/>
    <mergeCell ref="AX45:AX46"/>
    <mergeCell ref="AY45:AY46"/>
    <mergeCell ref="AZ45:AZ46"/>
    <mergeCell ref="AU47:AU48"/>
    <mergeCell ref="AV47:AV48"/>
    <mergeCell ref="AW47:AW48"/>
    <mergeCell ref="AX47:AX48"/>
    <mergeCell ref="AY47:AY48"/>
    <mergeCell ref="AU29:AU30"/>
    <mergeCell ref="AY41:AY42"/>
    <mergeCell ref="AX43:AX44"/>
    <mergeCell ref="AV43:AV44"/>
    <mergeCell ref="AW43:AW44"/>
    <mergeCell ref="AW39:AW40"/>
    <mergeCell ref="AX39:AX40"/>
    <mergeCell ref="AC7:AH7"/>
    <mergeCell ref="AI7:AN7"/>
    <mergeCell ref="AY37:AY38"/>
    <mergeCell ref="AY17:AY18"/>
    <mergeCell ref="AZ49:AZ50"/>
  </mergeCells>
  <conditionalFormatting sqref="J9:J5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{D3E11E9E-DC67-4951-ADA3-1D582322EEC1}</x14:id>
        </ext>
      </extLst>
    </cfRule>
  </conditionalFormatting>
  <conditionalFormatting sqref="P9:P5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{05A76012-057F-4668-A1FD-ACEEDA7DE9AD}</x14:id>
        </ext>
      </extLst>
    </cfRule>
  </conditionalFormatting>
  <conditionalFormatting sqref="V9:V5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{1F69ED8E-B3C2-457A-93EB-4F65B42BD0C6}</x14:id>
        </ext>
      </extLst>
    </cfRule>
  </conditionalFormatting>
  <conditionalFormatting sqref="AB9:AB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{144D74FB-C84F-47C1-98D7-D1E6013F61EC}</x14:id>
        </ext>
      </extLst>
    </cfRule>
  </conditionalFormatting>
  <conditionalFormatting sqref="AH18:AH5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{83633B37-2B61-4AE4-AEF1-BC97E110EE51}</x14:id>
        </ext>
      </extLst>
    </cfRule>
  </conditionalFormatting>
  <conditionalFormatting sqref="AN9:AN5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{CE0C96A5-1243-4E6C-9918-0A8EE5A4957F}</x14:id>
        </ext>
      </extLst>
    </cfRule>
  </conditionalFormatting>
  <conditionalFormatting sqref="AT9:AT5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{EE2320DE-4695-4476-AE9D-99F10CCD2EC1}</x14:id>
        </ext>
      </extLst>
    </cfRule>
  </conditionalFormatting>
  <conditionalFormatting sqref="AZ9:AZ5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{FE441226-D348-462D-B970-73694228A8EA}</x14:id>
        </ext>
      </extLst>
    </cfRule>
  </conditionalFormatting>
  <conditionalFormatting sqref="AH9:AH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{C6E696AE-9FC6-4471-80A8-476B62C80D86}</x14:id>
        </ext>
      </extLst>
    </cfRule>
  </conditionalFormatting>
  <pageMargins left="0.7" right="0.7" top="0.75" bottom="0.75" header="0.3" footer="0.3"/>
  <pageSetup orientation="portrait" r:id="rId1"/>
  <ignoredErrors>
    <ignoredError sqref="AU58 AP10:AS10 AP9:AT9 AW58 Y10 AP37:AP42 Y37:Y42 AV9:AY9 AW11:AW16 AW43:AW56 AR39:AR42 AQ11:AQ20 AQ37:AQ56 AY58:AZ58 G10:G34 S37:S58 G37:G56 AU10:AY10 AU37:AY42 AE10 AK9:AK34 AK37:AK56 AE16 AE37:AE56 AE13:AE14 M37:M56 AM9:AM10 AW18:AW34 AQ23:AQ34 M10:M34 AE18:AE34 S10:S3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E11E9E-DC67-4951-ADA3-1D582322EE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J9:J58</xm:sqref>
        </x14:conditionalFormatting>
        <x14:conditionalFormatting xmlns:xm="http://schemas.microsoft.com/office/excel/2006/main">
          <x14:cfRule type="dataBar" id="{05A76012-057F-4668-A1FD-ACEEDA7DE9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P9:P58</xm:sqref>
        </x14:conditionalFormatting>
        <x14:conditionalFormatting xmlns:xm="http://schemas.microsoft.com/office/excel/2006/main">
          <x14:cfRule type="dataBar" id="{1F69ED8E-B3C2-457A-93EB-4F65B42BD0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V9:V58</xm:sqref>
        </x14:conditionalFormatting>
        <x14:conditionalFormatting xmlns:xm="http://schemas.microsoft.com/office/excel/2006/main">
          <x14:cfRule type="dataBar" id="{144D74FB-C84F-47C1-98D7-D1E6013F61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AB9:AB58</xm:sqref>
        </x14:conditionalFormatting>
        <x14:conditionalFormatting xmlns:xm="http://schemas.microsoft.com/office/excel/2006/main">
          <x14:cfRule type="dataBar" id="{83633B37-2B61-4AE4-AEF1-BC97E110EE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AH18:AH58</xm:sqref>
        </x14:conditionalFormatting>
        <x14:conditionalFormatting xmlns:xm="http://schemas.microsoft.com/office/excel/2006/main">
          <x14:cfRule type="dataBar" id="{CE0C96A5-1243-4E6C-9918-0A8EE5A495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AN9:AN58</xm:sqref>
        </x14:conditionalFormatting>
        <x14:conditionalFormatting xmlns:xm="http://schemas.microsoft.com/office/excel/2006/main">
          <x14:cfRule type="dataBar" id="{EE2320DE-4695-4476-AE9D-99F10CCD2E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AT9:AT58</xm:sqref>
        </x14:conditionalFormatting>
        <x14:conditionalFormatting xmlns:xm="http://schemas.microsoft.com/office/excel/2006/main">
          <x14:cfRule type="dataBar" id="{FE441226-D348-462D-B970-73694228A8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AZ9:AZ58</xm:sqref>
        </x14:conditionalFormatting>
        <x14:conditionalFormatting xmlns:xm="http://schemas.microsoft.com/office/excel/2006/main">
          <x14:cfRule type="dataBar" id="{C6E696AE-9FC6-4471-80A8-476B62C80D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AH9:AH58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showGridLines="0" zoomScale="91" zoomScaleNormal="91" workbookViewId="0">
      <selection activeCell="J43" sqref="J43"/>
    </sheetView>
  </sheetViews>
  <sheetFormatPr baseColWidth="10" defaultRowHeight="15"/>
  <cols>
    <col min="1" max="1" width="4.42578125" customWidth="1"/>
    <col min="2" max="2" width="37.7109375" customWidth="1"/>
    <col min="3" max="3" width="16.28515625" customWidth="1"/>
    <col min="4" max="4" width="12.7109375" customWidth="1"/>
    <col min="5" max="5" width="12" customWidth="1"/>
    <col min="8" max="8" width="12.140625" customWidth="1"/>
    <col min="9" max="9" width="11.7109375" customWidth="1"/>
  </cols>
  <sheetData>
    <row r="2" spans="2:10">
      <c r="B2" s="587" t="s">
        <v>131</v>
      </c>
      <c r="C2" s="588"/>
      <c r="D2" s="588"/>
      <c r="E2" s="588"/>
      <c r="F2" s="588"/>
      <c r="G2" s="588"/>
      <c r="H2" s="588"/>
      <c r="I2" s="588"/>
      <c r="J2" s="589"/>
    </row>
    <row r="3" spans="2:10">
      <c r="B3" s="106" t="s">
        <v>124</v>
      </c>
      <c r="C3" s="106" t="s">
        <v>214</v>
      </c>
      <c r="D3" s="106" t="s">
        <v>127</v>
      </c>
      <c r="E3" s="106" t="s">
        <v>118</v>
      </c>
      <c r="F3" s="106" t="s">
        <v>120</v>
      </c>
      <c r="G3" s="106" t="s">
        <v>125</v>
      </c>
      <c r="H3" s="106" t="s">
        <v>119</v>
      </c>
      <c r="I3" s="106" t="s">
        <v>126</v>
      </c>
      <c r="J3" s="107" t="s">
        <v>123</v>
      </c>
    </row>
    <row r="4" spans="2:10">
      <c r="B4" s="367" t="s">
        <v>213</v>
      </c>
      <c r="C4" s="368" t="s">
        <v>149</v>
      </c>
      <c r="D4" s="98"/>
      <c r="E4" s="41">
        <v>29.821000000000002</v>
      </c>
      <c r="F4" s="99"/>
      <c r="G4" s="99"/>
      <c r="H4" s="100"/>
      <c r="I4" s="379"/>
      <c r="J4" s="389">
        <f>SUM(D4:I4)</f>
        <v>29.821000000000002</v>
      </c>
    </row>
    <row r="5" spans="2:10">
      <c r="B5" s="367" t="s">
        <v>211</v>
      </c>
      <c r="C5" s="368" t="s">
        <v>208</v>
      </c>
      <c r="D5" s="101"/>
      <c r="E5" s="101"/>
      <c r="F5" s="102"/>
      <c r="G5" s="102"/>
      <c r="H5" s="41">
        <v>0.35199999999999998</v>
      </c>
      <c r="I5" s="41">
        <v>0.48899999999999999</v>
      </c>
      <c r="J5" s="389">
        <f t="shared" ref="J5" si="0">SUM(D5:I5)</f>
        <v>0.84099999999999997</v>
      </c>
    </row>
    <row r="6" spans="2:10">
      <c r="B6" s="367"/>
      <c r="C6" s="368"/>
      <c r="D6" s="101"/>
      <c r="E6" s="103"/>
      <c r="F6" s="376"/>
      <c r="G6" s="377"/>
      <c r="H6" s="390"/>
      <c r="I6" s="380"/>
      <c r="J6" s="389"/>
    </row>
    <row r="7" spans="2:10">
      <c r="B7" s="367" t="s">
        <v>212</v>
      </c>
      <c r="C7" s="378" t="s">
        <v>215</v>
      </c>
      <c r="D7" s="104"/>
      <c r="E7" s="105"/>
      <c r="F7" s="41">
        <v>2.1259999999999999</v>
      </c>
      <c r="G7" s="41">
        <v>13.377000000000001</v>
      </c>
      <c r="H7" s="41">
        <v>8.1449999999999996</v>
      </c>
      <c r="I7" s="380"/>
      <c r="J7" s="389">
        <f t="shared" ref="J7:J8" si="1">SUM(D7:I7)</f>
        <v>23.648</v>
      </c>
    </row>
    <row r="8" spans="2:10">
      <c r="B8" s="367" t="s">
        <v>212</v>
      </c>
      <c r="C8" s="368" t="s">
        <v>210</v>
      </c>
      <c r="D8" s="101"/>
      <c r="E8" s="103"/>
      <c r="F8" s="41">
        <v>25.551000000000002</v>
      </c>
      <c r="G8" s="41">
        <v>4.3899999999999997</v>
      </c>
      <c r="H8" s="390"/>
      <c r="I8" s="380"/>
      <c r="J8" s="389">
        <f t="shared" si="1"/>
        <v>29.941000000000003</v>
      </c>
    </row>
    <row r="9" spans="2:10">
      <c r="B9" s="590" t="s">
        <v>121</v>
      </c>
      <c r="C9" s="590"/>
      <c r="D9" s="49">
        <f>SUM(D4:D8)</f>
        <v>0</v>
      </c>
      <c r="E9" s="49">
        <f>SUM(E4:E8)</f>
        <v>29.821000000000002</v>
      </c>
      <c r="F9" s="49">
        <f>SUM(F4:F8)</f>
        <v>27.677000000000003</v>
      </c>
      <c r="G9" s="49">
        <f t="shared" ref="G9:I9" si="2">SUM(G4:G8)</f>
        <v>17.766999999999999</v>
      </c>
      <c r="H9" s="49">
        <f>SUM(H4:H8)</f>
        <v>8.4969999999999999</v>
      </c>
      <c r="I9" s="49">
        <f t="shared" si="2"/>
        <v>0.48899999999999999</v>
      </c>
      <c r="J9" s="389">
        <f>SUM(J4:J8)</f>
        <v>84.251000000000005</v>
      </c>
    </row>
  </sheetData>
  <mergeCells count="2">
    <mergeCell ref="B2:J2"/>
    <mergeCell ref="B9:C9"/>
  </mergeCells>
  <pageMargins left="0.7" right="0.7" top="0.75" bottom="0.75" header="0.3" footer="0.3"/>
  <pageSetup paperSize="1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96"/>
  <sheetViews>
    <sheetView zoomScaleNormal="100" workbookViewId="0">
      <pane xSplit="6" ySplit="8" topLeftCell="G51" activePane="bottomRight" state="frozen"/>
      <selection pane="topRight" activeCell="F1" sqref="F1"/>
      <selection pane="bottomLeft" activeCell="A7" sqref="A7"/>
      <selection pane="bottomRight" activeCell="B80" sqref="B80"/>
    </sheetView>
  </sheetViews>
  <sheetFormatPr baseColWidth="10" defaultColWidth="12" defaultRowHeight="12" customHeight="1"/>
  <cols>
    <col min="1" max="1" width="19.28515625" style="51" customWidth="1"/>
    <col min="2" max="2" width="20.28515625" style="51" customWidth="1"/>
    <col min="3" max="3" width="15.42578125" style="51" customWidth="1"/>
    <col min="4" max="4" width="13.7109375" style="51" customWidth="1"/>
    <col min="5" max="5" width="14" style="51" customWidth="1"/>
    <col min="6" max="6" width="14.5703125" style="51" customWidth="1"/>
    <col min="7" max="7" width="14.7109375" style="51" customWidth="1"/>
    <col min="8" max="8" width="14.5703125" style="51" customWidth="1"/>
    <col min="9" max="9" width="11.7109375" style="51" customWidth="1"/>
    <col min="10" max="10" width="10" style="51" customWidth="1"/>
    <col min="11" max="11" width="11.42578125" style="51" customWidth="1"/>
    <col min="12" max="12" width="12.42578125" style="51" customWidth="1"/>
    <col min="13" max="13" width="11" style="51" customWidth="1"/>
    <col min="14" max="14" width="9" style="51" customWidth="1"/>
    <col min="15" max="15" width="14.7109375" style="51" customWidth="1"/>
    <col min="16" max="16" width="10.7109375" style="51" hidden="1" customWidth="1"/>
    <col min="17" max="17" width="13.28515625" style="51" hidden="1" customWidth="1"/>
    <col min="18" max="18" width="12" style="51" hidden="1" customWidth="1"/>
    <col min="19" max="16384" width="12" style="51"/>
  </cols>
  <sheetData>
    <row r="2" spans="1:18" ht="12" customHeight="1">
      <c r="A2" s="139" t="s">
        <v>132</v>
      </c>
      <c r="B2" s="82" t="s">
        <v>84</v>
      </c>
      <c r="C2" s="83" t="s">
        <v>85</v>
      </c>
      <c r="D2" s="83" t="s">
        <v>86</v>
      </c>
      <c r="E2" s="83" t="s">
        <v>87</v>
      </c>
      <c r="F2" s="82" t="s">
        <v>88</v>
      </c>
      <c r="G2" s="82" t="s">
        <v>89</v>
      </c>
      <c r="H2" s="82" t="s">
        <v>160</v>
      </c>
    </row>
    <row r="3" spans="1:18" ht="12" customHeight="1">
      <c r="A3" s="86" t="s">
        <v>105</v>
      </c>
      <c r="B3" s="84">
        <v>42</v>
      </c>
      <c r="C3" s="84">
        <v>677</v>
      </c>
      <c r="D3" s="84">
        <v>855</v>
      </c>
      <c r="E3" s="84">
        <v>630</v>
      </c>
      <c r="F3" s="84">
        <v>1305</v>
      </c>
      <c r="G3" s="84">
        <v>513</v>
      </c>
      <c r="H3" s="85">
        <f>SUM(B3:G3)</f>
        <v>4022</v>
      </c>
    </row>
    <row r="4" spans="1:18" ht="12" customHeight="1">
      <c r="A4" s="86" t="s">
        <v>106</v>
      </c>
      <c r="B4" s="84">
        <v>5</v>
      </c>
      <c r="C4" s="84">
        <v>75</v>
      </c>
      <c r="D4" s="84">
        <v>95</v>
      </c>
      <c r="E4" s="84">
        <v>70</v>
      </c>
      <c r="F4" s="84">
        <v>145</v>
      </c>
      <c r="G4" s="84">
        <v>57</v>
      </c>
      <c r="H4" s="85">
        <f>SUM(B4:G4)</f>
        <v>447</v>
      </c>
    </row>
    <row r="5" spans="1:18" ht="12" customHeight="1">
      <c r="A5" s="140" t="s">
        <v>107</v>
      </c>
      <c r="B5" s="85">
        <f>SUM(B3:B4)</f>
        <v>47</v>
      </c>
      <c r="C5" s="85">
        <f t="shared" ref="C5" si="0">SUM(C3:C4)</f>
        <v>752</v>
      </c>
      <c r="D5" s="85">
        <f>SUM(D3:D4)</f>
        <v>950</v>
      </c>
      <c r="E5" s="85">
        <f>SUM(E3:E4)</f>
        <v>700</v>
      </c>
      <c r="F5" s="85">
        <f>SUM(F3:F4)</f>
        <v>1450</v>
      </c>
      <c r="G5" s="85">
        <f>SUM(G3:G4)</f>
        <v>570</v>
      </c>
      <c r="H5" s="85">
        <f>SUM(H3:H4)</f>
        <v>4469</v>
      </c>
      <c r="I5" s="196"/>
    </row>
    <row r="6" spans="1:18" ht="12" customHeight="1">
      <c r="B6" s="87"/>
      <c r="C6" s="88"/>
      <c r="D6" s="88"/>
      <c r="E6" s="88"/>
      <c r="F6" s="88"/>
      <c r="G6" s="88"/>
      <c r="H6" s="88"/>
      <c r="I6" s="88"/>
    </row>
    <row r="7" spans="1:18" ht="15" customHeight="1">
      <c r="J7" s="623" t="s">
        <v>159</v>
      </c>
      <c r="K7" s="624"/>
      <c r="L7" s="624"/>
      <c r="M7" s="624"/>
      <c r="N7" s="624"/>
      <c r="O7" s="625"/>
    </row>
    <row r="8" spans="1:18" ht="33.6" customHeight="1">
      <c r="A8" s="613" t="s">
        <v>156</v>
      </c>
      <c r="B8" s="614"/>
      <c r="C8" s="144" t="s">
        <v>185</v>
      </c>
      <c r="D8" s="147" t="s">
        <v>186</v>
      </c>
      <c r="E8" s="144" t="s">
        <v>108</v>
      </c>
      <c r="F8" s="144" t="s">
        <v>90</v>
      </c>
      <c r="G8" s="144" t="s">
        <v>161</v>
      </c>
      <c r="H8" s="146" t="s">
        <v>157</v>
      </c>
      <c r="I8" s="144" t="s">
        <v>158</v>
      </c>
      <c r="J8" s="187" t="s">
        <v>84</v>
      </c>
      <c r="K8" s="188" t="s">
        <v>85</v>
      </c>
      <c r="L8" s="188" t="s">
        <v>86</v>
      </c>
      <c r="M8" s="188" t="s">
        <v>87</v>
      </c>
      <c r="N8" s="187" t="s">
        <v>88</v>
      </c>
      <c r="O8" s="187" t="s">
        <v>89</v>
      </c>
    </row>
    <row r="9" spans="1:18" ht="12" customHeight="1">
      <c r="A9" s="598" t="s">
        <v>91</v>
      </c>
      <c r="B9" s="599"/>
      <c r="C9" s="591">
        <v>0.14576210000000001</v>
      </c>
      <c r="D9" s="591">
        <f>0.0039+0.012</f>
        <v>1.5900000000000001E-2</v>
      </c>
      <c r="E9" s="593">
        <f>+C9+D9</f>
        <v>0.1616621</v>
      </c>
      <c r="F9" s="596">
        <f>+E9*$H$5</f>
        <v>722.46792489999996</v>
      </c>
      <c r="G9" s="611">
        <f>+H9/$H$5</f>
        <v>0.1644321</v>
      </c>
      <c r="H9" s="609">
        <f>+F9+I9+I10</f>
        <v>734.84705489999999</v>
      </c>
      <c r="I9" s="163">
        <f>SUM(J9+K9+L9+M9+N9+O9)</f>
        <v>12.37913</v>
      </c>
      <c r="J9" s="163">
        <f t="shared" ref="J9:O9" si="1">J65</f>
        <v>0.13019</v>
      </c>
      <c r="K9" s="163">
        <f t="shared" si="1"/>
        <v>2.08304</v>
      </c>
      <c r="L9" s="163">
        <f>L65</f>
        <v>2.6315</v>
      </c>
      <c r="M9" s="163">
        <f t="shared" si="1"/>
        <v>1.9389999999999998</v>
      </c>
      <c r="N9" s="163">
        <f t="shared" si="1"/>
        <v>4.0164999999999997</v>
      </c>
      <c r="O9" s="163">
        <f t="shared" si="1"/>
        <v>1.5789</v>
      </c>
    </row>
    <row r="10" spans="1:18" ht="12" customHeight="1">
      <c r="A10" s="600"/>
      <c r="B10" s="601"/>
      <c r="C10" s="592"/>
      <c r="D10" s="592"/>
      <c r="E10" s="594"/>
      <c r="F10" s="597"/>
      <c r="G10" s="612"/>
      <c r="H10" s="610"/>
      <c r="I10" s="163">
        <f t="shared" ref="I10:I56" si="2">SUM(J10+K10+L10+M10+N10+O10)</f>
        <v>0</v>
      </c>
      <c r="J10" s="89"/>
      <c r="K10" s="89"/>
      <c r="L10" s="89"/>
      <c r="M10" s="89"/>
      <c r="N10" s="89"/>
      <c r="O10" s="89"/>
      <c r="P10" s="404"/>
      <c r="Q10" s="404"/>
    </row>
    <row r="11" spans="1:18" ht="12" customHeight="1">
      <c r="A11" s="598" t="s">
        <v>92</v>
      </c>
      <c r="B11" s="599"/>
      <c r="C11" s="606">
        <v>3.0000000000000001E-5</v>
      </c>
      <c r="D11" s="591"/>
      <c r="E11" s="593">
        <f>+C11+D11</f>
        <v>3.0000000000000001E-5</v>
      </c>
      <c r="F11" s="596">
        <f>+E11*$H$5</f>
        <v>0.13406999999999999</v>
      </c>
      <c r="G11" s="611">
        <f t="shared" ref="G11" si="3">+H11/$H$5</f>
        <v>2.9999999999999997E-5</v>
      </c>
      <c r="H11" s="609">
        <f t="shared" ref="H11" si="4">+F11+I11+I12</f>
        <v>0.13406999999999999</v>
      </c>
      <c r="I11" s="163">
        <f t="shared" si="2"/>
        <v>0</v>
      </c>
      <c r="J11" s="89"/>
      <c r="K11" s="89"/>
      <c r="L11" s="89"/>
      <c r="M11" s="89"/>
      <c r="N11" s="89"/>
      <c r="O11" s="89"/>
      <c r="P11" s="404"/>
      <c r="Q11" s="404"/>
    </row>
    <row r="12" spans="1:18" ht="12" customHeight="1">
      <c r="A12" s="600"/>
      <c r="B12" s="601"/>
      <c r="C12" s="607"/>
      <c r="D12" s="592"/>
      <c r="E12" s="594"/>
      <c r="F12" s="597"/>
      <c r="G12" s="612"/>
      <c r="H12" s="610"/>
      <c r="I12" s="163">
        <f t="shared" si="2"/>
        <v>0</v>
      </c>
      <c r="J12" s="89"/>
      <c r="K12" s="89"/>
      <c r="L12" s="89"/>
      <c r="M12" s="89"/>
      <c r="N12" s="89"/>
      <c r="O12" s="89"/>
      <c r="P12" s="404"/>
      <c r="Q12" s="404"/>
    </row>
    <row r="13" spans="1:18" ht="12" hidden="1" customHeight="1">
      <c r="A13" s="598" t="s">
        <v>104</v>
      </c>
      <c r="B13" s="599"/>
      <c r="C13" s="591"/>
      <c r="D13" s="591"/>
      <c r="E13" s="593">
        <f>+C13+D13</f>
        <v>0</v>
      </c>
      <c r="F13" s="596">
        <f>+E13*$H$5</f>
        <v>0</v>
      </c>
      <c r="G13" s="611">
        <f t="shared" ref="G13" si="5">+H13/$H$5</f>
        <v>0</v>
      </c>
      <c r="H13" s="609">
        <f t="shared" ref="H13" si="6">+F13+I13+I14</f>
        <v>0</v>
      </c>
      <c r="I13" s="163">
        <f t="shared" si="2"/>
        <v>0</v>
      </c>
      <c r="J13" s="89"/>
      <c r="K13" s="89"/>
      <c r="L13" s="89"/>
      <c r="M13" s="89"/>
      <c r="N13" s="89"/>
      <c r="O13" s="89"/>
      <c r="P13" s="404"/>
      <c r="Q13" s="404"/>
    </row>
    <row r="14" spans="1:18" ht="12" hidden="1" customHeight="1">
      <c r="A14" s="600"/>
      <c r="B14" s="601"/>
      <c r="C14" s="592"/>
      <c r="D14" s="592"/>
      <c r="E14" s="594"/>
      <c r="F14" s="597"/>
      <c r="G14" s="612"/>
      <c r="H14" s="610"/>
      <c r="I14" s="163">
        <f t="shared" si="2"/>
        <v>0</v>
      </c>
      <c r="J14" s="89"/>
      <c r="K14" s="89"/>
      <c r="L14" s="89"/>
      <c r="M14" s="89"/>
      <c r="N14" s="89"/>
      <c r="O14" s="89"/>
      <c r="P14" s="404"/>
      <c r="Q14" s="404"/>
    </row>
    <row r="15" spans="1:18" ht="12" customHeight="1">
      <c r="A15" s="615" t="s">
        <v>93</v>
      </c>
      <c r="B15" s="616"/>
      <c r="C15" s="591">
        <f>0.1420934+0.0173681</f>
        <v>0.15946150000000001</v>
      </c>
      <c r="D15" s="591">
        <f>0.0045+0.0045+0.00675</f>
        <v>1.575E-2</v>
      </c>
      <c r="E15" s="593">
        <f>+C15+D15</f>
        <v>0.17521150000000002</v>
      </c>
      <c r="F15" s="596">
        <f>+E15*$H$5</f>
        <v>783.02019350000012</v>
      </c>
      <c r="G15" s="611">
        <f>+H15/$H$5</f>
        <v>0.16160340000000004</v>
      </c>
      <c r="H15" s="609">
        <f t="shared" ref="H15" si="7">+F15+I15+I16</f>
        <v>722.20559460000015</v>
      </c>
      <c r="I15" s="163">
        <f t="shared" si="2"/>
        <v>-60.8145989</v>
      </c>
      <c r="J15" s="89">
        <f>-J62+J66</f>
        <v>-0.6395807</v>
      </c>
      <c r="K15" s="89">
        <f>-K62+K66</f>
        <v>-10.2332912</v>
      </c>
      <c r="L15" s="89">
        <f t="shared" ref="L15:O15" si="8">-L62+L66</f>
        <v>-12.927695</v>
      </c>
      <c r="M15" s="89">
        <f t="shared" si="8"/>
        <v>-9.5256700000000016</v>
      </c>
      <c r="N15" s="89">
        <f t="shared" si="8"/>
        <v>-19.731745000000004</v>
      </c>
      <c r="O15" s="89">
        <f t="shared" si="8"/>
        <v>-7.7566170000000003</v>
      </c>
      <c r="P15" s="404">
        <v>0.16486339999999999</v>
      </c>
      <c r="Q15" s="405">
        <f>+G15-P15</f>
        <v>-3.2599999999999574E-3</v>
      </c>
      <c r="R15" s="51">
        <f>+Q15*$H$5</f>
        <v>-14.568939999999809</v>
      </c>
    </row>
    <row r="16" spans="1:18" ht="12" customHeight="1">
      <c r="A16" s="617"/>
      <c r="B16" s="618"/>
      <c r="C16" s="592"/>
      <c r="D16" s="592"/>
      <c r="E16" s="594"/>
      <c r="F16" s="597"/>
      <c r="G16" s="612"/>
      <c r="H16" s="610"/>
      <c r="I16" s="163">
        <f t="shared" si="2"/>
        <v>0</v>
      </c>
      <c r="J16" s="89"/>
      <c r="K16" s="89"/>
      <c r="L16" s="89"/>
      <c r="M16" s="89"/>
      <c r="N16" s="89"/>
      <c r="O16" s="89"/>
      <c r="P16" s="404"/>
      <c r="Q16" s="405"/>
    </row>
    <row r="17" spans="1:18" ht="12" customHeight="1">
      <c r="A17" s="598" t="s">
        <v>34</v>
      </c>
      <c r="B17" s="599"/>
      <c r="C17" s="591">
        <v>7.5679999999999996E-4</v>
      </c>
      <c r="D17" s="591">
        <v>4.4999999999999997E-3</v>
      </c>
      <c r="E17" s="593">
        <f>+C17+D17</f>
        <v>5.2567999999999998E-3</v>
      </c>
      <c r="F17" s="596">
        <f>+E17*$H$5</f>
        <v>23.492639199999999</v>
      </c>
      <c r="G17" s="626">
        <f t="shared" ref="G17" si="9">+H17/$H$5</f>
        <v>4.7467999999999998E-3</v>
      </c>
      <c r="H17" s="628">
        <f t="shared" ref="H17" si="10">+F17+I17+I18</f>
        <v>21.213449199999999</v>
      </c>
      <c r="I17" s="163">
        <f t="shared" si="2"/>
        <v>-2.2791900000000003</v>
      </c>
      <c r="J17" s="89">
        <f>-J67-J71</f>
        <v>0</v>
      </c>
      <c r="K17" s="89">
        <f t="shared" ref="K17:O17" si="11">-K67-K71</f>
        <v>0</v>
      </c>
      <c r="L17" s="89">
        <f t="shared" si="11"/>
        <v>-8.9380000000000001E-2</v>
      </c>
      <c r="M17" s="89">
        <f t="shared" si="11"/>
        <v>-8.9380000000000001E-2</v>
      </c>
      <c r="N17" s="89">
        <f t="shared" si="11"/>
        <v>-1.7876000000000001</v>
      </c>
      <c r="O17" s="89">
        <f t="shared" si="11"/>
        <v>-0.31283</v>
      </c>
      <c r="P17" s="404">
        <v>5.2567999999999998E-3</v>
      </c>
      <c r="Q17" s="405">
        <f>+G17-P17</f>
        <v>-5.1000000000000004E-4</v>
      </c>
      <c r="R17" s="403">
        <f>+Q17*$H$5</f>
        <v>-2.2791900000000003</v>
      </c>
    </row>
    <row r="18" spans="1:18" ht="12" customHeight="1">
      <c r="A18" s="600"/>
      <c r="B18" s="601"/>
      <c r="C18" s="592"/>
      <c r="D18" s="592"/>
      <c r="E18" s="594"/>
      <c r="F18" s="597"/>
      <c r="G18" s="627"/>
      <c r="H18" s="629"/>
      <c r="I18" s="163">
        <f t="shared" si="2"/>
        <v>0</v>
      </c>
      <c r="J18" s="89"/>
      <c r="K18" s="89"/>
      <c r="L18" s="89"/>
      <c r="M18" s="89"/>
      <c r="N18" s="89"/>
      <c r="O18" s="89"/>
      <c r="P18" s="404"/>
      <c r="Q18" s="405"/>
    </row>
    <row r="19" spans="1:18" ht="12" customHeight="1">
      <c r="A19" s="598" t="s">
        <v>95</v>
      </c>
      <c r="B19" s="599"/>
      <c r="C19" s="606">
        <v>2.8389999999999999E-3</v>
      </c>
      <c r="D19" s="591"/>
      <c r="E19" s="593">
        <f>+C19+D19</f>
        <v>2.8389999999999999E-3</v>
      </c>
      <c r="F19" s="596">
        <f>+E19*$H$5</f>
        <v>12.687491</v>
      </c>
      <c r="G19" s="611">
        <f t="shared" ref="G19" si="12">+H19/$H$5</f>
        <v>2.8389999999999999E-3</v>
      </c>
      <c r="H19" s="609">
        <f t="shared" ref="H19" si="13">+F19+I19+I20</f>
        <v>12.687491</v>
      </c>
      <c r="I19" s="163">
        <f t="shared" si="2"/>
        <v>0</v>
      </c>
      <c r="J19" s="89"/>
      <c r="K19" s="89"/>
      <c r="L19" s="89"/>
      <c r="M19" s="89"/>
      <c r="N19" s="89"/>
      <c r="O19" s="89"/>
      <c r="P19" s="404"/>
      <c r="Q19" s="405"/>
    </row>
    <row r="20" spans="1:18" ht="12" customHeight="1">
      <c r="A20" s="600"/>
      <c r="B20" s="601"/>
      <c r="C20" s="607"/>
      <c r="D20" s="592"/>
      <c r="E20" s="594"/>
      <c r="F20" s="597"/>
      <c r="G20" s="612"/>
      <c r="H20" s="610"/>
      <c r="I20" s="163">
        <f t="shared" si="2"/>
        <v>0</v>
      </c>
      <c r="J20" s="89"/>
      <c r="K20" s="89"/>
      <c r="L20" s="89"/>
      <c r="M20" s="89"/>
      <c r="N20" s="89"/>
      <c r="O20" s="89"/>
      <c r="P20" s="404"/>
      <c r="Q20" s="405"/>
    </row>
    <row r="21" spans="1:18" ht="12" customHeight="1">
      <c r="A21" s="598" t="s">
        <v>96</v>
      </c>
      <c r="B21" s="599"/>
      <c r="C21" s="591">
        <f>0.1489108+0.0369113+0.0311581</f>
        <v>0.21698020000000001</v>
      </c>
      <c r="D21" s="591">
        <f>0.0015+0.0015+0.0015+(0.003*6)+0.00235+0.00215+0.0045+0.0045+0.0045+0.0045+0.00255+0.00218+0.0075+0.012+0.0102</f>
        <v>7.9430000000000001E-2</v>
      </c>
      <c r="E21" s="593">
        <f>+C21+D21</f>
        <v>0.29641020000000001</v>
      </c>
      <c r="F21" s="596">
        <f>+E21*$H$5</f>
        <v>1324.6571838</v>
      </c>
      <c r="G21" s="611">
        <f t="shared" ref="G21" si="14">+H21/$H$5</f>
        <v>0.29927019999999999</v>
      </c>
      <c r="H21" s="609">
        <f t="shared" ref="H21" si="15">+F21+I21+I22</f>
        <v>1337.4385238</v>
      </c>
      <c r="I21" s="163">
        <f t="shared" si="2"/>
        <v>12.781340000000002</v>
      </c>
      <c r="J21" s="163">
        <f>+J64-J69-J70+J72+J73+J74+J75</f>
        <v>0.13442000000000021</v>
      </c>
      <c r="K21" s="163">
        <f t="shared" ref="K21:O21" si="16">+K64-K69-K70+K72+K73+K74+K75</f>
        <v>2.1507200000000033</v>
      </c>
      <c r="L21" s="163">
        <f t="shared" si="16"/>
        <v>2.7169999999999987</v>
      </c>
      <c r="M21" s="163">
        <f t="shared" si="16"/>
        <v>2.0019999999999984</v>
      </c>
      <c r="N21" s="163">
        <f t="shared" si="16"/>
        <v>4.147000000000002</v>
      </c>
      <c r="O21" s="163">
        <f t="shared" si="16"/>
        <v>1.6301999999999985</v>
      </c>
      <c r="P21" s="404">
        <v>0.29927019999999999</v>
      </c>
      <c r="Q21" s="405">
        <f>+G21-P21</f>
        <v>0</v>
      </c>
      <c r="R21" s="51">
        <f>+Q21*$H$5</f>
        <v>0</v>
      </c>
    </row>
    <row r="22" spans="1:18" ht="12" customHeight="1">
      <c r="A22" s="600"/>
      <c r="B22" s="601"/>
      <c r="C22" s="592"/>
      <c r="D22" s="592"/>
      <c r="E22" s="594"/>
      <c r="F22" s="597"/>
      <c r="G22" s="612"/>
      <c r="H22" s="610"/>
      <c r="I22" s="163">
        <f t="shared" si="2"/>
        <v>0</v>
      </c>
      <c r="J22" s="89"/>
      <c r="K22" s="89"/>
      <c r="L22" s="89"/>
      <c r="M22" s="89"/>
      <c r="N22" s="89"/>
      <c r="O22" s="89"/>
      <c r="P22" s="404"/>
      <c r="Q22" s="405"/>
    </row>
    <row r="23" spans="1:18" ht="12" customHeight="1">
      <c r="A23" s="598" t="s">
        <v>33</v>
      </c>
      <c r="B23" s="599"/>
      <c r="C23" s="591">
        <v>1.5497E-3</v>
      </c>
      <c r="D23" s="591"/>
      <c r="E23" s="593">
        <f>+C23+D23</f>
        <v>1.5497E-3</v>
      </c>
      <c r="F23" s="596">
        <f>+E23*$H$5</f>
        <v>6.9256092999999996</v>
      </c>
      <c r="G23" s="611">
        <f t="shared" ref="G23" si="17">+H23/$H$5</f>
        <v>1.5497E-3</v>
      </c>
      <c r="H23" s="609">
        <f t="shared" ref="H23" si="18">+F23+I23+I24</f>
        <v>6.9256092999999996</v>
      </c>
      <c r="I23" s="163">
        <f t="shared" si="2"/>
        <v>0</v>
      </c>
      <c r="J23" s="89"/>
      <c r="K23" s="89"/>
      <c r="L23" s="89"/>
      <c r="M23" s="89"/>
      <c r="N23" s="89"/>
      <c r="O23" s="89"/>
      <c r="P23" s="404"/>
      <c r="Q23" s="405"/>
    </row>
    <row r="24" spans="1:18" ht="12" customHeight="1">
      <c r="A24" s="600"/>
      <c r="B24" s="601"/>
      <c r="C24" s="592"/>
      <c r="D24" s="592"/>
      <c r="E24" s="594"/>
      <c r="F24" s="597"/>
      <c r="G24" s="612"/>
      <c r="H24" s="610"/>
      <c r="I24" s="163">
        <f t="shared" si="2"/>
        <v>0</v>
      </c>
      <c r="J24" s="89"/>
      <c r="K24" s="89"/>
      <c r="L24" s="89"/>
      <c r="M24" s="89"/>
      <c r="N24" s="89"/>
      <c r="O24" s="89"/>
      <c r="P24" s="404"/>
      <c r="Q24" s="405"/>
    </row>
    <row r="25" spans="1:18" ht="12" customHeight="1">
      <c r="A25" s="598" t="s">
        <v>97</v>
      </c>
      <c r="B25" s="599"/>
      <c r="C25" s="591">
        <v>3.0000000000000001E-5</v>
      </c>
      <c r="D25" s="591"/>
      <c r="E25" s="593">
        <f>+C25+D25</f>
        <v>3.0000000000000001E-5</v>
      </c>
      <c r="F25" s="596">
        <f>+E25*$H$5</f>
        <v>0.13406999999999999</v>
      </c>
      <c r="G25" s="611">
        <f>+H25/$H$5</f>
        <v>-2.7140717261199004E-18</v>
      </c>
      <c r="H25" s="609">
        <f t="shared" ref="H25" si="19">+F25+I25+I26</f>
        <v>-1.2129186544029835E-14</v>
      </c>
      <c r="I25" s="163">
        <f t="shared" si="2"/>
        <v>-0.13407000000001212</v>
      </c>
      <c r="J25" s="163">
        <f>+J63-J76</f>
        <v>-1.4100000000001334E-3</v>
      </c>
      <c r="K25" s="163">
        <f>+K63-K76</f>
        <v>-2.2560000000002134E-2</v>
      </c>
      <c r="L25" s="163">
        <f t="shared" ref="L25:O25" si="20">+L63-L76</f>
        <v>-2.8500000000004633E-2</v>
      </c>
      <c r="M25" s="163">
        <f t="shared" si="20"/>
        <v>-2.1000000000000796E-2</v>
      </c>
      <c r="N25" s="163">
        <f t="shared" si="20"/>
        <v>-4.3500000000001648E-2</v>
      </c>
      <c r="O25" s="163">
        <f t="shared" si="20"/>
        <v>-1.710000000000278E-2</v>
      </c>
      <c r="P25" s="404"/>
      <c r="Q25" s="405"/>
      <c r="R25" s="393"/>
    </row>
    <row r="26" spans="1:18" ht="12" customHeight="1">
      <c r="A26" s="600"/>
      <c r="B26" s="601"/>
      <c r="C26" s="592"/>
      <c r="D26" s="592"/>
      <c r="E26" s="594"/>
      <c r="F26" s="597"/>
      <c r="G26" s="612"/>
      <c r="H26" s="610"/>
      <c r="I26" s="163">
        <f t="shared" si="2"/>
        <v>0</v>
      </c>
      <c r="J26" s="89"/>
      <c r="K26" s="89"/>
      <c r="L26" s="89"/>
      <c r="M26" s="89"/>
      <c r="N26" s="89"/>
      <c r="O26" s="89"/>
      <c r="P26" s="404"/>
      <c r="Q26" s="405"/>
    </row>
    <row r="27" spans="1:18" ht="12" customHeight="1">
      <c r="A27" s="598" t="s">
        <v>31</v>
      </c>
      <c r="B27" s="599"/>
      <c r="C27" s="606">
        <v>3.0000000000000001E-5</v>
      </c>
      <c r="D27" s="591"/>
      <c r="E27" s="593">
        <f>+C27+D27</f>
        <v>3.0000000000000001E-5</v>
      </c>
      <c r="F27" s="596">
        <f>+E27*$H$5</f>
        <v>0.13406999999999999</v>
      </c>
      <c r="G27" s="611">
        <f t="shared" ref="G27" si="21">+H27/$H$5</f>
        <v>2.9999999999999997E-5</v>
      </c>
      <c r="H27" s="609">
        <f t="shared" ref="H27" si="22">+F27+I27+I28</f>
        <v>0.13406999999999999</v>
      </c>
      <c r="I27" s="163">
        <f t="shared" si="2"/>
        <v>0</v>
      </c>
      <c r="J27" s="89"/>
      <c r="K27" s="89"/>
      <c r="L27" s="89"/>
      <c r="M27" s="89"/>
      <c r="N27" s="89"/>
      <c r="O27" s="89"/>
      <c r="P27" s="404"/>
      <c r="Q27" s="405"/>
    </row>
    <row r="28" spans="1:18" ht="12" customHeight="1">
      <c r="A28" s="600"/>
      <c r="B28" s="601"/>
      <c r="C28" s="607"/>
      <c r="D28" s="592"/>
      <c r="E28" s="594"/>
      <c r="F28" s="597"/>
      <c r="G28" s="612"/>
      <c r="H28" s="610"/>
      <c r="I28" s="163">
        <f t="shared" si="2"/>
        <v>0</v>
      </c>
      <c r="J28" s="89"/>
      <c r="K28" s="89"/>
      <c r="L28" s="89"/>
      <c r="M28" s="89"/>
      <c r="N28" s="89"/>
      <c r="O28" s="89"/>
      <c r="P28" s="404"/>
      <c r="Q28" s="405"/>
    </row>
    <row r="29" spans="1:18" ht="12" customHeight="1">
      <c r="A29" s="598" t="s">
        <v>98</v>
      </c>
      <c r="B29" s="599"/>
      <c r="C29" s="606">
        <v>2.0000000000000002E-5</v>
      </c>
      <c r="D29" s="591"/>
      <c r="E29" s="593">
        <f>+C29+D29</f>
        <v>2.0000000000000002E-5</v>
      </c>
      <c r="F29" s="596">
        <f>+E29*$H$5</f>
        <v>8.9380000000000001E-2</v>
      </c>
      <c r="G29" s="611">
        <f t="shared" ref="G29" si="23">+H29/$H$5</f>
        <v>2.0000000000000002E-5</v>
      </c>
      <c r="H29" s="609">
        <f t="shared" ref="H29" si="24">+F29+I29+I30</f>
        <v>8.9380000000000001E-2</v>
      </c>
      <c r="I29" s="163">
        <f t="shared" si="2"/>
        <v>0</v>
      </c>
      <c r="J29" s="89"/>
      <c r="K29" s="89"/>
      <c r="L29" s="89"/>
      <c r="M29" s="89"/>
      <c r="N29" s="89"/>
      <c r="O29" s="89"/>
      <c r="P29" s="404"/>
      <c r="Q29" s="405"/>
    </row>
    <row r="30" spans="1:18" ht="12" customHeight="1">
      <c r="A30" s="600"/>
      <c r="B30" s="601"/>
      <c r="C30" s="607"/>
      <c r="D30" s="592"/>
      <c r="E30" s="594"/>
      <c r="F30" s="597"/>
      <c r="G30" s="612"/>
      <c r="H30" s="610"/>
      <c r="I30" s="163">
        <f t="shared" si="2"/>
        <v>0</v>
      </c>
      <c r="J30" s="89"/>
      <c r="K30" s="89"/>
      <c r="L30" s="89"/>
      <c r="M30" s="89"/>
      <c r="N30" s="89"/>
      <c r="O30" s="89"/>
      <c r="P30" s="404"/>
      <c r="Q30" s="405"/>
    </row>
    <row r="31" spans="1:18" ht="12" customHeight="1">
      <c r="A31" s="598" t="s">
        <v>24</v>
      </c>
      <c r="B31" s="599"/>
      <c r="C31" s="591">
        <f>0.0566081+0.0324557+0.0732369+0.0175203+0.1242718</f>
        <v>0.3040928</v>
      </c>
      <c r="D31" s="591">
        <f>0.0006+0.006+0.0135+0.00825+0.0048</f>
        <v>3.3149999999999999E-2</v>
      </c>
      <c r="E31" s="593">
        <f>+C31+D31</f>
        <v>0.33724280000000001</v>
      </c>
      <c r="F31" s="596">
        <f>+E31*$H$5</f>
        <v>1507.1380732</v>
      </c>
      <c r="G31" s="611">
        <f>+(H31/$H$5)</f>
        <v>0.30804710000000002</v>
      </c>
      <c r="H31" s="609">
        <f t="shared" ref="H31" si="25">+F31+I31+I32</f>
        <v>1376.6624899000001</v>
      </c>
      <c r="I31" s="163">
        <f t="shared" si="2"/>
        <v>-130.47558329999998</v>
      </c>
      <c r="J31" s="89">
        <f>-J63+J68</f>
        <v>-1.3721979</v>
      </c>
      <c r="K31" s="89">
        <f>-K63+K68</f>
        <v>-21.9551664</v>
      </c>
      <c r="L31" s="89">
        <f t="shared" ref="L31:O31" si="26">-L63+L68</f>
        <v>-27.735914999999995</v>
      </c>
      <c r="M31" s="89">
        <f t="shared" si="26"/>
        <v>-20.436989999999998</v>
      </c>
      <c r="N31" s="89">
        <f t="shared" si="26"/>
        <v>-42.333765</v>
      </c>
      <c r="O31" s="89">
        <f t="shared" si="26"/>
        <v>-16.641548999999998</v>
      </c>
      <c r="P31" s="404">
        <v>0.30805070000000001</v>
      </c>
      <c r="Q31" s="405">
        <f>+G31-P31</f>
        <v>-3.5999999999924981E-6</v>
      </c>
      <c r="R31" s="51">
        <f>+Q31*$H$5</f>
        <v>-1.6088399999966474E-2</v>
      </c>
    </row>
    <row r="32" spans="1:18" ht="12" customHeight="1">
      <c r="A32" s="600"/>
      <c r="B32" s="601"/>
      <c r="C32" s="592"/>
      <c r="D32" s="592"/>
      <c r="E32" s="594"/>
      <c r="F32" s="597"/>
      <c r="G32" s="612"/>
      <c r="H32" s="610"/>
      <c r="I32" s="163">
        <f t="shared" si="2"/>
        <v>0</v>
      </c>
      <c r="J32" s="89"/>
      <c r="K32" s="89"/>
      <c r="L32" s="89"/>
      <c r="M32" s="89"/>
      <c r="N32" s="89"/>
      <c r="O32" s="89"/>
      <c r="P32" s="404"/>
      <c r="Q32" s="405"/>
    </row>
    <row r="33" spans="1:18" ht="12" customHeight="1">
      <c r="A33" s="598" t="s">
        <v>100</v>
      </c>
      <c r="B33" s="599"/>
      <c r="C33" s="591">
        <v>1.0000000000000001E-5</v>
      </c>
      <c r="D33" s="591">
        <v>1.2700000000000001E-3</v>
      </c>
      <c r="E33" s="593">
        <f>+C33+D33</f>
        <v>1.2800000000000001E-3</v>
      </c>
      <c r="F33" s="596">
        <f>+E33*$H$5</f>
        <v>5.7203200000000001</v>
      </c>
      <c r="G33" s="611">
        <f t="shared" ref="G33" si="27">+H33/$H$5</f>
        <v>1.2800000000000001E-3</v>
      </c>
      <c r="H33" s="609">
        <f t="shared" ref="H33" si="28">+F33+I33+I34</f>
        <v>5.7203200000000001</v>
      </c>
      <c r="I33" s="163">
        <f t="shared" si="2"/>
        <v>0</v>
      </c>
      <c r="J33" s="89"/>
      <c r="K33" s="89"/>
      <c r="L33" s="89"/>
      <c r="M33" s="89"/>
      <c r="N33" s="89"/>
      <c r="O33" s="89"/>
      <c r="P33" s="404"/>
      <c r="Q33" s="405"/>
    </row>
    <row r="34" spans="1:18" ht="12" customHeight="1">
      <c r="A34" s="600"/>
      <c r="B34" s="601"/>
      <c r="C34" s="592"/>
      <c r="D34" s="592"/>
      <c r="E34" s="594"/>
      <c r="F34" s="597"/>
      <c r="G34" s="612"/>
      <c r="H34" s="610"/>
      <c r="I34" s="163">
        <f t="shared" si="2"/>
        <v>0</v>
      </c>
      <c r="J34" s="89"/>
      <c r="K34" s="89"/>
      <c r="L34" s="89"/>
      <c r="M34" s="89"/>
      <c r="N34" s="89"/>
      <c r="O34" s="89"/>
      <c r="P34" s="404"/>
      <c r="Q34" s="405"/>
    </row>
    <row r="35" spans="1:18" ht="12" customHeight="1">
      <c r="A35" s="598" t="s">
        <v>155</v>
      </c>
      <c r="B35" s="599"/>
      <c r="C35" s="591"/>
      <c r="D35" s="591"/>
      <c r="E35" s="593">
        <f>+C35+D35</f>
        <v>0</v>
      </c>
      <c r="F35" s="596">
        <f>+E35*$H$5</f>
        <v>0</v>
      </c>
      <c r="G35" s="611">
        <f t="shared" ref="G35" si="29">+H35/$H$5</f>
        <v>0</v>
      </c>
      <c r="H35" s="609">
        <f t="shared" ref="H35" si="30">+F35+I35+I36</f>
        <v>0</v>
      </c>
      <c r="I35" s="163">
        <f t="shared" si="2"/>
        <v>0</v>
      </c>
      <c r="J35" s="163">
        <f>+J69-J72</f>
        <v>0</v>
      </c>
      <c r="K35" s="163">
        <f t="shared" ref="K35:O35" si="31">+K69-K72</f>
        <v>0</v>
      </c>
      <c r="L35" s="163">
        <f t="shared" si="31"/>
        <v>0</v>
      </c>
      <c r="M35" s="163">
        <f t="shared" si="31"/>
        <v>0</v>
      </c>
      <c r="N35" s="163">
        <f t="shared" si="31"/>
        <v>0</v>
      </c>
      <c r="O35" s="163">
        <f t="shared" si="31"/>
        <v>0</v>
      </c>
      <c r="P35" s="404"/>
      <c r="Q35" s="405"/>
    </row>
    <row r="36" spans="1:18" ht="12" customHeight="1">
      <c r="A36" s="600"/>
      <c r="B36" s="601"/>
      <c r="C36" s="592"/>
      <c r="D36" s="592"/>
      <c r="E36" s="594"/>
      <c r="F36" s="597"/>
      <c r="G36" s="612"/>
      <c r="H36" s="610"/>
      <c r="I36" s="163">
        <f t="shared" si="2"/>
        <v>0</v>
      </c>
      <c r="J36" s="89"/>
      <c r="K36" s="89"/>
      <c r="L36" s="89"/>
      <c r="M36" s="89"/>
      <c r="N36" s="89"/>
      <c r="O36" s="89"/>
      <c r="P36" s="404"/>
      <c r="Q36" s="405"/>
    </row>
    <row r="37" spans="1:18" ht="12" customHeight="1">
      <c r="A37" s="598" t="s">
        <v>94</v>
      </c>
      <c r="B37" s="599"/>
      <c r="C37" s="606">
        <v>4.6930000000000001E-3</v>
      </c>
      <c r="D37" s="591"/>
      <c r="E37" s="593">
        <f>+C37+D37</f>
        <v>4.6930000000000001E-3</v>
      </c>
      <c r="F37" s="596">
        <f>+E37*$H$5</f>
        <v>20.973017000000002</v>
      </c>
      <c r="G37" s="611">
        <f t="shared" ref="G37" si="32">+H37/$H$5</f>
        <v>4.6930000000000001E-3</v>
      </c>
      <c r="H37" s="609">
        <f t="shared" ref="H37" si="33">+F37+I37+I38</f>
        <v>20.973017000000002</v>
      </c>
      <c r="I37" s="163">
        <f t="shared" si="2"/>
        <v>0</v>
      </c>
      <c r="J37" s="89"/>
      <c r="K37" s="89"/>
      <c r="L37" s="89"/>
      <c r="M37" s="89"/>
      <c r="N37" s="89"/>
      <c r="O37" s="89"/>
      <c r="P37" s="404"/>
      <c r="Q37" s="405"/>
    </row>
    <row r="38" spans="1:18" ht="12" customHeight="1">
      <c r="A38" s="600"/>
      <c r="B38" s="601"/>
      <c r="C38" s="607"/>
      <c r="D38" s="592"/>
      <c r="E38" s="594"/>
      <c r="F38" s="597"/>
      <c r="G38" s="612"/>
      <c r="H38" s="610"/>
      <c r="I38" s="163">
        <f t="shared" si="2"/>
        <v>0</v>
      </c>
      <c r="J38" s="89"/>
      <c r="K38" s="89"/>
      <c r="L38" s="89"/>
      <c r="M38" s="89"/>
      <c r="N38" s="89"/>
      <c r="O38" s="89"/>
      <c r="P38" s="404"/>
      <c r="Q38" s="405"/>
    </row>
    <row r="39" spans="1:18" ht="12" customHeight="1">
      <c r="A39" s="598" t="s">
        <v>99</v>
      </c>
      <c r="B39" s="599"/>
      <c r="C39" s="606">
        <v>2.7E-4</v>
      </c>
      <c r="D39" s="591"/>
      <c r="E39" s="593">
        <f>+C39+D39</f>
        <v>2.7E-4</v>
      </c>
      <c r="F39" s="596">
        <f>+E39*$H$5</f>
        <v>1.2066300000000001</v>
      </c>
      <c r="G39" s="611">
        <f t="shared" ref="G39" si="34">+H39/$H$5</f>
        <v>2.7E-4</v>
      </c>
      <c r="H39" s="609">
        <f t="shared" ref="H39" si="35">+F39+I39+I40</f>
        <v>1.2066300000000001</v>
      </c>
      <c r="I39" s="163">
        <f t="shared" si="2"/>
        <v>0</v>
      </c>
      <c r="J39" s="89"/>
      <c r="K39" s="89"/>
      <c r="L39" s="89"/>
      <c r="M39" s="89"/>
      <c r="N39" s="89"/>
      <c r="O39" s="89"/>
      <c r="P39" s="404"/>
      <c r="Q39" s="405"/>
    </row>
    <row r="40" spans="1:18" ht="12" customHeight="1">
      <c r="A40" s="600"/>
      <c r="B40" s="601"/>
      <c r="C40" s="607"/>
      <c r="D40" s="592"/>
      <c r="E40" s="594"/>
      <c r="F40" s="597"/>
      <c r="G40" s="612"/>
      <c r="H40" s="610"/>
      <c r="I40" s="163">
        <f t="shared" si="2"/>
        <v>0</v>
      </c>
      <c r="J40" s="89"/>
      <c r="K40" s="89"/>
      <c r="L40" s="89"/>
      <c r="M40" s="89"/>
      <c r="N40" s="89"/>
      <c r="O40" s="89"/>
      <c r="P40" s="404"/>
      <c r="Q40" s="405"/>
    </row>
    <row r="41" spans="1:18" ht="12" customHeight="1">
      <c r="A41" s="598" t="s">
        <v>101</v>
      </c>
      <c r="B41" s="599"/>
      <c r="C41" s="591"/>
      <c r="D41" s="591"/>
      <c r="E41" s="593">
        <f>+C41+D41</f>
        <v>0</v>
      </c>
      <c r="F41" s="596">
        <f>+E41*$H$5</f>
        <v>0</v>
      </c>
      <c r="G41" s="611">
        <f t="shared" ref="G41" si="36">+H41/$H$5</f>
        <v>0</v>
      </c>
      <c r="H41" s="609">
        <f t="shared" ref="H41" si="37">+F41+I41+I42</f>
        <v>0</v>
      </c>
      <c r="I41" s="163">
        <f t="shared" si="2"/>
        <v>0</v>
      </c>
      <c r="J41" s="89"/>
      <c r="K41" s="89"/>
      <c r="L41" s="89"/>
      <c r="M41" s="89"/>
      <c r="N41" s="89"/>
      <c r="O41" s="89"/>
      <c r="P41" s="404"/>
      <c r="Q41" s="405"/>
    </row>
    <row r="42" spans="1:18" ht="12" customHeight="1">
      <c r="A42" s="600"/>
      <c r="B42" s="601"/>
      <c r="C42" s="592"/>
      <c r="D42" s="592"/>
      <c r="E42" s="594"/>
      <c r="F42" s="597"/>
      <c r="G42" s="612"/>
      <c r="H42" s="610"/>
      <c r="I42" s="163">
        <f t="shared" si="2"/>
        <v>0</v>
      </c>
      <c r="J42" s="89"/>
      <c r="K42" s="89"/>
      <c r="L42" s="89"/>
      <c r="M42" s="89"/>
      <c r="N42" s="89"/>
      <c r="O42" s="89"/>
      <c r="P42" s="404"/>
      <c r="Q42" s="405"/>
    </row>
    <row r="43" spans="1:18" ht="12" customHeight="1">
      <c r="A43" s="602" t="s">
        <v>206</v>
      </c>
      <c r="B43" s="603"/>
      <c r="C43" s="591">
        <v>1.34646E-2</v>
      </c>
      <c r="D43" s="591"/>
      <c r="E43" s="593">
        <f>+C43+D43</f>
        <v>1.34646E-2</v>
      </c>
      <c r="F43" s="596">
        <f>+E43*$H$5</f>
        <v>60.173297400000003</v>
      </c>
      <c r="G43" s="611">
        <f t="shared" ref="G43" si="38">+H43/$H$5</f>
        <v>1.8182700000000003E-2</v>
      </c>
      <c r="H43" s="609">
        <f t="shared" ref="H43" si="39">+F43+I43+I44</f>
        <v>81.258486300000015</v>
      </c>
      <c r="I43" s="163">
        <f t="shared" si="2"/>
        <v>21.085188900000006</v>
      </c>
      <c r="J43" s="89">
        <f>-J64-J65-J66-J68+J62</f>
        <v>0.22175069999999997</v>
      </c>
      <c r="K43" s="89">
        <f t="shared" ref="K43:O43" si="40">-K64-K65-K66-K68+K62</f>
        <v>3.5480111999999995</v>
      </c>
      <c r="L43" s="89">
        <f t="shared" si="40"/>
        <v>4.482194999999999</v>
      </c>
      <c r="M43" s="89">
        <f t="shared" si="40"/>
        <v>3.3026700000000009</v>
      </c>
      <c r="N43" s="89">
        <f t="shared" si="40"/>
        <v>6.8412450000000042</v>
      </c>
      <c r="O43" s="89">
        <f t="shared" si="40"/>
        <v>2.6893170000000008</v>
      </c>
      <c r="P43" s="404">
        <v>2.7409999999999999E-4</v>
      </c>
      <c r="Q43" s="405">
        <f>+G43-P43</f>
        <v>1.7908600000000004E-2</v>
      </c>
      <c r="R43" s="51">
        <f>+Q43*$H$5</f>
        <v>80.03353340000001</v>
      </c>
    </row>
    <row r="44" spans="1:18" ht="12" customHeight="1">
      <c r="A44" s="604"/>
      <c r="B44" s="605"/>
      <c r="C44" s="592"/>
      <c r="D44" s="592"/>
      <c r="E44" s="594"/>
      <c r="F44" s="597"/>
      <c r="G44" s="612"/>
      <c r="H44" s="610"/>
      <c r="I44" s="163">
        <f t="shared" si="2"/>
        <v>0</v>
      </c>
      <c r="J44" s="89"/>
      <c r="K44" s="89"/>
      <c r="L44" s="89"/>
      <c r="M44" s="89"/>
      <c r="N44" s="89"/>
      <c r="O44" s="89"/>
      <c r="P44" s="404"/>
      <c r="Q44" s="405"/>
    </row>
    <row r="45" spans="1:18" ht="14.45" customHeight="1">
      <c r="A45" s="598" t="s">
        <v>198</v>
      </c>
      <c r="B45" s="599"/>
      <c r="C45" s="591"/>
      <c r="D45" s="591"/>
      <c r="E45" s="593">
        <f>+C45+D45</f>
        <v>0</v>
      </c>
      <c r="F45" s="596">
        <f>+E45*$H$5</f>
        <v>0</v>
      </c>
      <c r="G45" s="611">
        <f t="shared" ref="G45" si="41">+H45/$H$5</f>
        <v>0</v>
      </c>
      <c r="H45" s="609">
        <f t="shared" ref="H45" si="42">+F45+I45+I46</f>
        <v>0</v>
      </c>
      <c r="I45" s="163">
        <f t="shared" si="2"/>
        <v>0</v>
      </c>
      <c r="J45" s="163">
        <f>+J70-J73-J74-J75</f>
        <v>0</v>
      </c>
      <c r="K45" s="163">
        <f t="shared" ref="K45:O45" si="43">+K70-K73-K74-K75</f>
        <v>0</v>
      </c>
      <c r="L45" s="163">
        <f t="shared" si="43"/>
        <v>0</v>
      </c>
      <c r="M45" s="163">
        <f t="shared" si="43"/>
        <v>0</v>
      </c>
      <c r="N45" s="163">
        <f t="shared" si="43"/>
        <v>0</v>
      </c>
      <c r="O45" s="163">
        <f t="shared" si="43"/>
        <v>0</v>
      </c>
      <c r="P45" s="404"/>
      <c r="Q45" s="405"/>
    </row>
    <row r="46" spans="1:18" ht="12" customHeight="1">
      <c r="A46" s="600"/>
      <c r="B46" s="601"/>
      <c r="C46" s="592"/>
      <c r="D46" s="592"/>
      <c r="E46" s="594"/>
      <c r="F46" s="597"/>
      <c r="G46" s="612"/>
      <c r="H46" s="610"/>
      <c r="I46" s="163">
        <f t="shared" si="2"/>
        <v>0</v>
      </c>
      <c r="J46" s="89"/>
      <c r="K46" s="89"/>
      <c r="L46" s="89"/>
      <c r="M46" s="89"/>
      <c r="N46" s="89"/>
      <c r="O46" s="89"/>
      <c r="P46" s="404"/>
      <c r="Q46" s="405"/>
    </row>
    <row r="47" spans="1:18" ht="12" customHeight="1">
      <c r="A47" s="598" t="s">
        <v>32</v>
      </c>
      <c r="B47" s="599"/>
      <c r="C47" s="606">
        <v>1.0000000000000001E-5</v>
      </c>
      <c r="D47" s="591"/>
      <c r="E47" s="593">
        <f>+C47+D47</f>
        <v>1.0000000000000001E-5</v>
      </c>
      <c r="F47" s="596">
        <f>+E47*$H$5</f>
        <v>4.4690000000000001E-2</v>
      </c>
      <c r="G47" s="611">
        <f t="shared" ref="G47" si="44">+H47/$H$5</f>
        <v>1.0000000000000001E-5</v>
      </c>
      <c r="H47" s="609">
        <f t="shared" ref="H47" si="45">+F47+I47+I48</f>
        <v>4.4690000000000001E-2</v>
      </c>
      <c r="I47" s="163">
        <f t="shared" si="2"/>
        <v>0</v>
      </c>
      <c r="J47" s="89"/>
      <c r="K47" s="89"/>
      <c r="L47" s="89"/>
      <c r="M47" s="89"/>
      <c r="N47" s="89"/>
      <c r="O47" s="89"/>
      <c r="P47" s="404"/>
      <c r="Q47" s="405"/>
    </row>
    <row r="48" spans="1:18" ht="12" customHeight="1">
      <c r="A48" s="600"/>
      <c r="B48" s="601"/>
      <c r="C48" s="607"/>
      <c r="D48" s="592"/>
      <c r="E48" s="594"/>
      <c r="F48" s="597"/>
      <c r="G48" s="612"/>
      <c r="H48" s="610"/>
      <c r="I48" s="163">
        <f t="shared" si="2"/>
        <v>0</v>
      </c>
      <c r="J48" s="89"/>
      <c r="K48" s="89"/>
      <c r="L48" s="89"/>
      <c r="M48" s="89"/>
      <c r="N48" s="89"/>
      <c r="O48" s="89"/>
      <c r="P48" s="404"/>
      <c r="Q48" s="405"/>
    </row>
    <row r="49" spans="1:18" ht="12" customHeight="1">
      <c r="A49" s="619" t="s">
        <v>199</v>
      </c>
      <c r="B49" s="619"/>
      <c r="C49" s="591"/>
      <c r="D49" s="608"/>
      <c r="E49" s="595">
        <f>+C49+D49</f>
        <v>0</v>
      </c>
      <c r="F49" s="622">
        <f>+E49*$H$5</f>
        <v>0</v>
      </c>
      <c r="G49" s="621">
        <f t="shared" ref="G49" si="46">+H49/$H$5</f>
        <v>0</v>
      </c>
      <c r="H49" s="620">
        <f t="shared" ref="H49" si="47">+F49+I49+I50</f>
        <v>0</v>
      </c>
      <c r="I49" s="331">
        <f t="shared" si="2"/>
        <v>0</v>
      </c>
      <c r="J49" s="331"/>
      <c r="K49" s="331"/>
      <c r="L49" s="331"/>
      <c r="M49" s="331"/>
      <c r="N49" s="331"/>
      <c r="O49" s="331"/>
      <c r="P49" s="404">
        <v>1.7908400000000001E-2</v>
      </c>
      <c r="Q49" s="405">
        <f>+G49-P49</f>
        <v>-1.7908400000000001E-2</v>
      </c>
      <c r="R49" s="51">
        <f>+Q49*$H$5</f>
        <v>-80.03263960000001</v>
      </c>
    </row>
    <row r="50" spans="1:18" ht="12" customHeight="1">
      <c r="A50" s="619"/>
      <c r="B50" s="619"/>
      <c r="C50" s="592"/>
      <c r="D50" s="608"/>
      <c r="E50" s="595"/>
      <c r="F50" s="622"/>
      <c r="G50" s="621"/>
      <c r="H50" s="620"/>
      <c r="I50" s="331">
        <f t="shared" si="2"/>
        <v>0</v>
      </c>
      <c r="J50" s="89"/>
      <c r="K50" s="89"/>
      <c r="L50" s="89"/>
      <c r="M50" s="89"/>
      <c r="N50" s="89"/>
      <c r="O50" s="89"/>
      <c r="P50" s="404"/>
      <c r="Q50" s="405"/>
    </row>
    <row r="51" spans="1:18" ht="17.100000000000001" customHeight="1">
      <c r="A51" s="598" t="s">
        <v>216</v>
      </c>
      <c r="B51" s="599"/>
      <c r="C51" s="591"/>
      <c r="D51" s="591"/>
      <c r="E51" s="593">
        <f>+C51+D51</f>
        <v>0</v>
      </c>
      <c r="F51" s="596">
        <f>+E51*$H$5</f>
        <v>0</v>
      </c>
      <c r="G51" s="611">
        <f t="shared" ref="G51" si="48">+H51/$H$5</f>
        <v>3.2485700000000006E-2</v>
      </c>
      <c r="H51" s="609">
        <f t="shared" ref="H51" si="49">+F51+I51+I52</f>
        <v>145.17859330000002</v>
      </c>
      <c r="I51" s="163">
        <f t="shared" si="2"/>
        <v>145.17859330000002</v>
      </c>
      <c r="J51" s="163">
        <f>+J76</f>
        <v>1.5268279</v>
      </c>
      <c r="K51" s="163">
        <f t="shared" ref="K51:O51" si="50">+K76</f>
        <v>24.4292464</v>
      </c>
      <c r="L51" s="163">
        <f t="shared" si="50"/>
        <v>30.861415000000001</v>
      </c>
      <c r="M51" s="163">
        <f t="shared" si="50"/>
        <v>22.739989999999999</v>
      </c>
      <c r="N51" s="163">
        <f t="shared" si="50"/>
        <v>47.104264999999998</v>
      </c>
      <c r="O51" s="163">
        <f t="shared" si="50"/>
        <v>18.516849000000001</v>
      </c>
      <c r="P51" s="404"/>
      <c r="Q51" s="405"/>
      <c r="R51" s="393">
        <f>+Q51*$H$5</f>
        <v>0</v>
      </c>
    </row>
    <row r="52" spans="1:18" ht="16.899999999999999" customHeight="1">
      <c r="A52" s="600"/>
      <c r="B52" s="601"/>
      <c r="C52" s="592"/>
      <c r="D52" s="592"/>
      <c r="E52" s="594"/>
      <c r="F52" s="597"/>
      <c r="G52" s="612"/>
      <c r="H52" s="610"/>
      <c r="I52" s="163">
        <f t="shared" si="2"/>
        <v>0</v>
      </c>
      <c r="J52" s="89"/>
      <c r="K52" s="89"/>
      <c r="L52" s="89"/>
      <c r="M52" s="89"/>
      <c r="N52" s="89"/>
      <c r="O52" s="89"/>
      <c r="P52" s="404"/>
      <c r="Q52" s="405"/>
    </row>
    <row r="53" spans="1:18" ht="18.600000000000001" customHeight="1">
      <c r="A53" s="598" t="s">
        <v>83</v>
      </c>
      <c r="B53" s="599"/>
      <c r="C53" s="591"/>
      <c r="D53" s="591"/>
      <c r="E53" s="593">
        <f>+C53+D53</f>
        <v>0</v>
      </c>
      <c r="F53" s="596">
        <f>+E53*$H$5</f>
        <v>0</v>
      </c>
      <c r="G53" s="611">
        <f t="shared" ref="G53" si="51">+H53/$H$5</f>
        <v>2.3000000000000001E-4</v>
      </c>
      <c r="H53" s="609">
        <f t="shared" ref="H53" si="52">+F53+I53+I54</f>
        <v>1.0278700000000001</v>
      </c>
      <c r="I53" s="163">
        <f t="shared" si="2"/>
        <v>1.0278700000000001</v>
      </c>
      <c r="J53" s="163">
        <f>+J71</f>
        <v>0</v>
      </c>
      <c r="K53" s="163">
        <f t="shared" ref="K53:O53" si="53">+K71</f>
        <v>0</v>
      </c>
      <c r="L53" s="163">
        <f t="shared" si="53"/>
        <v>4.4690000000000001E-2</v>
      </c>
      <c r="M53" s="163">
        <f t="shared" si="53"/>
        <v>4.4690000000000001E-2</v>
      </c>
      <c r="N53" s="163">
        <f t="shared" si="53"/>
        <v>0.80442000000000002</v>
      </c>
      <c r="O53" s="163">
        <f t="shared" si="53"/>
        <v>0.13406999999999999</v>
      </c>
      <c r="P53" s="404"/>
      <c r="Q53" s="405"/>
      <c r="R53" s="402">
        <f>+I53+I55</f>
        <v>2.2791899999999998</v>
      </c>
    </row>
    <row r="54" spans="1:18" ht="15" customHeight="1">
      <c r="A54" s="600"/>
      <c r="B54" s="601"/>
      <c r="C54" s="592"/>
      <c r="D54" s="592"/>
      <c r="E54" s="594"/>
      <c r="F54" s="597"/>
      <c r="G54" s="612"/>
      <c r="H54" s="610"/>
      <c r="I54" s="163">
        <f t="shared" si="2"/>
        <v>0</v>
      </c>
      <c r="J54" s="89"/>
      <c r="K54" s="89"/>
      <c r="L54" s="89"/>
      <c r="M54" s="89"/>
      <c r="N54" s="89"/>
      <c r="O54" s="89"/>
      <c r="P54" s="404"/>
      <c r="Q54" s="405"/>
    </row>
    <row r="55" spans="1:18" ht="12" customHeight="1">
      <c r="A55" s="598" t="s">
        <v>103</v>
      </c>
      <c r="B55" s="599"/>
      <c r="C55" s="591"/>
      <c r="D55" s="591"/>
      <c r="E55" s="593">
        <f>+C55+D55</f>
        <v>0</v>
      </c>
      <c r="F55" s="596">
        <f>+E55*$H$5</f>
        <v>0</v>
      </c>
      <c r="G55" s="611">
        <f t="shared" ref="G55" si="54">+H55/$H$5</f>
        <v>2.7999999999999998E-4</v>
      </c>
      <c r="H55" s="609">
        <f t="shared" ref="H55" si="55">+F55+I55+I56</f>
        <v>1.25132</v>
      </c>
      <c r="I55" s="163">
        <f t="shared" si="2"/>
        <v>1.25132</v>
      </c>
      <c r="J55" s="89">
        <f>J67</f>
        <v>0</v>
      </c>
      <c r="K55" s="89">
        <f t="shared" ref="K55:O55" si="56">K67</f>
        <v>0</v>
      </c>
      <c r="L55" s="89">
        <f t="shared" si="56"/>
        <v>4.4690000000000001E-2</v>
      </c>
      <c r="M55" s="89">
        <f t="shared" si="56"/>
        <v>4.4690000000000001E-2</v>
      </c>
      <c r="N55" s="89">
        <f t="shared" si="56"/>
        <v>0.98318000000000005</v>
      </c>
      <c r="O55" s="89">
        <f t="shared" si="56"/>
        <v>0.17876</v>
      </c>
      <c r="P55" s="404"/>
      <c r="Q55" s="405"/>
    </row>
    <row r="56" spans="1:18" ht="12" customHeight="1">
      <c r="A56" s="600"/>
      <c r="B56" s="601"/>
      <c r="C56" s="592"/>
      <c r="D56" s="592"/>
      <c r="E56" s="594"/>
      <c r="F56" s="597"/>
      <c r="G56" s="612"/>
      <c r="H56" s="610"/>
      <c r="I56" s="163">
        <f t="shared" si="2"/>
        <v>0</v>
      </c>
      <c r="J56" s="89"/>
      <c r="K56" s="89"/>
      <c r="L56" s="89"/>
      <c r="M56" s="89"/>
      <c r="N56" s="89"/>
      <c r="O56" s="89"/>
      <c r="P56" s="404"/>
      <c r="Q56" s="405"/>
    </row>
    <row r="57" spans="1:18" ht="13.9" customHeight="1">
      <c r="A57" s="160"/>
      <c r="B57" s="161"/>
      <c r="C57" s="191">
        <f>SUM(C9:C56)</f>
        <v>0.8499996999999998</v>
      </c>
      <c r="D57" s="192">
        <f>SUM(D9:D56)</f>
        <v>0.14999999999999997</v>
      </c>
      <c r="E57" s="192">
        <f>SUM(E9:E56)</f>
        <v>0.99999969999999982</v>
      </c>
      <c r="F57" s="193">
        <f t="shared" ref="F57" si="57">SUM(F9:F56)</f>
        <v>4468.9986592999994</v>
      </c>
      <c r="G57" s="194">
        <f>SUM(G9:G56)</f>
        <v>0.99999969999999971</v>
      </c>
      <c r="H57" s="195">
        <f>SUM(H9:H56)</f>
        <v>4468.9986593000003</v>
      </c>
      <c r="I57" s="195">
        <f>SUM(I9:I56)</f>
        <v>2.2204460492503131E-16</v>
      </c>
      <c r="J57" s="138">
        <f>SUBTOTAL(9,J9:J56)</f>
        <v>2.2204460492503131E-16</v>
      </c>
      <c r="K57" s="138">
        <f>SUBTOTAL(9,K9:K56)</f>
        <v>3.5527136788005009E-15</v>
      </c>
      <c r="L57" s="138">
        <f t="shared" ref="L57:O57" si="58">SUBTOTAL(9,L9:L56)</f>
        <v>-5.5649929109335972E-15</v>
      </c>
      <c r="M57" s="138">
        <f t="shared" si="58"/>
        <v>-5.5649929109335972E-15</v>
      </c>
      <c r="N57" s="138">
        <f t="shared" si="58"/>
        <v>2.4424906541753444E-15</v>
      </c>
      <c r="O57" s="138">
        <f t="shared" si="58"/>
        <v>1.8318679906315083E-15</v>
      </c>
    </row>
    <row r="58" spans="1:18" ht="12" hidden="1" customHeight="1">
      <c r="A58" s="160"/>
      <c r="B58" s="162"/>
      <c r="C58" s="190">
        <f>+C57*H5</f>
        <v>3798.6486592999991</v>
      </c>
      <c r="D58" s="190">
        <f>+D57*H5</f>
        <v>670.3499999999998</v>
      </c>
      <c r="E58" s="190">
        <f>+E57*H5</f>
        <v>4468.9986592999994</v>
      </c>
      <c r="F58" s="190"/>
      <c r="G58" s="141"/>
      <c r="H58" s="142"/>
      <c r="I58" s="142"/>
      <c r="J58" s="138"/>
      <c r="K58" s="138"/>
      <c r="L58" s="138"/>
      <c r="M58" s="138"/>
      <c r="N58" s="138"/>
      <c r="O58" s="138"/>
    </row>
    <row r="59" spans="1:18" ht="12" customHeight="1">
      <c r="D59" s="394"/>
      <c r="E59" s="406"/>
      <c r="I59" s="164">
        <f>+I62-I66</f>
        <v>60.814598900000007</v>
      </c>
    </row>
    <row r="60" spans="1:18" ht="12" customHeight="1">
      <c r="A60" s="630" t="s">
        <v>217</v>
      </c>
      <c r="B60" s="631"/>
      <c r="C60" s="631"/>
      <c r="D60" s="631"/>
      <c r="E60" s="632"/>
    </row>
    <row r="61" spans="1:18" ht="12" customHeight="1">
      <c r="A61" s="174" t="s">
        <v>174</v>
      </c>
      <c r="B61" s="174" t="s">
        <v>175</v>
      </c>
      <c r="C61" s="637" t="s">
        <v>176</v>
      </c>
      <c r="D61" s="638"/>
      <c r="E61" s="639"/>
      <c r="F61" s="175" t="s">
        <v>200</v>
      </c>
      <c r="G61" s="176" t="s">
        <v>201</v>
      </c>
      <c r="H61" s="174" t="s">
        <v>154</v>
      </c>
      <c r="I61" s="174" t="s">
        <v>177</v>
      </c>
      <c r="J61" s="174" t="s">
        <v>84</v>
      </c>
      <c r="K61" s="177" t="s">
        <v>85</v>
      </c>
      <c r="L61" s="177" t="s">
        <v>86</v>
      </c>
      <c r="M61" s="177" t="s">
        <v>87</v>
      </c>
      <c r="N61" s="174" t="s">
        <v>88</v>
      </c>
      <c r="O61" s="174" t="s">
        <v>89</v>
      </c>
    </row>
    <row r="62" spans="1:18" ht="12" customHeight="1">
      <c r="A62" s="410">
        <v>449</v>
      </c>
      <c r="B62" s="165">
        <v>43503</v>
      </c>
      <c r="C62" s="646" t="s">
        <v>202</v>
      </c>
      <c r="D62" s="647"/>
      <c r="E62" s="648"/>
      <c r="F62" s="171" t="s">
        <v>171</v>
      </c>
      <c r="G62" s="145" t="s">
        <v>168</v>
      </c>
      <c r="H62" s="166">
        <v>1.7368100000000001E-2</v>
      </c>
      <c r="I62" s="172">
        <f t="shared" ref="I62:I63" si="59">+H62*$H$5</f>
        <v>77.618038900000002</v>
      </c>
      <c r="J62" s="400">
        <f t="shared" ref="J62:J70" si="60">+H62*$B$5</f>
        <v>0.81630069999999999</v>
      </c>
      <c r="K62" s="400">
        <f t="shared" ref="K62:K70" si="61">+H62*$C$5</f>
        <v>13.0608112</v>
      </c>
      <c r="L62" s="400">
        <f t="shared" ref="L62:L70" si="62">+H62*$D$5</f>
        <v>16.499694999999999</v>
      </c>
      <c r="M62" s="400">
        <f t="shared" ref="M62:M70" si="63">+H62*$E$5</f>
        <v>12.157670000000001</v>
      </c>
      <c r="N62" s="400">
        <f t="shared" ref="N62:N70" si="64">+H62*$F$5</f>
        <v>25.183745000000002</v>
      </c>
      <c r="O62" s="400">
        <f t="shared" ref="O62:O70" si="65">+H62*$G$5</f>
        <v>9.8998170000000005</v>
      </c>
    </row>
    <row r="63" spans="1:18" ht="12" customHeight="1">
      <c r="A63" s="411">
        <v>974</v>
      </c>
      <c r="B63" s="165">
        <v>43543</v>
      </c>
      <c r="C63" s="646" t="s">
        <v>181</v>
      </c>
      <c r="D63" s="647"/>
      <c r="E63" s="648"/>
      <c r="F63" s="186" t="s">
        <v>165</v>
      </c>
      <c r="G63" s="395" t="s">
        <v>164</v>
      </c>
      <c r="H63" s="166">
        <v>3.2455699999999997E-2</v>
      </c>
      <c r="I63" s="172">
        <f t="shared" si="59"/>
        <v>145.04452329999998</v>
      </c>
      <c r="J63" s="400">
        <f t="shared" si="60"/>
        <v>1.5254178999999999</v>
      </c>
      <c r="K63" s="400">
        <f t="shared" si="61"/>
        <v>24.406686399999998</v>
      </c>
      <c r="L63" s="400">
        <f t="shared" si="62"/>
        <v>30.832914999999996</v>
      </c>
      <c r="M63" s="400">
        <f t="shared" si="63"/>
        <v>22.718989999999998</v>
      </c>
      <c r="N63" s="400">
        <f t="shared" si="64"/>
        <v>47.060764999999996</v>
      </c>
      <c r="O63" s="400">
        <f t="shared" si="65"/>
        <v>18.499748999999998</v>
      </c>
    </row>
    <row r="64" spans="1:18" ht="10.9" customHeight="1">
      <c r="A64" s="167">
        <v>1058</v>
      </c>
      <c r="B64" s="165">
        <v>43546</v>
      </c>
      <c r="C64" s="643" t="s">
        <v>173</v>
      </c>
      <c r="D64" s="644"/>
      <c r="E64" s="645"/>
      <c r="F64" s="145" t="s">
        <v>168</v>
      </c>
      <c r="G64" s="170" t="s">
        <v>167</v>
      </c>
      <c r="H64" s="166">
        <v>2.8600000000000001E-3</v>
      </c>
      <c r="I64" s="172">
        <f>+H64*$H$5</f>
        <v>12.78134</v>
      </c>
      <c r="J64" s="400">
        <f t="shared" si="60"/>
        <v>0.13442000000000001</v>
      </c>
      <c r="K64" s="400">
        <f t="shared" si="61"/>
        <v>2.1507200000000002</v>
      </c>
      <c r="L64" s="400">
        <f t="shared" si="62"/>
        <v>2.7170000000000001</v>
      </c>
      <c r="M64" s="400">
        <f t="shared" si="63"/>
        <v>2.0020000000000002</v>
      </c>
      <c r="N64" s="400">
        <f t="shared" si="64"/>
        <v>4.1470000000000002</v>
      </c>
      <c r="O64" s="400">
        <f t="shared" si="65"/>
        <v>1.6302000000000001</v>
      </c>
    </row>
    <row r="65" spans="1:15" ht="12" customHeight="1">
      <c r="A65" s="167">
        <v>1069</v>
      </c>
      <c r="B65" s="165">
        <v>43546</v>
      </c>
      <c r="C65" s="643" t="s">
        <v>194</v>
      </c>
      <c r="D65" s="644"/>
      <c r="E65" s="645"/>
      <c r="F65" s="145" t="s">
        <v>168</v>
      </c>
      <c r="G65" s="86" t="s">
        <v>172</v>
      </c>
      <c r="H65" s="166">
        <f>0.00277</f>
        <v>2.7699999999999999E-3</v>
      </c>
      <c r="I65" s="172">
        <f>+H65*$H$5</f>
        <v>12.37913</v>
      </c>
      <c r="J65" s="400">
        <f t="shared" si="60"/>
        <v>0.13019</v>
      </c>
      <c r="K65" s="400">
        <f t="shared" si="61"/>
        <v>2.08304</v>
      </c>
      <c r="L65" s="400">
        <f t="shared" si="62"/>
        <v>2.6315</v>
      </c>
      <c r="M65" s="400">
        <f t="shared" si="63"/>
        <v>1.9389999999999998</v>
      </c>
      <c r="N65" s="400">
        <f t="shared" si="64"/>
        <v>4.0164999999999997</v>
      </c>
      <c r="O65" s="400">
        <f t="shared" si="65"/>
        <v>1.5789</v>
      </c>
    </row>
    <row r="66" spans="1:15" ht="12" customHeight="1">
      <c r="A66" s="189">
        <v>1070</v>
      </c>
      <c r="B66" s="168">
        <v>43546</v>
      </c>
      <c r="C66" s="640" t="s">
        <v>183</v>
      </c>
      <c r="D66" s="641"/>
      <c r="E66" s="642"/>
      <c r="F66" s="145" t="s">
        <v>168</v>
      </c>
      <c r="G66" s="171" t="s">
        <v>170</v>
      </c>
      <c r="H66" s="173">
        <v>3.7599999999999999E-3</v>
      </c>
      <c r="I66" s="172">
        <f t="shared" ref="I66:I71" si="66">+H66*$H$5</f>
        <v>16.803439999999998</v>
      </c>
      <c r="J66" s="400">
        <f t="shared" si="60"/>
        <v>0.17671999999999999</v>
      </c>
      <c r="K66" s="400">
        <f t="shared" si="61"/>
        <v>2.8275199999999998</v>
      </c>
      <c r="L66" s="400">
        <f t="shared" si="62"/>
        <v>3.5720000000000001</v>
      </c>
      <c r="M66" s="400">
        <f t="shared" si="63"/>
        <v>2.6320000000000001</v>
      </c>
      <c r="N66" s="400">
        <f t="shared" si="64"/>
        <v>5.452</v>
      </c>
      <c r="O66" s="400">
        <f t="shared" si="65"/>
        <v>2.1431999999999998</v>
      </c>
    </row>
    <row r="67" spans="1:15" ht="12" customHeight="1">
      <c r="A67" s="397">
        <v>12</v>
      </c>
      <c r="B67" s="165">
        <v>43525</v>
      </c>
      <c r="C67" s="643" t="s">
        <v>180</v>
      </c>
      <c r="D67" s="644"/>
      <c r="E67" s="645"/>
      <c r="F67" s="86" t="s">
        <v>178</v>
      </c>
      <c r="G67" s="86" t="s">
        <v>179</v>
      </c>
      <c r="H67" s="166">
        <v>2.7999552472588899E-4</v>
      </c>
      <c r="I67" s="396">
        <f t="shared" si="66"/>
        <v>1.2512999999999979</v>
      </c>
      <c r="J67" s="401"/>
      <c r="K67" s="401"/>
      <c r="L67" s="401">
        <v>4.4690000000000001E-2</v>
      </c>
      <c r="M67" s="401">
        <v>4.4690000000000001E-2</v>
      </c>
      <c r="N67" s="401">
        <v>0.98318000000000005</v>
      </c>
      <c r="O67" s="401">
        <v>0.17876</v>
      </c>
    </row>
    <row r="68" spans="1:15" ht="12" customHeight="1">
      <c r="A68" s="167">
        <v>1203</v>
      </c>
      <c r="B68" s="165">
        <v>43553</v>
      </c>
      <c r="C68" s="643" t="s">
        <v>195</v>
      </c>
      <c r="D68" s="644"/>
      <c r="E68" s="645"/>
      <c r="F68" s="169" t="s">
        <v>168</v>
      </c>
      <c r="G68" s="186" t="s">
        <v>165</v>
      </c>
      <c r="H68" s="166">
        <v>3.2599999999999999E-3</v>
      </c>
      <c r="I68" s="172">
        <f t="shared" si="66"/>
        <v>14.56894</v>
      </c>
      <c r="J68" s="400">
        <f t="shared" si="60"/>
        <v>0.15322</v>
      </c>
      <c r="K68" s="400">
        <f t="shared" si="61"/>
        <v>2.4515199999999999</v>
      </c>
      <c r="L68" s="400">
        <f t="shared" si="62"/>
        <v>3.097</v>
      </c>
      <c r="M68" s="400">
        <f t="shared" si="63"/>
        <v>2.282</v>
      </c>
      <c r="N68" s="400">
        <f t="shared" si="64"/>
        <v>4.7269999999999994</v>
      </c>
      <c r="O68" s="400">
        <f t="shared" si="65"/>
        <v>1.8581999999999999</v>
      </c>
    </row>
    <row r="69" spans="1:15" ht="12" customHeight="1">
      <c r="A69" s="167">
        <v>1386</v>
      </c>
      <c r="B69" s="165">
        <v>43566</v>
      </c>
      <c r="C69" s="643" t="s">
        <v>182</v>
      </c>
      <c r="D69" s="644"/>
      <c r="E69" s="645"/>
      <c r="F69" s="170" t="s">
        <v>167</v>
      </c>
      <c r="G69" s="183" t="s">
        <v>166</v>
      </c>
      <c r="H69" s="166">
        <v>3.6911300000000001E-2</v>
      </c>
      <c r="I69" s="172">
        <f t="shared" si="66"/>
        <v>164.9565997</v>
      </c>
      <c r="J69" s="400">
        <f t="shared" si="60"/>
        <v>1.7348311000000001</v>
      </c>
      <c r="K69" s="400">
        <f t="shared" si="61"/>
        <v>27.757297600000001</v>
      </c>
      <c r="L69" s="400">
        <f t="shared" si="62"/>
        <v>35.065735000000004</v>
      </c>
      <c r="M69" s="400">
        <f t="shared" si="63"/>
        <v>25.837910000000001</v>
      </c>
      <c r="N69" s="400">
        <f t="shared" si="64"/>
        <v>53.521385000000002</v>
      </c>
      <c r="O69" s="400">
        <f t="shared" si="65"/>
        <v>21.039441</v>
      </c>
    </row>
    <row r="70" spans="1:15" ht="12" customHeight="1">
      <c r="A70" s="167">
        <v>1413</v>
      </c>
      <c r="B70" s="165">
        <v>43566</v>
      </c>
      <c r="C70" s="643" t="s">
        <v>184</v>
      </c>
      <c r="D70" s="644"/>
      <c r="E70" s="645"/>
      <c r="F70" s="170" t="s">
        <v>167</v>
      </c>
      <c r="G70" s="86" t="s">
        <v>169</v>
      </c>
      <c r="H70" s="166">
        <v>1.1350000000000001E-2</v>
      </c>
      <c r="I70" s="172">
        <f t="shared" si="66"/>
        <v>50.723150000000004</v>
      </c>
      <c r="J70" s="400">
        <f t="shared" si="60"/>
        <v>0.53344999999999998</v>
      </c>
      <c r="K70" s="400">
        <f t="shared" si="61"/>
        <v>8.5351999999999997</v>
      </c>
      <c r="L70" s="400">
        <f t="shared" si="62"/>
        <v>10.782500000000001</v>
      </c>
      <c r="M70" s="400">
        <f t="shared" si="63"/>
        <v>7.9450000000000003</v>
      </c>
      <c r="N70" s="400">
        <f t="shared" si="64"/>
        <v>16.4575</v>
      </c>
      <c r="O70" s="400">
        <f t="shared" si="65"/>
        <v>6.4695</v>
      </c>
    </row>
    <row r="71" spans="1:15" ht="12" customHeight="1">
      <c r="A71" s="398">
        <v>25</v>
      </c>
      <c r="B71" s="165">
        <v>43580</v>
      </c>
      <c r="C71" s="643" t="s">
        <v>204</v>
      </c>
      <c r="D71" s="644"/>
      <c r="E71" s="645"/>
      <c r="F71" s="86" t="s">
        <v>178</v>
      </c>
      <c r="G71" s="86" t="s">
        <v>205</v>
      </c>
      <c r="H71" s="166">
        <v>2.3000000000000001E-4</v>
      </c>
      <c r="I71" s="172">
        <f t="shared" si="66"/>
        <v>1.0278700000000001</v>
      </c>
      <c r="J71" s="401"/>
      <c r="K71" s="401"/>
      <c r="L71" s="401">
        <v>4.4690000000000001E-2</v>
      </c>
      <c r="M71" s="401">
        <v>4.4690000000000001E-2</v>
      </c>
      <c r="N71" s="401">
        <v>0.80442000000000002</v>
      </c>
      <c r="O71" s="401">
        <v>0.13406999999999999</v>
      </c>
    </row>
    <row r="72" spans="1:15" ht="12" customHeight="1">
      <c r="A72" s="167">
        <v>1697</v>
      </c>
      <c r="B72" s="165">
        <v>43592</v>
      </c>
      <c r="C72" s="643" t="s">
        <v>203</v>
      </c>
      <c r="D72" s="644"/>
      <c r="E72" s="645"/>
      <c r="F72" s="183" t="s">
        <v>166</v>
      </c>
      <c r="G72" s="170" t="s">
        <v>167</v>
      </c>
      <c r="H72" s="166">
        <v>3.6911300000000001E-2</v>
      </c>
      <c r="I72" s="172">
        <f t="shared" ref="I72:I73" si="67">+H72*$H$5</f>
        <v>164.9565997</v>
      </c>
      <c r="J72" s="400">
        <f t="shared" ref="J72:J73" si="68">+H72*$B$5</f>
        <v>1.7348311000000001</v>
      </c>
      <c r="K72" s="400">
        <f t="shared" ref="K72:K73" si="69">+H72*$C$5</f>
        <v>27.757297600000001</v>
      </c>
      <c r="L72" s="400">
        <f t="shared" ref="L72:L73" si="70">+H72*$D$5</f>
        <v>35.065735000000004</v>
      </c>
      <c r="M72" s="400">
        <f t="shared" ref="M72:M73" si="71">+H72*$E$5</f>
        <v>25.837910000000001</v>
      </c>
      <c r="N72" s="400">
        <f t="shared" ref="N72:N73" si="72">+H72*$F$5</f>
        <v>53.521385000000002</v>
      </c>
      <c r="O72" s="400">
        <f t="shared" ref="O72:O73" si="73">+H72*$G$5</f>
        <v>21.039441</v>
      </c>
    </row>
    <row r="73" spans="1:15" ht="12" customHeight="1">
      <c r="A73" s="407">
        <v>1932</v>
      </c>
      <c r="B73" s="408">
        <v>43609</v>
      </c>
      <c r="C73" s="649" t="s">
        <v>207</v>
      </c>
      <c r="D73" s="650"/>
      <c r="E73" s="651"/>
      <c r="F73" s="409" t="s">
        <v>169</v>
      </c>
      <c r="G73" s="409" t="s">
        <v>167</v>
      </c>
      <c r="H73" s="166">
        <v>4.4999999999999997E-3</v>
      </c>
      <c r="I73" s="347">
        <f t="shared" si="67"/>
        <v>20.110499999999998</v>
      </c>
      <c r="J73" s="400">
        <f t="shared" si="68"/>
        <v>0.21149999999999999</v>
      </c>
      <c r="K73" s="400">
        <f t="shared" si="69"/>
        <v>3.3839999999999999</v>
      </c>
      <c r="L73" s="400">
        <f t="shared" si="70"/>
        <v>4.2749999999999995</v>
      </c>
      <c r="M73" s="400">
        <f t="shared" si="71"/>
        <v>3.15</v>
      </c>
      <c r="N73" s="400">
        <f t="shared" si="72"/>
        <v>6.5249999999999995</v>
      </c>
      <c r="O73" s="400">
        <f t="shared" si="73"/>
        <v>2.5649999999999999</v>
      </c>
    </row>
    <row r="74" spans="1:15" ht="12" customHeight="1">
      <c r="A74" s="407">
        <v>1933</v>
      </c>
      <c r="B74" s="408">
        <v>43609</v>
      </c>
      <c r="C74" s="649" t="s">
        <v>207</v>
      </c>
      <c r="D74" s="650"/>
      <c r="E74" s="651"/>
      <c r="F74" s="409" t="s">
        <v>169</v>
      </c>
      <c r="G74" s="409" t="s">
        <v>167</v>
      </c>
      <c r="H74" s="166">
        <v>4.4999999999999997E-3</v>
      </c>
      <c r="I74" s="347">
        <f t="shared" ref="I74:I76" si="74">+H74*$H$5</f>
        <v>20.110499999999998</v>
      </c>
      <c r="J74" s="400">
        <f t="shared" ref="J74" si="75">+H74*$B$5</f>
        <v>0.21149999999999999</v>
      </c>
      <c r="K74" s="400">
        <f t="shared" ref="K74" si="76">+H74*$C$5</f>
        <v>3.3839999999999999</v>
      </c>
      <c r="L74" s="400">
        <f t="shared" ref="L74" si="77">+H74*$D$5</f>
        <v>4.2749999999999995</v>
      </c>
      <c r="M74" s="400">
        <f t="shared" ref="M74" si="78">+H74*$E$5</f>
        <v>3.15</v>
      </c>
      <c r="N74" s="400">
        <f t="shared" ref="N74" si="79">+H74*$F$5</f>
        <v>6.5249999999999995</v>
      </c>
      <c r="O74" s="400">
        <f t="shared" ref="O74" si="80">+H74*$G$5</f>
        <v>2.5649999999999999</v>
      </c>
    </row>
    <row r="75" spans="1:15" ht="12" customHeight="1">
      <c r="A75" s="407">
        <v>1934</v>
      </c>
      <c r="B75" s="408">
        <v>43609</v>
      </c>
      <c r="C75" s="652" t="s">
        <v>207</v>
      </c>
      <c r="D75" s="652"/>
      <c r="E75" s="652"/>
      <c r="F75" s="407" t="s">
        <v>169</v>
      </c>
      <c r="G75" s="407" t="s">
        <v>167</v>
      </c>
      <c r="H75" s="399">
        <v>2.3500000000000001E-3</v>
      </c>
      <c r="I75" s="347">
        <f t="shared" si="74"/>
        <v>10.50215</v>
      </c>
      <c r="J75" s="400">
        <f t="shared" ref="J75:J76" si="81">+H75*$B$5</f>
        <v>0.11045000000000001</v>
      </c>
      <c r="K75" s="400">
        <f t="shared" ref="K75:K76" si="82">+H75*$C$5</f>
        <v>1.7672000000000001</v>
      </c>
      <c r="L75" s="400">
        <f t="shared" ref="L75:L76" si="83">+H75*$D$5</f>
        <v>2.2324999999999999</v>
      </c>
      <c r="M75" s="400">
        <f t="shared" ref="M75:M76" si="84">+H75*$E$5</f>
        <v>1.645</v>
      </c>
      <c r="N75" s="400">
        <f t="shared" ref="N75:N76" si="85">+H75*$F$5</f>
        <v>3.4075000000000002</v>
      </c>
      <c r="O75" s="400">
        <f t="shared" ref="O75:O76" si="86">+H75*$G$5</f>
        <v>1.3395000000000001</v>
      </c>
    </row>
    <row r="76" spans="1:15" ht="12" customHeight="1">
      <c r="A76" s="407">
        <v>2318</v>
      </c>
      <c r="B76" s="408">
        <v>43643</v>
      </c>
      <c r="C76" s="407" t="s">
        <v>218</v>
      </c>
      <c r="D76" s="407"/>
      <c r="E76" s="407"/>
      <c r="F76" s="407" t="s">
        <v>164</v>
      </c>
      <c r="G76" s="407" t="s">
        <v>219</v>
      </c>
      <c r="H76" s="143">
        <v>3.2485699999999999E-2</v>
      </c>
      <c r="I76" s="143">
        <f t="shared" si="74"/>
        <v>145.17859329999999</v>
      </c>
      <c r="J76" s="400">
        <f t="shared" si="81"/>
        <v>1.5268279</v>
      </c>
      <c r="K76" s="400">
        <f t="shared" si="82"/>
        <v>24.4292464</v>
      </c>
      <c r="L76" s="400">
        <f t="shared" si="83"/>
        <v>30.861415000000001</v>
      </c>
      <c r="M76" s="400">
        <f t="shared" si="84"/>
        <v>22.739989999999999</v>
      </c>
      <c r="N76" s="400">
        <f t="shared" si="85"/>
        <v>47.104264999999998</v>
      </c>
      <c r="O76" s="400">
        <f t="shared" si="86"/>
        <v>18.516849000000001</v>
      </c>
    </row>
    <row r="82" spans="1:16" s="160" customFormat="1" ht="12" customHeight="1"/>
    <row r="83" spans="1:16" s="160" customFormat="1" ht="12" customHeight="1"/>
    <row r="84" spans="1:16" s="160" customFormat="1" ht="12" customHeight="1"/>
    <row r="85" spans="1:16" s="160" customFormat="1" ht="12" customHeight="1"/>
    <row r="86" spans="1:16" s="160" customFormat="1" ht="12" customHeight="1"/>
    <row r="87" spans="1:16" s="160" customFormat="1" ht="12" customHeight="1"/>
    <row r="88" spans="1:16" s="160" customFormat="1" ht="12" customHeight="1"/>
    <row r="89" spans="1:16" ht="12" customHeight="1">
      <c r="A89" s="633" t="s">
        <v>191</v>
      </c>
      <c r="B89" s="633"/>
      <c r="C89" s="633"/>
      <c r="D89" s="633"/>
      <c r="E89" s="633"/>
      <c r="F89" s="178"/>
      <c r="G89" s="178"/>
      <c r="H89" s="178"/>
      <c r="I89" s="178"/>
      <c r="J89" s="178"/>
      <c r="K89" s="178"/>
      <c r="L89" s="178"/>
      <c r="M89" s="178"/>
      <c r="N89" s="178"/>
      <c r="O89" s="178"/>
    </row>
    <row r="90" spans="1:16" ht="12" customHeight="1">
      <c r="A90" s="179" t="s">
        <v>189</v>
      </c>
      <c r="B90" s="179" t="s">
        <v>175</v>
      </c>
      <c r="C90" s="634" t="s">
        <v>176</v>
      </c>
      <c r="D90" s="635"/>
      <c r="E90" s="636"/>
      <c r="F90" s="175" t="s">
        <v>162</v>
      </c>
      <c r="G90" s="176" t="s">
        <v>163</v>
      </c>
      <c r="H90" s="179" t="s">
        <v>154</v>
      </c>
      <c r="I90" s="179" t="s">
        <v>190</v>
      </c>
      <c r="J90" s="179" t="s">
        <v>84</v>
      </c>
      <c r="K90" s="179" t="s">
        <v>85</v>
      </c>
      <c r="L90" s="179" t="s">
        <v>86</v>
      </c>
      <c r="M90" s="179" t="s">
        <v>87</v>
      </c>
      <c r="N90" s="179" t="s">
        <v>88</v>
      </c>
      <c r="O90" s="179" t="s">
        <v>89</v>
      </c>
    </row>
    <row r="91" spans="1:16" ht="12" customHeight="1">
      <c r="A91" s="184">
        <v>752</v>
      </c>
      <c r="B91" s="185">
        <v>43523</v>
      </c>
      <c r="C91" s="180" t="s">
        <v>192</v>
      </c>
      <c r="D91" s="180"/>
      <c r="E91" s="86"/>
      <c r="F91" s="86" t="s">
        <v>193</v>
      </c>
      <c r="G91" s="181" t="s">
        <v>171</v>
      </c>
      <c r="H91" s="86">
        <f>+I91/H5</f>
        <v>4.9187737748937121E-3</v>
      </c>
      <c r="I91" s="182">
        <v>21.981999999999999</v>
      </c>
      <c r="J91" s="86"/>
      <c r="K91" s="86">
        <v>21.98</v>
      </c>
      <c r="L91" s="86"/>
      <c r="M91" s="86"/>
      <c r="N91" s="86"/>
      <c r="O91" s="86"/>
    </row>
    <row r="94" spans="1:16" ht="12" customHeight="1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</row>
    <row r="95" spans="1:16" ht="12" customHeight="1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</row>
    <row r="96" spans="1:16" ht="12" customHeight="1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</row>
  </sheetData>
  <mergeCells count="188">
    <mergeCell ref="A60:E60"/>
    <mergeCell ref="A89:E89"/>
    <mergeCell ref="C90:E90"/>
    <mergeCell ref="C61:E61"/>
    <mergeCell ref="C66:E66"/>
    <mergeCell ref="C65:E65"/>
    <mergeCell ref="C64:E64"/>
    <mergeCell ref="C67:E67"/>
    <mergeCell ref="C68:E68"/>
    <mergeCell ref="C69:E69"/>
    <mergeCell ref="C70:E70"/>
    <mergeCell ref="C62:E62"/>
    <mergeCell ref="C63:E63"/>
    <mergeCell ref="C72:E72"/>
    <mergeCell ref="C71:E71"/>
    <mergeCell ref="C73:E73"/>
    <mergeCell ref="C74:E74"/>
    <mergeCell ref="C75:E75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J7:O7"/>
    <mergeCell ref="G9:G10"/>
    <mergeCell ref="G11:G12"/>
    <mergeCell ref="G13:G14"/>
    <mergeCell ref="G15:G16"/>
    <mergeCell ref="G17:G18"/>
    <mergeCell ref="G19:G20"/>
    <mergeCell ref="G21:G22"/>
    <mergeCell ref="G23:G24"/>
    <mergeCell ref="H9:H10"/>
    <mergeCell ref="H11:H12"/>
    <mergeCell ref="H13:H14"/>
    <mergeCell ref="H15:H16"/>
    <mergeCell ref="H17:H18"/>
    <mergeCell ref="H19:H20"/>
    <mergeCell ref="H21:H22"/>
    <mergeCell ref="H23:H24"/>
    <mergeCell ref="A49:B50"/>
    <mergeCell ref="A51:B52"/>
    <mergeCell ref="A53:B54"/>
    <mergeCell ref="A55:B56"/>
    <mergeCell ref="H43:H44"/>
    <mergeCell ref="H45:H46"/>
    <mergeCell ref="H47:H48"/>
    <mergeCell ref="H49:H50"/>
    <mergeCell ref="H51:H52"/>
    <mergeCell ref="H53:H54"/>
    <mergeCell ref="H55:H56"/>
    <mergeCell ref="G45:G46"/>
    <mergeCell ref="G47:G48"/>
    <mergeCell ref="G49:G50"/>
    <mergeCell ref="G51:G52"/>
    <mergeCell ref="G53:G54"/>
    <mergeCell ref="G55:G56"/>
    <mergeCell ref="F45:F46"/>
    <mergeCell ref="F47:F48"/>
    <mergeCell ref="F49:F50"/>
    <mergeCell ref="F51:F52"/>
    <mergeCell ref="F53:F54"/>
    <mergeCell ref="F55:F56"/>
    <mergeCell ref="C45:C46"/>
    <mergeCell ref="A8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G43:G44"/>
    <mergeCell ref="F43:F44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F27:F28"/>
    <mergeCell ref="F29:F30"/>
    <mergeCell ref="F31:F32"/>
    <mergeCell ref="F33:F34"/>
    <mergeCell ref="F35:F3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C49:C50"/>
    <mergeCell ref="C51:C52"/>
    <mergeCell ref="D49:D50"/>
    <mergeCell ref="D51:D52"/>
    <mergeCell ref="D53:D54"/>
    <mergeCell ref="D55:D56"/>
    <mergeCell ref="C53:C54"/>
    <mergeCell ref="C55:C56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D35:D36"/>
    <mergeCell ref="D11:D12"/>
    <mergeCell ref="D13:D14"/>
    <mergeCell ref="D15:D16"/>
    <mergeCell ref="D17:D18"/>
    <mergeCell ref="D19:D20"/>
    <mergeCell ref="D21:D22"/>
    <mergeCell ref="F37:F38"/>
    <mergeCell ref="F39:F40"/>
    <mergeCell ref="F41:F42"/>
    <mergeCell ref="D39:D40"/>
    <mergeCell ref="D41:D42"/>
    <mergeCell ref="D43:D44"/>
    <mergeCell ref="D45:D46"/>
    <mergeCell ref="D47:D48"/>
    <mergeCell ref="A41:B42"/>
    <mergeCell ref="A43:B44"/>
    <mergeCell ref="A45:B46"/>
    <mergeCell ref="A47:B48"/>
    <mergeCell ref="E43:E44"/>
    <mergeCell ref="E41:E42"/>
    <mergeCell ref="E39:E40"/>
    <mergeCell ref="E37:E38"/>
    <mergeCell ref="C47:C48"/>
    <mergeCell ref="D37:D38"/>
    <mergeCell ref="E33:E34"/>
    <mergeCell ref="E35:E36"/>
    <mergeCell ref="E51:E52"/>
    <mergeCell ref="E53:E54"/>
    <mergeCell ref="E55:E56"/>
    <mergeCell ref="E49:E50"/>
    <mergeCell ref="E47:E48"/>
    <mergeCell ref="E45:E46"/>
    <mergeCell ref="D33:D34"/>
    <mergeCell ref="D9:D10"/>
    <mergeCell ref="E11:E12"/>
    <mergeCell ref="E9:E10"/>
    <mergeCell ref="E21:E22"/>
    <mergeCell ref="E19:E20"/>
    <mergeCell ref="E17:E18"/>
    <mergeCell ref="E15:E16"/>
    <mergeCell ref="E13:E14"/>
    <mergeCell ref="E31:E32"/>
    <mergeCell ref="E29:E30"/>
    <mergeCell ref="E27:E28"/>
    <mergeCell ref="E25:E26"/>
    <mergeCell ref="E23:E24"/>
    <mergeCell ref="D29:D30"/>
    <mergeCell ref="D31:D32"/>
    <mergeCell ref="D23:D24"/>
    <mergeCell ref="D25:D26"/>
    <mergeCell ref="D27:D28"/>
  </mergeCells>
  <conditionalFormatting sqref="F62 J9:O56">
    <cfRule type="cellIs" dxfId="9" priority="37" operator="lessThan">
      <formula>0</formula>
    </cfRule>
  </conditionalFormatting>
  <conditionalFormatting sqref="I9:I56 J15:O15 J9:O9 J49:O49 J55:O55 J35:O35 J45:O45 J53:O53 J25:O25">
    <cfRule type="cellIs" dxfId="8" priority="32" operator="greaterThan">
      <formula>0</formula>
    </cfRule>
    <cfRule type="cellIs" dxfId="7" priority="33" operator="greaterThan">
      <formula>0</formula>
    </cfRule>
    <cfRule type="cellIs" dxfId="6" priority="34" operator="lessThan">
      <formula>0</formula>
    </cfRule>
  </conditionalFormatting>
  <conditionalFormatting sqref="J51:O51">
    <cfRule type="cellIs" dxfId="5" priority="4" operator="greaterThan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J21:O21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Resumen anual_</vt:lpstr>
      <vt:lpstr>Resumen periodo</vt:lpstr>
      <vt:lpstr>Control Cuota Artesanal</vt:lpstr>
      <vt:lpstr>Control Cuota LTP</vt:lpstr>
      <vt:lpstr>PESCA INVES y FA</vt:lpstr>
      <vt:lpstr>Movimientos-Camaronailon</vt:lpstr>
      <vt:lpstr>'Resumen anual_'!Área_de_impresión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ZULETA ESPINOZA, GERALDINE</cp:lastModifiedBy>
  <dcterms:created xsi:type="dcterms:W3CDTF">2017-08-21T13:03:00Z</dcterms:created>
  <dcterms:modified xsi:type="dcterms:W3CDTF">2019-12-05T18:44:12Z</dcterms:modified>
</cp:coreProperties>
</file>