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4368" yWindow="972" windowWidth="19260" windowHeight="9228" tabRatio="1000" activeTab="7"/>
  </bookViews>
  <sheets>
    <sheet name="Resumen anual" sheetId="7" r:id="rId1"/>
    <sheet name="P.Invest-Fauna Acomp" sheetId="23" state="hidden" r:id="rId2"/>
    <sheet name="Resumen periodo" sheetId="6" r:id="rId3"/>
    <sheet name="Control Cuota Artesanal III-IV" sheetId="2" r:id="rId4"/>
    <sheet name="FUP" sheetId="25" state="hidden" r:id="rId5"/>
    <sheet name="Control Cuota LTP III-IV" sheetId="11" r:id="rId6"/>
    <sheet name="Control Cuota Licitada V-VIII " sheetId="13" r:id="rId7"/>
    <sheet name="Movimientos_Ltp_Pep" sheetId="20" r:id="rId8"/>
    <sheet name="Hoja1" sheetId="24" state="hidden" r:id="rId9"/>
  </sheets>
  <externalReferences>
    <externalReference r:id="rId10"/>
    <externalReference r:id="rId11"/>
  </externalReferences>
  <definedNames>
    <definedName name="_xlnm._FilterDatabase" localSheetId="7" hidden="1">Movimientos_Ltp_Pep!$B$87:$L$94</definedName>
    <definedName name="_xlnm.Print_Area" localSheetId="0">'Resumen anual'!$A$1:$I$14</definedName>
  </definedNames>
  <calcPr calcId="125725"/>
</workbook>
</file>

<file path=xl/calcChain.xml><?xml version="1.0" encoding="utf-8"?>
<calcChain xmlns="http://schemas.openxmlformats.org/spreadsheetml/2006/main">
  <c r="L81" i="20"/>
  <c r="J82"/>
  <c r="J81"/>
  <c r="M81"/>
  <c r="K79"/>
  <c r="J75"/>
  <c r="K61"/>
  <c r="L79"/>
  <c r="J79"/>
  <c r="L95"/>
  <c r="J95" s="1"/>
  <c r="I95"/>
  <c r="C36" i="2" l="1"/>
  <c r="L11" i="11"/>
  <c r="O10" i="13"/>
  <c r="I10"/>
  <c r="H47"/>
  <c r="H48"/>
  <c r="H49"/>
  <c r="H50"/>
  <c r="H51"/>
  <c r="H46"/>
  <c r="O30"/>
  <c r="K59" i="20"/>
  <c r="M14" i="13" s="1"/>
  <c r="K92" i="20"/>
  <c r="J92"/>
  <c r="J59" s="1"/>
  <c r="G14" i="13" s="1"/>
  <c r="M10"/>
  <c r="M11"/>
  <c r="M13"/>
  <c r="M15"/>
  <c r="M17"/>
  <c r="M18"/>
  <c r="M19"/>
  <c r="M20"/>
  <c r="M21"/>
  <c r="M22"/>
  <c r="M23"/>
  <c r="M25"/>
  <c r="M26"/>
  <c r="M27"/>
  <c r="M28"/>
  <c r="M29"/>
  <c r="M31"/>
  <c r="M32"/>
  <c r="M33"/>
  <c r="M34"/>
  <c r="M35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G10"/>
  <c r="G11"/>
  <c r="G13"/>
  <c r="G15"/>
  <c r="G17"/>
  <c r="G18"/>
  <c r="G19"/>
  <c r="G20"/>
  <c r="G21"/>
  <c r="G22"/>
  <c r="G23"/>
  <c r="G25"/>
  <c r="G26"/>
  <c r="G27"/>
  <c r="G28"/>
  <c r="G29"/>
  <c r="G30"/>
  <c r="G31"/>
  <c r="G32"/>
  <c r="G33"/>
  <c r="G34"/>
  <c r="G35"/>
  <c r="U37"/>
  <c r="O37"/>
  <c r="I37"/>
  <c r="H52" l="1"/>
  <c r="L89" i="20"/>
  <c r="K89" s="1"/>
  <c r="K75" s="1"/>
  <c r="M30" i="13" s="1"/>
  <c r="L90" i="20"/>
  <c r="K90" s="1"/>
  <c r="K57" s="1"/>
  <c r="M12" i="13" s="1"/>
  <c r="L91" i="20"/>
  <c r="J91" s="1"/>
  <c r="L92"/>
  <c r="L93"/>
  <c r="K93" s="1"/>
  <c r="L94"/>
  <c r="J94" s="1"/>
  <c r="J61" s="1"/>
  <c r="G16" i="13" s="1"/>
  <c r="L88" i="20"/>
  <c r="K88"/>
  <c r="K69" s="1"/>
  <c r="M24" i="13" s="1"/>
  <c r="J88" i="20"/>
  <c r="J69" s="1"/>
  <c r="G24" i="13" s="1"/>
  <c r="J57" i="20" l="1"/>
  <c r="G12" i="13" s="1"/>
  <c r="J53" i="20"/>
  <c r="K53"/>
  <c r="E81"/>
  <c r="H55"/>
  <c r="F10" i="13" s="1"/>
  <c r="I55" i="20"/>
  <c r="H56"/>
  <c r="F11" i="13" s="1"/>
  <c r="I56" i="20"/>
  <c r="H57"/>
  <c r="F12" i="13" s="1"/>
  <c r="I57" i="20"/>
  <c r="H58"/>
  <c r="F13" i="13" s="1"/>
  <c r="I58" i="20"/>
  <c r="H59"/>
  <c r="I59"/>
  <c r="H60"/>
  <c r="F15" i="13" s="1"/>
  <c r="I60" i="20"/>
  <c r="H61"/>
  <c r="I61"/>
  <c r="H62"/>
  <c r="F17" i="13" s="1"/>
  <c r="I62" i="20"/>
  <c r="H63"/>
  <c r="F18" i="13" s="1"/>
  <c r="I63" i="20"/>
  <c r="H64"/>
  <c r="I64"/>
  <c r="H65"/>
  <c r="F20" i="13" s="1"/>
  <c r="I65" i="20"/>
  <c r="H66"/>
  <c r="F21" i="13" s="1"/>
  <c r="I66" i="20"/>
  <c r="H67"/>
  <c r="I67"/>
  <c r="H68"/>
  <c r="F23" i="13" s="1"/>
  <c r="I68" i="20"/>
  <c r="H69"/>
  <c r="I69"/>
  <c r="H70"/>
  <c r="I70"/>
  <c r="H71"/>
  <c r="F26" i="13" s="1"/>
  <c r="I71" i="20"/>
  <c r="H72"/>
  <c r="F27" i="13" s="1"/>
  <c r="I72" i="20"/>
  <c r="H73"/>
  <c r="F28" i="13" s="1"/>
  <c r="I73" i="20"/>
  <c r="H74"/>
  <c r="F29" i="13" s="1"/>
  <c r="I74" i="20"/>
  <c r="H75"/>
  <c r="I75"/>
  <c r="H76"/>
  <c r="F31" i="13" s="1"/>
  <c r="I76" i="20"/>
  <c r="H77"/>
  <c r="I77"/>
  <c r="H78"/>
  <c r="F33" i="13" s="1"/>
  <c r="I78" i="20"/>
  <c r="H79"/>
  <c r="F34" i="13" s="1"/>
  <c r="I79" i="20"/>
  <c r="H80"/>
  <c r="I80"/>
  <c r="I54"/>
  <c r="H54"/>
  <c r="I53"/>
  <c r="H53"/>
  <c r="H81" s="1"/>
  <c r="F14" i="13"/>
  <c r="F16"/>
  <c r="F22"/>
  <c r="F24"/>
  <c r="F30"/>
  <c r="F32"/>
  <c r="F19"/>
  <c r="F25"/>
  <c r="F35"/>
  <c r="E12"/>
  <c r="E14"/>
  <c r="E16"/>
  <c r="E18"/>
  <c r="E20"/>
  <c r="E22"/>
  <c r="E24"/>
  <c r="E26"/>
  <c r="E28"/>
  <c r="E30"/>
  <c r="E32"/>
  <c r="E34"/>
  <c r="E10"/>
  <c r="E8"/>
  <c r="C10"/>
  <c r="C12"/>
  <c r="C14"/>
  <c r="C16"/>
  <c r="C18"/>
  <c r="C20"/>
  <c r="C22"/>
  <c r="C24"/>
  <c r="C26"/>
  <c r="C28"/>
  <c r="C30"/>
  <c r="C32"/>
  <c r="C34"/>
  <c r="C8"/>
  <c r="U19"/>
  <c r="U18"/>
  <c r="O18"/>
  <c r="G54" i="20" l="1"/>
  <c r="G53"/>
  <c r="H82"/>
  <c r="I82"/>
  <c r="I81"/>
  <c r="AA18" i="13"/>
  <c r="E26" i="20" l="1"/>
  <c r="E10"/>
  <c r="E40" s="1"/>
  <c r="E14"/>
  <c r="E18"/>
  <c r="E17"/>
  <c r="E23"/>
  <c r="F52" i="13"/>
  <c r="F53" s="1"/>
  <c r="E52"/>
  <c r="G52"/>
  <c r="D52"/>
  <c r="D53" s="1"/>
  <c r="N21" i="11"/>
  <c r="D49"/>
  <c r="N11"/>
  <c r="O16" i="13"/>
  <c r="O14"/>
  <c r="O12"/>
  <c r="O8"/>
  <c r="I8"/>
  <c r="I12"/>
  <c r="I14"/>
  <c r="I16"/>
  <c r="N15" i="11"/>
  <c r="N7"/>
  <c r="H17" i="2"/>
  <c r="H15"/>
  <c r="H13"/>
  <c r="H11"/>
  <c r="H9"/>
  <c r="H10" i="6"/>
  <c r="O36" i="13" l="1"/>
  <c r="I36"/>
  <c r="N37" i="11"/>
  <c r="E39" i="20"/>
  <c r="G9" i="7"/>
  <c r="J23" i="2"/>
  <c r="I23"/>
  <c r="E19" l="1"/>
  <c r="H20" l="1"/>
  <c r="H19"/>
  <c r="F20"/>
  <c r="F19"/>
  <c r="N19" s="1"/>
  <c r="E20"/>
  <c r="M19" l="1"/>
  <c r="G19" l="1"/>
  <c r="I19" s="1"/>
  <c r="U8" i="13" l="1"/>
  <c r="M16"/>
  <c r="M8"/>
  <c r="L8"/>
  <c r="L36" s="1"/>
  <c r="D49" i="20"/>
  <c r="C49"/>
  <c r="E48"/>
  <c r="E47"/>
  <c r="M36" i="13" l="1"/>
  <c r="S19"/>
  <c r="G8"/>
  <c r="G9"/>
  <c r="G37" s="1"/>
  <c r="M9"/>
  <c r="M37" s="1"/>
  <c r="L9"/>
  <c r="L37" s="1"/>
  <c r="F9"/>
  <c r="F37" s="1"/>
  <c r="K81" i="20"/>
  <c r="E49"/>
  <c r="K82"/>
  <c r="S8" i="13" l="1"/>
  <c r="G36"/>
  <c r="S18"/>
  <c r="Y18" s="1"/>
  <c r="F69" i="20"/>
  <c r="L69" s="1"/>
  <c r="M69" s="1"/>
  <c r="F77"/>
  <c r="L77" s="1"/>
  <c r="M77" s="1"/>
  <c r="F57"/>
  <c r="L57" s="1"/>
  <c r="M57" s="1"/>
  <c r="F73"/>
  <c r="L73" s="1"/>
  <c r="M73" s="1"/>
  <c r="F55"/>
  <c r="L55" s="1"/>
  <c r="M55" s="1"/>
  <c r="F63"/>
  <c r="L63" s="1"/>
  <c r="M63" s="1"/>
  <c r="F71"/>
  <c r="L71" s="1"/>
  <c r="M71" s="1"/>
  <c r="F79"/>
  <c r="M79" s="1"/>
  <c r="F61"/>
  <c r="L61" s="1"/>
  <c r="M61" s="1"/>
  <c r="F59"/>
  <c r="L59" s="1"/>
  <c r="M59" s="1"/>
  <c r="F67"/>
  <c r="L67" s="1"/>
  <c r="M67" s="1"/>
  <c r="F75"/>
  <c r="L75" s="1"/>
  <c r="M75" s="1"/>
  <c r="F65"/>
  <c r="L65" s="1"/>
  <c r="M65" s="1"/>
  <c r="F53"/>
  <c r="R19" i="13"/>
  <c r="N18"/>
  <c r="P18" s="1"/>
  <c r="G56" i="20"/>
  <c r="G55"/>
  <c r="F8" i="13"/>
  <c r="F36" s="1"/>
  <c r="F81" i="20" l="1"/>
  <c r="L53"/>
  <c r="H18" i="13"/>
  <c r="J18" s="1"/>
  <c r="H19" s="1"/>
  <c r="J19" s="1"/>
  <c r="R18"/>
  <c r="N19"/>
  <c r="P19" s="1"/>
  <c r="M53" i="20" l="1"/>
  <c r="X18" i="13"/>
  <c r="Z18" s="1"/>
  <c r="T18"/>
  <c r="V18" s="1"/>
  <c r="T19" s="1"/>
  <c r="V19" s="1"/>
  <c r="C11" i="11"/>
  <c r="C13"/>
  <c r="C15"/>
  <c r="C17"/>
  <c r="C19"/>
  <c r="C21"/>
  <c r="C23"/>
  <c r="C25"/>
  <c r="C27"/>
  <c r="C29"/>
  <c r="C31"/>
  <c r="C33"/>
  <c r="C35"/>
  <c r="C9"/>
  <c r="C7"/>
  <c r="AC18" i="13" l="1"/>
  <c r="AB18"/>
  <c r="D4" i="20"/>
  <c r="C4"/>
  <c r="D3"/>
  <c r="C3"/>
  <c r="K40"/>
  <c r="K39"/>
  <c r="J40"/>
  <c r="H14" l="1"/>
  <c r="H18"/>
  <c r="H22"/>
  <c r="H26"/>
  <c r="H30"/>
  <c r="H34"/>
  <c r="H38"/>
  <c r="H20"/>
  <c r="H24"/>
  <c r="H32"/>
  <c r="H10"/>
  <c r="H16"/>
  <c r="H28"/>
  <c r="H36"/>
  <c r="H12"/>
  <c r="I14"/>
  <c r="I18"/>
  <c r="I22"/>
  <c r="I26"/>
  <c r="I30"/>
  <c r="I34"/>
  <c r="I38"/>
  <c r="I12"/>
  <c r="I16"/>
  <c r="I20"/>
  <c r="I28"/>
  <c r="I32"/>
  <c r="I24"/>
  <c r="I36"/>
  <c r="I10"/>
  <c r="I37"/>
  <c r="I9"/>
  <c r="I11"/>
  <c r="I19"/>
  <c r="I27"/>
  <c r="I35"/>
  <c r="I13"/>
  <c r="I17"/>
  <c r="I21"/>
  <c r="I25"/>
  <c r="I29"/>
  <c r="I33"/>
  <c r="I15"/>
  <c r="I23"/>
  <c r="I31"/>
  <c r="H9"/>
  <c r="H17"/>
  <c r="H25"/>
  <c r="H37"/>
  <c r="H15"/>
  <c r="H23"/>
  <c r="H27"/>
  <c r="H35"/>
  <c r="H13"/>
  <c r="H21"/>
  <c r="H29"/>
  <c r="H33"/>
  <c r="H19"/>
  <c r="H31"/>
  <c r="H11"/>
  <c r="J39"/>
  <c r="G61"/>
  <c r="E4"/>
  <c r="D5"/>
  <c r="C5"/>
  <c r="E3"/>
  <c r="G10" l="1"/>
  <c r="G9"/>
  <c r="G59"/>
  <c r="G72"/>
  <c r="G79"/>
  <c r="G69"/>
  <c r="G71"/>
  <c r="G73"/>
  <c r="G75"/>
  <c r="G68"/>
  <c r="G58"/>
  <c r="G62"/>
  <c r="G70"/>
  <c r="G74"/>
  <c r="G67"/>
  <c r="G77"/>
  <c r="G65"/>
  <c r="G57"/>
  <c r="G63"/>
  <c r="E5"/>
  <c r="L20" i="11"/>
  <c r="L24"/>
  <c r="L36"/>
  <c r="F32"/>
  <c r="F17"/>
  <c r="L17"/>
  <c r="F18"/>
  <c r="L18"/>
  <c r="F19"/>
  <c r="L19"/>
  <c r="F20"/>
  <c r="F21"/>
  <c r="L21"/>
  <c r="F22"/>
  <c r="L22"/>
  <c r="F23"/>
  <c r="L23"/>
  <c r="F24"/>
  <c r="F25"/>
  <c r="L25"/>
  <c r="F26"/>
  <c r="L26"/>
  <c r="F27"/>
  <c r="L27"/>
  <c r="F28"/>
  <c r="L28"/>
  <c r="F29"/>
  <c r="L29"/>
  <c r="F30"/>
  <c r="L30"/>
  <c r="F31"/>
  <c r="L31"/>
  <c r="L32"/>
  <c r="F33"/>
  <c r="L33"/>
  <c r="F34"/>
  <c r="L34"/>
  <c r="F35"/>
  <c r="L35"/>
  <c r="F36"/>
  <c r="F11"/>
  <c r="F12"/>
  <c r="L12"/>
  <c r="F13"/>
  <c r="L13"/>
  <c r="F14"/>
  <c r="L14"/>
  <c r="F15"/>
  <c r="L15"/>
  <c r="F16"/>
  <c r="L16"/>
  <c r="L9"/>
  <c r="L10"/>
  <c r="F10"/>
  <c r="L8"/>
  <c r="F8"/>
  <c r="F15" i="20" l="1"/>
  <c r="F23"/>
  <c r="F31"/>
  <c r="F9"/>
  <c r="L9" s="1"/>
  <c r="F13"/>
  <c r="F21"/>
  <c r="F37"/>
  <c r="F11"/>
  <c r="F19"/>
  <c r="F35"/>
  <c r="F17"/>
  <c r="F33"/>
  <c r="F29"/>
  <c r="F27"/>
  <c r="F25"/>
  <c r="G78"/>
  <c r="G81"/>
  <c r="G76"/>
  <c r="G64"/>
  <c r="G60"/>
  <c r="G80"/>
  <c r="G66"/>
  <c r="F39" l="1"/>
  <c r="G82"/>
  <c r="U16" i="13" l="1"/>
  <c r="U9" l="1"/>
  <c r="AA8" l="1"/>
  <c r="F9" i="11" l="1"/>
  <c r="L7"/>
  <c r="F7"/>
  <c r="K36" l="1"/>
  <c r="E36"/>
  <c r="K35"/>
  <c r="E35"/>
  <c r="E34"/>
  <c r="K33"/>
  <c r="E33"/>
  <c r="L35" i="20"/>
  <c r="M35" s="1"/>
  <c r="K32" i="11"/>
  <c r="E32"/>
  <c r="K31"/>
  <c r="E31"/>
  <c r="K30"/>
  <c r="E30"/>
  <c r="K29"/>
  <c r="E29"/>
  <c r="K28"/>
  <c r="E28"/>
  <c r="E27"/>
  <c r="K26"/>
  <c r="E26"/>
  <c r="K25"/>
  <c r="E25"/>
  <c r="K24"/>
  <c r="E24"/>
  <c r="K23"/>
  <c r="E23"/>
  <c r="K22"/>
  <c r="E22"/>
  <c r="K21"/>
  <c r="E21"/>
  <c r="L23" i="20"/>
  <c r="M23" s="1"/>
  <c r="K20" i="11"/>
  <c r="E20"/>
  <c r="K19"/>
  <c r="E19"/>
  <c r="K18"/>
  <c r="E18"/>
  <c r="K17"/>
  <c r="E17"/>
  <c r="E16"/>
  <c r="K16"/>
  <c r="K14"/>
  <c r="E14"/>
  <c r="K13"/>
  <c r="E13"/>
  <c r="L13" i="20"/>
  <c r="M13" s="1"/>
  <c r="E12" i="11"/>
  <c r="K10"/>
  <c r="E10"/>
  <c r="E9"/>
  <c r="L11" i="20"/>
  <c r="L33"/>
  <c r="M33" s="1"/>
  <c r="B18" i="7"/>
  <c r="N38" i="11"/>
  <c r="L38"/>
  <c r="L37"/>
  <c r="H38"/>
  <c r="H37"/>
  <c r="F38"/>
  <c r="F37"/>
  <c r="T30"/>
  <c r="R30"/>
  <c r="T29"/>
  <c r="T28"/>
  <c r="R28"/>
  <c r="T27"/>
  <c r="R27"/>
  <c r="T24"/>
  <c r="R24"/>
  <c r="T23"/>
  <c r="R23"/>
  <c r="T20"/>
  <c r="R20"/>
  <c r="T19"/>
  <c r="R19"/>
  <c r="R17"/>
  <c r="T17"/>
  <c r="R18"/>
  <c r="T18"/>
  <c r="T16"/>
  <c r="R16"/>
  <c r="T15"/>
  <c r="T14"/>
  <c r="R14"/>
  <c r="T13"/>
  <c r="R13"/>
  <c r="T12"/>
  <c r="R12"/>
  <c r="T11"/>
  <c r="R11"/>
  <c r="M19" l="1"/>
  <c r="O19" s="1"/>
  <c r="G19"/>
  <c r="I19" s="1"/>
  <c r="M23"/>
  <c r="P23" s="1"/>
  <c r="G17"/>
  <c r="Q17"/>
  <c r="S17" s="1"/>
  <c r="U17" s="1"/>
  <c r="Q30"/>
  <c r="Q28"/>
  <c r="M13"/>
  <c r="Q13"/>
  <c r="S13" s="1"/>
  <c r="U13" s="1"/>
  <c r="Q14"/>
  <c r="Q18"/>
  <c r="M17"/>
  <c r="G23"/>
  <c r="G36" i="20"/>
  <c r="K34" i="11"/>
  <c r="G13"/>
  <c r="G27"/>
  <c r="M29"/>
  <c r="G29" i="20"/>
  <c r="K27" i="11"/>
  <c r="G11" i="20"/>
  <c r="K9" i="11"/>
  <c r="Q29"/>
  <c r="Z27"/>
  <c r="G25" i="20"/>
  <c r="G12"/>
  <c r="G35"/>
  <c r="G34"/>
  <c r="G15"/>
  <c r="G19"/>
  <c r="G21"/>
  <c r="G18"/>
  <c r="G22"/>
  <c r="G24"/>
  <c r="G28"/>
  <c r="G16"/>
  <c r="G37"/>
  <c r="G23"/>
  <c r="Z23" i="11"/>
  <c r="Z15"/>
  <c r="Z11"/>
  <c r="G30" i="20"/>
  <c r="G26"/>
  <c r="G31"/>
  <c r="G33"/>
  <c r="M9"/>
  <c r="G27"/>
  <c r="G32"/>
  <c r="G20"/>
  <c r="G38"/>
  <c r="M11"/>
  <c r="K8" i="11"/>
  <c r="L17" i="20"/>
  <c r="M17" s="1"/>
  <c r="L29"/>
  <c r="M29" s="1"/>
  <c r="L37"/>
  <c r="M37" s="1"/>
  <c r="E8" i="11"/>
  <c r="E11"/>
  <c r="K15"/>
  <c r="L19" i="20"/>
  <c r="M19" s="1"/>
  <c r="L27"/>
  <c r="M27" s="1"/>
  <c r="L31"/>
  <c r="M31" s="1"/>
  <c r="K7" i="11"/>
  <c r="E7"/>
  <c r="K11"/>
  <c r="L15" i="20"/>
  <c r="M15" s="1"/>
  <c r="L25"/>
  <c r="M25" s="1"/>
  <c r="E15" i="11"/>
  <c r="L21" i="20"/>
  <c r="M21" s="1"/>
  <c r="X27" i="11"/>
  <c r="Z19"/>
  <c r="Q24"/>
  <c r="Q16"/>
  <c r="R29"/>
  <c r="X29" s="1"/>
  <c r="Z13"/>
  <c r="Z29"/>
  <c r="G29"/>
  <c r="Q19"/>
  <c r="Q20"/>
  <c r="Q23"/>
  <c r="S23" s="1"/>
  <c r="X23"/>
  <c r="X13"/>
  <c r="X19"/>
  <c r="X17"/>
  <c r="Z17"/>
  <c r="X11"/>
  <c r="T10"/>
  <c r="R10"/>
  <c r="Q10"/>
  <c r="T9"/>
  <c r="R9"/>
  <c r="G9"/>
  <c r="J13" l="1"/>
  <c r="O17"/>
  <c r="O13"/>
  <c r="I17"/>
  <c r="G18" s="1"/>
  <c r="J19"/>
  <c r="P19"/>
  <c r="O23"/>
  <c r="J27"/>
  <c r="I23"/>
  <c r="S18"/>
  <c r="U18" s="1"/>
  <c r="M9"/>
  <c r="P13"/>
  <c r="O29"/>
  <c r="W17"/>
  <c r="P17"/>
  <c r="J17"/>
  <c r="P29"/>
  <c r="Q9"/>
  <c r="W9" s="1"/>
  <c r="Q11"/>
  <c r="S11" s="1"/>
  <c r="V11" s="1"/>
  <c r="I13"/>
  <c r="W29"/>
  <c r="S14"/>
  <c r="U14" s="1"/>
  <c r="W13"/>
  <c r="J23"/>
  <c r="G24"/>
  <c r="K37"/>
  <c r="M37" s="1"/>
  <c r="O37" s="1"/>
  <c r="M11"/>
  <c r="G11"/>
  <c r="I27"/>
  <c r="M27"/>
  <c r="Q27"/>
  <c r="Q15"/>
  <c r="W15" s="1"/>
  <c r="E37"/>
  <c r="E38"/>
  <c r="G14" i="20"/>
  <c r="K12" i="11"/>
  <c r="G15"/>
  <c r="Z9"/>
  <c r="W19"/>
  <c r="M20"/>
  <c r="G20"/>
  <c r="I9"/>
  <c r="G17" i="20"/>
  <c r="I40"/>
  <c r="L39"/>
  <c r="M39"/>
  <c r="H40"/>
  <c r="H39"/>
  <c r="I39"/>
  <c r="G13"/>
  <c r="S29" i="11"/>
  <c r="U29" s="1"/>
  <c r="S30" s="1"/>
  <c r="U30" s="1"/>
  <c r="S19"/>
  <c r="V19" s="1"/>
  <c r="W23"/>
  <c r="I29"/>
  <c r="J29"/>
  <c r="V17"/>
  <c r="V13"/>
  <c r="U23"/>
  <c r="S24" s="1"/>
  <c r="V23"/>
  <c r="X9"/>
  <c r="J9"/>
  <c r="O9" l="1"/>
  <c r="M10" s="1"/>
  <c r="M24"/>
  <c r="G28"/>
  <c r="I28" s="1"/>
  <c r="M18"/>
  <c r="M14"/>
  <c r="O20"/>
  <c r="I20"/>
  <c r="P9"/>
  <c r="V18"/>
  <c r="V14"/>
  <c r="Y17"/>
  <c r="S9"/>
  <c r="U9" s="1"/>
  <c r="S10" s="1"/>
  <c r="U10" s="1"/>
  <c r="G14"/>
  <c r="J15"/>
  <c r="J24"/>
  <c r="M30"/>
  <c r="I15"/>
  <c r="I24"/>
  <c r="U11"/>
  <c r="Y29"/>
  <c r="Y13"/>
  <c r="Y19"/>
  <c r="O27"/>
  <c r="P27"/>
  <c r="Q12"/>
  <c r="W11" s="1"/>
  <c r="O11"/>
  <c r="P11"/>
  <c r="W27"/>
  <c r="S27"/>
  <c r="I11"/>
  <c r="J11"/>
  <c r="G40" i="20"/>
  <c r="K38" i="11"/>
  <c r="M38" s="1"/>
  <c r="O38" s="1"/>
  <c r="Y23"/>
  <c r="V30"/>
  <c r="P20"/>
  <c r="J20"/>
  <c r="J18"/>
  <c r="I18"/>
  <c r="U19"/>
  <c r="S20" s="1"/>
  <c r="V20" s="1"/>
  <c r="G10"/>
  <c r="G30"/>
  <c r="G39" i="20"/>
  <c r="V29" i="11"/>
  <c r="Y9"/>
  <c r="U24"/>
  <c r="V24"/>
  <c r="J28" l="1"/>
  <c r="J14"/>
  <c r="P24"/>
  <c r="O24"/>
  <c r="O14"/>
  <c r="P14"/>
  <c r="O18"/>
  <c r="P18"/>
  <c r="AA23"/>
  <c r="AB19"/>
  <c r="V10"/>
  <c r="I14"/>
  <c r="AA17"/>
  <c r="V9"/>
  <c r="S12"/>
  <c r="V12" s="1"/>
  <c r="P10"/>
  <c r="P30"/>
  <c r="AB17"/>
  <c r="AA19"/>
  <c r="O10"/>
  <c r="O30"/>
  <c r="AA29"/>
  <c r="AB29"/>
  <c r="G16"/>
  <c r="AB13"/>
  <c r="AA13"/>
  <c r="M12"/>
  <c r="U27"/>
  <c r="S28" s="1"/>
  <c r="V27"/>
  <c r="Y11"/>
  <c r="M28"/>
  <c r="Y27"/>
  <c r="G12"/>
  <c r="AB23"/>
  <c r="U20"/>
  <c r="J10"/>
  <c r="I10"/>
  <c r="AA9"/>
  <c r="I30"/>
  <c r="J30"/>
  <c r="AB9"/>
  <c r="U12" l="1"/>
  <c r="I16"/>
  <c r="J16"/>
  <c r="AB27"/>
  <c r="AA27"/>
  <c r="AA11"/>
  <c r="AB11"/>
  <c r="O12"/>
  <c r="P12"/>
  <c r="O28"/>
  <c r="P28"/>
  <c r="V28"/>
  <c r="U28"/>
  <c r="J12"/>
  <c r="I12"/>
  <c r="J26" i="6"/>
  <c r="G26"/>
  <c r="U31" i="13"/>
  <c r="S31"/>
  <c r="U30"/>
  <c r="AA30" l="1"/>
  <c r="I26" i="6"/>
  <c r="U35" i="13" l="1"/>
  <c r="S35"/>
  <c r="U34"/>
  <c r="U33"/>
  <c r="S33"/>
  <c r="U32"/>
  <c r="AA34" l="1"/>
  <c r="AA32"/>
  <c r="H9" i="6" l="1"/>
  <c r="H8"/>
  <c r="H6"/>
  <c r="U25" i="13"/>
  <c r="S25"/>
  <c r="U24"/>
  <c r="AA24" l="1"/>
  <c r="F23" i="7" l="1"/>
  <c r="I23" s="1"/>
  <c r="B3" i="2"/>
  <c r="B3" i="11"/>
  <c r="B3" i="13"/>
  <c r="B20" i="6"/>
  <c r="B4"/>
  <c r="H23" i="7" l="1"/>
  <c r="G20" i="2"/>
  <c r="J19"/>
  <c r="F12" i="7"/>
  <c r="F24"/>
  <c r="I24" s="1"/>
  <c r="H25" i="6"/>
  <c r="H24"/>
  <c r="F23"/>
  <c r="H23"/>
  <c r="H22"/>
  <c r="F14"/>
  <c r="I20" i="2" l="1"/>
  <c r="J20"/>
  <c r="G22" i="7"/>
  <c r="G21"/>
  <c r="H24"/>
  <c r="G25" l="1"/>
  <c r="E13"/>
  <c r="F13" s="1"/>
  <c r="H13" s="1"/>
  <c r="I12"/>
  <c r="U29" i="13"/>
  <c r="S29"/>
  <c r="U28"/>
  <c r="U27"/>
  <c r="S27"/>
  <c r="U26"/>
  <c r="U23"/>
  <c r="S23"/>
  <c r="U22"/>
  <c r="U21"/>
  <c r="S21"/>
  <c r="U20"/>
  <c r="U17"/>
  <c r="S17"/>
  <c r="U15"/>
  <c r="U14"/>
  <c r="U13"/>
  <c r="S13"/>
  <c r="U12"/>
  <c r="U11"/>
  <c r="S11"/>
  <c r="U10"/>
  <c r="U36" l="1"/>
  <c r="AA12"/>
  <c r="AA16"/>
  <c r="AA22"/>
  <c r="AA14"/>
  <c r="AA20"/>
  <c r="AA26"/>
  <c r="H12" i="7"/>
  <c r="AA28" i="13"/>
  <c r="AA10"/>
  <c r="AA36" l="1"/>
  <c r="H12" i="6"/>
  <c r="F12"/>
  <c r="H11"/>
  <c r="H27"/>
  <c r="G10" i="7" l="1"/>
  <c r="R7" i="11" l="1"/>
  <c r="T7"/>
  <c r="R8"/>
  <c r="T8"/>
  <c r="G21"/>
  <c r="M21"/>
  <c r="R21"/>
  <c r="T21"/>
  <c r="R22"/>
  <c r="T22"/>
  <c r="G25"/>
  <c r="M25"/>
  <c r="Q25"/>
  <c r="R25"/>
  <c r="T25"/>
  <c r="Q26"/>
  <c r="R26"/>
  <c r="T26"/>
  <c r="G31"/>
  <c r="M31"/>
  <c r="R31"/>
  <c r="T31"/>
  <c r="R32"/>
  <c r="T32"/>
  <c r="G33"/>
  <c r="M33"/>
  <c r="Q33"/>
  <c r="R33"/>
  <c r="T33"/>
  <c r="Q34"/>
  <c r="R34"/>
  <c r="T34"/>
  <c r="G35"/>
  <c r="M35"/>
  <c r="Q35"/>
  <c r="R35"/>
  <c r="T35"/>
  <c r="Q36"/>
  <c r="R36"/>
  <c r="T36"/>
  <c r="T38" l="1"/>
  <c r="H14" i="6" s="1"/>
  <c r="O35" i="11"/>
  <c r="P33"/>
  <c r="P31"/>
  <c r="O25"/>
  <c r="P25"/>
  <c r="O21"/>
  <c r="I35"/>
  <c r="J33"/>
  <c r="R38"/>
  <c r="I21"/>
  <c r="J25"/>
  <c r="T37"/>
  <c r="H13" i="6" s="1"/>
  <c r="X21" i="11"/>
  <c r="Q32"/>
  <c r="G7"/>
  <c r="E14" i="6"/>
  <c r="E12"/>
  <c r="M7" i="11"/>
  <c r="X25"/>
  <c r="S33"/>
  <c r="V33" s="1"/>
  <c r="Q8"/>
  <c r="S35"/>
  <c r="U35" s="1"/>
  <c r="S36" s="1"/>
  <c r="Z31"/>
  <c r="O31"/>
  <c r="I31"/>
  <c r="I25"/>
  <c r="Q7"/>
  <c r="J35"/>
  <c r="Q31"/>
  <c r="P35"/>
  <c r="X7"/>
  <c r="S25"/>
  <c r="W25"/>
  <c r="Z25"/>
  <c r="X35"/>
  <c r="W33"/>
  <c r="O33"/>
  <c r="Q22"/>
  <c r="P21"/>
  <c r="Z35"/>
  <c r="X33"/>
  <c r="I33"/>
  <c r="Q21"/>
  <c r="W35"/>
  <c r="X31"/>
  <c r="J21"/>
  <c r="Z21"/>
  <c r="Z7"/>
  <c r="Z33"/>
  <c r="P7" l="1"/>
  <c r="Q37"/>
  <c r="Q38"/>
  <c r="M36"/>
  <c r="M34"/>
  <c r="M26"/>
  <c r="M22"/>
  <c r="O7"/>
  <c r="G36"/>
  <c r="G34"/>
  <c r="G22"/>
  <c r="I7"/>
  <c r="G37"/>
  <c r="I37" s="1"/>
  <c r="M32"/>
  <c r="G32"/>
  <c r="U25"/>
  <c r="S26" s="1"/>
  <c r="U26" s="1"/>
  <c r="V25"/>
  <c r="G26"/>
  <c r="Z37"/>
  <c r="W31"/>
  <c r="J7"/>
  <c r="G11" i="7"/>
  <c r="E13" i="6"/>
  <c r="E11"/>
  <c r="U33" i="11"/>
  <c r="S34" s="1"/>
  <c r="V34" s="1"/>
  <c r="Y25"/>
  <c r="V35"/>
  <c r="V36"/>
  <c r="U36"/>
  <c r="W7"/>
  <c r="S7"/>
  <c r="S31"/>
  <c r="Y35"/>
  <c r="S21"/>
  <c r="W21"/>
  <c r="Y33"/>
  <c r="W37" l="1"/>
  <c r="W39" s="1"/>
  <c r="G8"/>
  <c r="I8" s="1"/>
  <c r="O34"/>
  <c r="I34"/>
  <c r="P22"/>
  <c r="AU7"/>
  <c r="M8"/>
  <c r="P36"/>
  <c r="O36"/>
  <c r="P34"/>
  <c r="O32"/>
  <c r="P32"/>
  <c r="P26"/>
  <c r="O26"/>
  <c r="O22"/>
  <c r="J36"/>
  <c r="I36"/>
  <c r="AA35"/>
  <c r="J34"/>
  <c r="AA33"/>
  <c r="AB33"/>
  <c r="I32"/>
  <c r="J32"/>
  <c r="J31"/>
  <c r="J26"/>
  <c r="I22"/>
  <c r="J22"/>
  <c r="V26"/>
  <c r="AA25"/>
  <c r="AB25"/>
  <c r="I26"/>
  <c r="U34"/>
  <c r="Y31"/>
  <c r="R15"/>
  <c r="R37" s="1"/>
  <c r="M15"/>
  <c r="D10" i="7"/>
  <c r="D11"/>
  <c r="Y7" i="11"/>
  <c r="U7"/>
  <c r="S8" s="1"/>
  <c r="V7"/>
  <c r="U31"/>
  <c r="S32" s="1"/>
  <c r="U21"/>
  <c r="V21"/>
  <c r="Y21"/>
  <c r="AB35"/>
  <c r="P8" l="1"/>
  <c r="G38"/>
  <c r="I38" s="1"/>
  <c r="J8"/>
  <c r="O8"/>
  <c r="AA31"/>
  <c r="AB31"/>
  <c r="X15"/>
  <c r="S15"/>
  <c r="O15"/>
  <c r="P15"/>
  <c r="AA7"/>
  <c r="AB7"/>
  <c r="V8"/>
  <c r="U8"/>
  <c r="U32"/>
  <c r="AA21"/>
  <c r="AB21"/>
  <c r="S22"/>
  <c r="Y15" l="1"/>
  <c r="X37"/>
  <c r="M16"/>
  <c r="U15"/>
  <c r="S16" s="1"/>
  <c r="V15"/>
  <c r="U22"/>
  <c r="V22"/>
  <c r="AA15" l="1"/>
  <c r="O16"/>
  <c r="AB15"/>
  <c r="Y37"/>
  <c r="P16"/>
  <c r="U16"/>
  <c r="V16"/>
  <c r="F11" i="6"/>
  <c r="S37" i="11"/>
  <c r="F13" i="6"/>
  <c r="AA37" i="11" l="1"/>
  <c r="P37"/>
  <c r="E11" i="7"/>
  <c r="G13" i="6"/>
  <c r="E10" i="7"/>
  <c r="G11" i="6"/>
  <c r="U37" i="11"/>
  <c r="S38" s="1"/>
  <c r="V37"/>
  <c r="J37"/>
  <c r="F11" i="7" l="1"/>
  <c r="E14"/>
  <c r="U38" i="11"/>
  <c r="V38"/>
  <c r="J13" i="6"/>
  <c r="I13"/>
  <c r="G14" s="1"/>
  <c r="P38" i="11"/>
  <c r="J38"/>
  <c r="F10" i="7"/>
  <c r="I11" i="6"/>
  <c r="G12" s="1"/>
  <c r="J11"/>
  <c r="AB37" i="11"/>
  <c r="H11" i="7"/>
  <c r="I11"/>
  <c r="E9"/>
  <c r="H7" i="6"/>
  <c r="H15" s="1"/>
  <c r="F6"/>
  <c r="F7"/>
  <c r="F8"/>
  <c r="F9"/>
  <c r="E9"/>
  <c r="E8"/>
  <c r="E7"/>
  <c r="E6"/>
  <c r="F15" l="1"/>
  <c r="E15"/>
  <c r="J12"/>
  <c r="I12"/>
  <c r="I10" i="7"/>
  <c r="H10"/>
  <c r="I14" i="6"/>
  <c r="J14"/>
  <c r="G8"/>
  <c r="G6"/>
  <c r="E7" i="7"/>
  <c r="G7"/>
  <c r="D7"/>
  <c r="D8"/>
  <c r="E8"/>
  <c r="G8"/>
  <c r="G14" s="1"/>
  <c r="D14" l="1"/>
  <c r="G15" i="6"/>
  <c r="I15" s="1"/>
  <c r="F9" i="7"/>
  <c r="P17" i="2"/>
  <c r="N17"/>
  <c r="M17"/>
  <c r="G17"/>
  <c r="P11"/>
  <c r="N11"/>
  <c r="M11"/>
  <c r="G11"/>
  <c r="P9"/>
  <c r="M9"/>
  <c r="N9"/>
  <c r="P15"/>
  <c r="N15"/>
  <c r="M15"/>
  <c r="G15"/>
  <c r="P13"/>
  <c r="N13"/>
  <c r="M13"/>
  <c r="G13"/>
  <c r="P7"/>
  <c r="N7"/>
  <c r="M7"/>
  <c r="G7"/>
  <c r="J15" i="6" l="1"/>
  <c r="O19" i="2"/>
  <c r="P19"/>
  <c r="J17"/>
  <c r="J7"/>
  <c r="I13"/>
  <c r="I15"/>
  <c r="J11"/>
  <c r="I7"/>
  <c r="F14" i="7"/>
  <c r="H14" s="1"/>
  <c r="O7" i="2"/>
  <c r="Q7" s="1"/>
  <c r="O11"/>
  <c r="Q11" s="1"/>
  <c r="O17"/>
  <c r="R17" s="1"/>
  <c r="I17"/>
  <c r="I11"/>
  <c r="O13"/>
  <c r="R13" s="1"/>
  <c r="O15"/>
  <c r="Q15" s="1"/>
  <c r="I6" i="6"/>
  <c r="G7" s="1"/>
  <c r="F8" i="7"/>
  <c r="H8" s="1"/>
  <c r="I8" i="6"/>
  <c r="G9" s="1"/>
  <c r="H9" i="7"/>
  <c r="J6" i="6"/>
  <c r="J8"/>
  <c r="F7" i="7"/>
  <c r="H7" s="1"/>
  <c r="I9"/>
  <c r="O9" i="2"/>
  <c r="Q9" s="1"/>
  <c r="J13"/>
  <c r="J15"/>
  <c r="G9"/>
  <c r="Q19" l="1"/>
  <c r="R19"/>
  <c r="G18"/>
  <c r="I18" s="1"/>
  <c r="G14"/>
  <c r="G8"/>
  <c r="G16"/>
  <c r="G12"/>
  <c r="J12" s="1"/>
  <c r="Q17"/>
  <c r="I14" i="7"/>
  <c r="R7" i="2"/>
  <c r="I7" i="6"/>
  <c r="J7"/>
  <c r="R11" i="2"/>
  <c r="Q13"/>
  <c r="R15"/>
  <c r="I8" i="7"/>
  <c r="I9" i="6"/>
  <c r="G10" s="1"/>
  <c r="J9"/>
  <c r="I7" i="7"/>
  <c r="J9" i="2"/>
  <c r="I9"/>
  <c r="R9"/>
  <c r="I10" i="6" l="1"/>
  <c r="J10"/>
  <c r="I12" i="2"/>
  <c r="I8"/>
  <c r="J8"/>
  <c r="J18"/>
  <c r="G10"/>
  <c r="J16"/>
  <c r="I16"/>
  <c r="J14"/>
  <c r="I14"/>
  <c r="B3" i="6"/>
  <c r="J10" i="2" l="1"/>
  <c r="I10"/>
  <c r="R32" i="13" l="1"/>
  <c r="R35" l="1"/>
  <c r="R31"/>
  <c r="R33"/>
  <c r="X32" s="1"/>
  <c r="R34"/>
  <c r="E36"/>
  <c r="R8" l="1"/>
  <c r="X34"/>
  <c r="R29"/>
  <c r="S12"/>
  <c r="Y12" s="1"/>
  <c r="E25" i="6" l="1"/>
  <c r="R12" i="13"/>
  <c r="R25"/>
  <c r="R13"/>
  <c r="R9"/>
  <c r="X8" s="1"/>
  <c r="E23" i="6"/>
  <c r="R23" i="13"/>
  <c r="R11"/>
  <c r="H12"/>
  <c r="R17"/>
  <c r="R15"/>
  <c r="R21"/>
  <c r="R27"/>
  <c r="R30"/>
  <c r="X30" s="1"/>
  <c r="E22" i="6"/>
  <c r="S32" i="13"/>
  <c r="H32"/>
  <c r="N32"/>
  <c r="N34"/>
  <c r="S34"/>
  <c r="H34"/>
  <c r="N12"/>
  <c r="R37" l="1"/>
  <c r="K12"/>
  <c r="X12"/>
  <c r="J12"/>
  <c r="N30"/>
  <c r="T12"/>
  <c r="W12" s="1"/>
  <c r="S30"/>
  <c r="T30" s="1"/>
  <c r="H30"/>
  <c r="R28"/>
  <c r="X28" s="1"/>
  <c r="R26"/>
  <c r="X26" s="1"/>
  <c r="R22"/>
  <c r="R24"/>
  <c r="X24" s="1"/>
  <c r="R16"/>
  <c r="X16" s="1"/>
  <c r="R20"/>
  <c r="D21" i="7"/>
  <c r="P32" i="13"/>
  <c r="Y32"/>
  <c r="T32"/>
  <c r="P34"/>
  <c r="J32"/>
  <c r="Y34"/>
  <c r="T34"/>
  <c r="J34"/>
  <c r="P12"/>
  <c r="Q12"/>
  <c r="H8"/>
  <c r="H13" l="1"/>
  <c r="J13" s="1"/>
  <c r="Z12"/>
  <c r="V12"/>
  <c r="T13" s="1"/>
  <c r="V13" s="1"/>
  <c r="Y30"/>
  <c r="P30"/>
  <c r="J30"/>
  <c r="N28"/>
  <c r="S22"/>
  <c r="N22"/>
  <c r="X22"/>
  <c r="N16"/>
  <c r="S20"/>
  <c r="X20"/>
  <c r="N20"/>
  <c r="H35"/>
  <c r="H33"/>
  <c r="Z34"/>
  <c r="V34"/>
  <c r="T35" s="1"/>
  <c r="N35"/>
  <c r="Z32"/>
  <c r="V32"/>
  <c r="T33" s="1"/>
  <c r="V30"/>
  <c r="T31" s="1"/>
  <c r="N33"/>
  <c r="T8"/>
  <c r="N8"/>
  <c r="N13"/>
  <c r="K8"/>
  <c r="J8"/>
  <c r="AC34" l="1"/>
  <c r="H31"/>
  <c r="J31" s="1"/>
  <c r="AC12"/>
  <c r="K13"/>
  <c r="AB12"/>
  <c r="W13"/>
  <c r="Z30"/>
  <c r="N31"/>
  <c r="P28"/>
  <c r="Q28"/>
  <c r="H28"/>
  <c r="S28"/>
  <c r="N24"/>
  <c r="Y22"/>
  <c r="T22"/>
  <c r="Q22"/>
  <c r="P22"/>
  <c r="H22"/>
  <c r="H24"/>
  <c r="S24"/>
  <c r="Y20"/>
  <c r="T20"/>
  <c r="R14"/>
  <c r="N14"/>
  <c r="H16"/>
  <c r="S16"/>
  <c r="P20"/>
  <c r="Q20"/>
  <c r="H20"/>
  <c r="Q16"/>
  <c r="P16"/>
  <c r="AB32"/>
  <c r="P33"/>
  <c r="P35"/>
  <c r="J33"/>
  <c r="J35"/>
  <c r="V33"/>
  <c r="AB34"/>
  <c r="V31"/>
  <c r="V35"/>
  <c r="H9"/>
  <c r="Q8"/>
  <c r="P8"/>
  <c r="P13"/>
  <c r="Q13"/>
  <c r="W8"/>
  <c r="V8"/>
  <c r="AC30" l="1"/>
  <c r="AB30"/>
  <c r="P31"/>
  <c r="P24"/>
  <c r="N29"/>
  <c r="T28"/>
  <c r="Y28"/>
  <c r="J28"/>
  <c r="K28"/>
  <c r="W22"/>
  <c r="V22"/>
  <c r="T23" s="1"/>
  <c r="Z22"/>
  <c r="K22"/>
  <c r="J22"/>
  <c r="N23"/>
  <c r="J24"/>
  <c r="Y24"/>
  <c r="T24"/>
  <c r="V24" s="1"/>
  <c r="T25" s="1"/>
  <c r="V25" s="1"/>
  <c r="Z20"/>
  <c r="P14"/>
  <c r="Q14"/>
  <c r="K16"/>
  <c r="J16"/>
  <c r="W20"/>
  <c r="V20"/>
  <c r="T21" s="1"/>
  <c r="N17"/>
  <c r="J20"/>
  <c r="K20"/>
  <c r="N21"/>
  <c r="T16"/>
  <c r="Y16"/>
  <c r="X14"/>
  <c r="K9"/>
  <c r="J9"/>
  <c r="AB20" l="1"/>
  <c r="Q29"/>
  <c r="N25"/>
  <c r="P29"/>
  <c r="H29"/>
  <c r="W28"/>
  <c r="V28"/>
  <c r="T29" s="1"/>
  <c r="Z28"/>
  <c r="P23"/>
  <c r="Q23"/>
  <c r="W23"/>
  <c r="V23"/>
  <c r="AB22"/>
  <c r="AC22"/>
  <c r="H23"/>
  <c r="H25"/>
  <c r="Z24"/>
  <c r="AC20"/>
  <c r="Z16"/>
  <c r="H14"/>
  <c r="Q17"/>
  <c r="P17"/>
  <c r="P21"/>
  <c r="Q21"/>
  <c r="H21"/>
  <c r="W16"/>
  <c r="V16"/>
  <c r="T17" s="1"/>
  <c r="V21"/>
  <c r="W21"/>
  <c r="H17"/>
  <c r="S14"/>
  <c r="H26"/>
  <c r="P25" l="1"/>
  <c r="K29"/>
  <c r="J29"/>
  <c r="AB28"/>
  <c r="AC28"/>
  <c r="V29"/>
  <c r="W29"/>
  <c r="J23"/>
  <c r="K23"/>
  <c r="J25"/>
  <c r="AB24"/>
  <c r="W17"/>
  <c r="V17"/>
  <c r="T14"/>
  <c r="J21"/>
  <c r="K21"/>
  <c r="AB16"/>
  <c r="AC16"/>
  <c r="K17"/>
  <c r="J17"/>
  <c r="K14"/>
  <c r="J14"/>
  <c r="S26"/>
  <c r="J26"/>
  <c r="K26"/>
  <c r="H15" l="1"/>
  <c r="W14"/>
  <c r="V14"/>
  <c r="N26"/>
  <c r="Y26"/>
  <c r="T26"/>
  <c r="H27"/>
  <c r="Q26" l="1"/>
  <c r="K15"/>
  <c r="J15"/>
  <c r="P26"/>
  <c r="V26"/>
  <c r="T27" s="1"/>
  <c r="W26"/>
  <c r="J27"/>
  <c r="K27"/>
  <c r="Z26"/>
  <c r="N27" l="1"/>
  <c r="AB26"/>
  <c r="AC26"/>
  <c r="W27"/>
  <c r="V27"/>
  <c r="Q27" l="1"/>
  <c r="P27"/>
  <c r="R10" l="1"/>
  <c r="R36" s="1"/>
  <c r="N10" l="1"/>
  <c r="E24" i="6"/>
  <c r="X10" i="13"/>
  <c r="X36" s="1"/>
  <c r="Q10" l="1"/>
  <c r="P10"/>
  <c r="H10"/>
  <c r="H36" s="1"/>
  <c r="S10"/>
  <c r="S36" s="1"/>
  <c r="E27" i="6"/>
  <c r="D22" i="7"/>
  <c r="N11" i="13" l="1"/>
  <c r="Y10"/>
  <c r="T10"/>
  <c r="D25" i="7"/>
  <c r="J10" i="13"/>
  <c r="K10"/>
  <c r="P11" l="1"/>
  <c r="Q11"/>
  <c r="T36"/>
  <c r="H11"/>
  <c r="H37" s="1"/>
  <c r="F22" i="6"/>
  <c r="Z10" i="13"/>
  <c r="W10"/>
  <c r="V10"/>
  <c r="T11" s="1"/>
  <c r="K11" l="1"/>
  <c r="J11"/>
  <c r="AC10"/>
  <c r="AB10"/>
  <c r="J36"/>
  <c r="J37" s="1"/>
  <c r="K36"/>
  <c r="F24" i="6"/>
  <c r="N36" i="13"/>
  <c r="W36"/>
  <c r="V36"/>
  <c r="W11"/>
  <c r="V11"/>
  <c r="G22" i="6"/>
  <c r="E21" i="7"/>
  <c r="G24" i="6" l="1"/>
  <c r="J22"/>
  <c r="I22"/>
  <c r="G23" s="1"/>
  <c r="Q36" i="13"/>
  <c r="P36"/>
  <c r="N37" s="1"/>
  <c r="K37"/>
  <c r="F21" i="7"/>
  <c r="H21" l="1"/>
  <c r="I21"/>
  <c r="I23" i="6"/>
  <c r="J23"/>
  <c r="I24"/>
  <c r="J24"/>
  <c r="S9" i="13" l="1"/>
  <c r="N9"/>
  <c r="Y8" l="1"/>
  <c r="T9"/>
  <c r="Q9"/>
  <c r="P9"/>
  <c r="Z8" l="1"/>
  <c r="W9"/>
  <c r="V9"/>
  <c r="AC8" l="1"/>
  <c r="AB8"/>
  <c r="S15" l="1"/>
  <c r="S37" s="1"/>
  <c r="N15"/>
  <c r="P15" l="1"/>
  <c r="Q15"/>
  <c r="Y14"/>
  <c r="T15"/>
  <c r="T37"/>
  <c r="F25" i="6"/>
  <c r="Y36" i="13" l="1"/>
  <c r="Q37"/>
  <c r="P37"/>
  <c r="F27" i="6"/>
  <c r="G27" s="1"/>
  <c r="E22" i="7"/>
  <c r="G25" i="6"/>
  <c r="Z14" i="13"/>
  <c r="V15"/>
  <c r="W15"/>
  <c r="W37"/>
  <c r="V37"/>
  <c r="I25" i="6" l="1"/>
  <c r="J25"/>
  <c r="I27"/>
  <c r="J27"/>
  <c r="AC14" i="13"/>
  <c r="AB14"/>
  <c r="Z36"/>
  <c r="F22" i="7"/>
  <c r="E25"/>
  <c r="F25" s="1"/>
  <c r="I22" l="1"/>
  <c r="H22"/>
  <c r="I25"/>
  <c r="H25"/>
  <c r="AB36" i="13"/>
  <c r="AC36"/>
</calcChain>
</file>

<file path=xl/comments1.xml><?xml version="1.0" encoding="utf-8"?>
<comments xmlns="http://schemas.openxmlformats.org/spreadsheetml/2006/main">
  <authors>
    <author>rgarcia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83,843 ton a BRASPESCA.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TERESITA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rgarcia:
R.Ex.N° 752, Cesion  Artesanal PUNTA TALCA de 87,843 ton a BRASPESCA.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<sst xmlns="http://schemas.openxmlformats.org/spreadsheetml/2006/main" count="421" uniqueCount="198">
  <si>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</si>
  <si>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</si>
  <si>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</si>
  <si>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</si>
  <si>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</si>
  <si>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</si>
  <si>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</si>
  <si>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</si>
  <si>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</si>
  <si>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Oct-Dic</t>
  </si>
  <si>
    <t>III Región de Atacama</t>
  </si>
  <si>
    <t>Mar-Ago</t>
  </si>
  <si>
    <t>ANUAL</t>
  </si>
  <si>
    <t>Cuota anual asignada</t>
  </si>
  <si>
    <t xml:space="preserve">IV Región de Coquimbo 
</t>
  </si>
  <si>
    <t>XV A XII REGIONES</t>
  </si>
  <si>
    <t>VEDA LANGOSTINO AMARILLO</t>
  </si>
  <si>
    <t>01 ENERO AL 28-29 FEBRERO</t>
  </si>
  <si>
    <t>Artesanal III</t>
  </si>
  <si>
    <t>Imprevisto</t>
  </si>
  <si>
    <t>Mar-Ago.</t>
  </si>
  <si>
    <t>QUINTERO S.A. PESQ.</t>
  </si>
  <si>
    <t>Saldo (t)</t>
  </si>
  <si>
    <t>Consumo %</t>
  </si>
  <si>
    <t xml:space="preserve">Cuota Asignada </t>
  </si>
  <si>
    <t>Consumo%</t>
  </si>
  <si>
    <t xml:space="preserve">Periodo </t>
  </si>
  <si>
    <t xml:space="preserve">Unidad de pesquería </t>
  </si>
  <si>
    <t>MOROZIN YURECIC MARIO</t>
  </si>
  <si>
    <t>Langostino Amarillo III-IV Región</t>
  </si>
  <si>
    <t>Cuota Asignada  III-IV</t>
  </si>
  <si>
    <t>Marzo -Agosto</t>
  </si>
  <si>
    <t>Octubre  - Diciembre</t>
  </si>
  <si>
    <t xml:space="preserve"> Artesanal III</t>
  </si>
  <si>
    <t>Artesanal IV (RAE)</t>
  </si>
  <si>
    <t>Fauna Acompañante</t>
  </si>
  <si>
    <t>Fauna Acompañante III-IV</t>
  </si>
  <si>
    <t>U Pesquería</t>
  </si>
  <si>
    <t xml:space="preserve">Fracionamientos </t>
  </si>
  <si>
    <t>Total Langostino amarillo III-IV</t>
  </si>
  <si>
    <t>Total Langostino amarillo V-VIII</t>
  </si>
  <si>
    <t>Control Cuota IV Región (t)</t>
  </si>
  <si>
    <t>Control Cuota III Región (t)</t>
  </si>
  <si>
    <t xml:space="preserve"> Resumen periodo Control Cuota Langostino Amarillo III-IV</t>
  </si>
  <si>
    <t>Resumen Anual Control Cuota Langostino Amarillo III-IV</t>
  </si>
  <si>
    <t>Captura III-IV</t>
  </si>
  <si>
    <t xml:space="preserve">Cuota Total </t>
  </si>
  <si>
    <t xml:space="preserve">Captura </t>
  </si>
  <si>
    <t>*Traspaso, Cesión, Arriendo etc.</t>
  </si>
  <si>
    <t>Armador Asignatario</t>
  </si>
  <si>
    <t>Cuota Asignada</t>
  </si>
  <si>
    <t>Traspaso, Cesión, Arriendoetc.</t>
  </si>
  <si>
    <t>Traspaso, Cesión, Arriendo etc.</t>
  </si>
  <si>
    <t>Asignatario de Cuota</t>
  </si>
  <si>
    <t>Cuota Asignada  V-VIII</t>
  </si>
  <si>
    <t>Industrial Ltp III</t>
  </si>
  <si>
    <t>Industrial Ltp IV</t>
  </si>
  <si>
    <t>Industrial Ltp  III</t>
  </si>
  <si>
    <t>Industrial Ltp IV (con descuento Art 16°</t>
  </si>
  <si>
    <t>Industrial Pep V-VI</t>
  </si>
  <si>
    <t>Industrial Pep VII-VIII</t>
  </si>
  <si>
    <t>LANGOSTINO AMARILLO PEP (V-VIII)</t>
  </si>
  <si>
    <t>Resumen periodo Control Cuota Langostino Amarillo PEP V-VIII</t>
  </si>
  <si>
    <t>Captura V-VIII</t>
  </si>
  <si>
    <t>Traspaso, Cesión, Arriendo etc</t>
  </si>
  <si>
    <t>Asignatario</t>
  </si>
  <si>
    <t xml:space="preserve">Control Cuota Artesanal Langostino Amarillo III-IV </t>
  </si>
  <si>
    <t>Resumen Anual Control Cuota Artesanal Langostino Amarillo III-IV</t>
  </si>
  <si>
    <t>Cuota anual licitada</t>
  </si>
  <si>
    <t>Langostino amarillo V-VIII</t>
  </si>
  <si>
    <t>Langostino amarillo III-IV</t>
  </si>
  <si>
    <t>Licitada Pep VII-VIII</t>
  </si>
  <si>
    <t>Licitada Pep V-VI</t>
  </si>
  <si>
    <t xml:space="preserve">U. Pesquería </t>
  </si>
  <si>
    <t>Movimiento</t>
  </si>
  <si>
    <t>Artesanal IV</t>
  </si>
  <si>
    <t xml:space="preserve">RESUMEN ANUAL DE CONSUMO DE CUOTA LANGOSTINO AMARILLO V-VIII. AÑO 2018
</t>
  </si>
  <si>
    <t xml:space="preserve">Notas: </t>
  </si>
  <si>
    <t>La información contenida en los consumos y movimientos, según corresponda, es preliminar,  sujeta a validación, verificación de consistencia</t>
  </si>
  <si>
    <t>Control Cuota VII-VIII Región (t) (zonas; 113-114)</t>
  </si>
  <si>
    <t>Control Cuota V-VI Región (t) (zonas 111-112)</t>
  </si>
  <si>
    <t>Total Cuota Global Langostino Amarillo III - IV</t>
  </si>
  <si>
    <t>Total Cuota Global Langostino Amarillo V - VIII</t>
  </si>
  <si>
    <t xml:space="preserve">Fraccionamientos </t>
  </si>
  <si>
    <t>IV</t>
  </si>
  <si>
    <t xml:space="preserve">Fauna Acompañante V-VI </t>
  </si>
  <si>
    <t>Nombre</t>
  </si>
  <si>
    <t>ANTARTIC SEAFOOD S.A.</t>
  </si>
  <si>
    <t>BAYCIC BAYCIC MARIA</t>
  </si>
  <si>
    <t>BRACPESCA S.A.</t>
  </si>
  <si>
    <t>GRIMAR S.A. PESQ.</t>
  </si>
  <si>
    <t>ISLADAMAS S.A. PESQ.</t>
  </si>
  <si>
    <t>MOROZIN BAYCIC MARIA ANA</t>
  </si>
  <si>
    <t>RUBIO Y MAUAD LTDA.</t>
  </si>
  <si>
    <t>SUNRISE S.A. PESQ.</t>
  </si>
  <si>
    <t>ENFEMAR LTDA. SOC. PESQ.</t>
  </si>
  <si>
    <t>ALIMENTOS ALSAN LTDA</t>
  </si>
  <si>
    <t>SOC. DISTRIBUIDORA DE PRODUCTOS DEL MAR LTDA.</t>
  </si>
  <si>
    <t>DA VENEZIA RETAMALES ANTONIO</t>
  </si>
  <si>
    <t>NICANOR GONZALEZ VEGA</t>
  </si>
  <si>
    <t>IIII</t>
  </si>
  <si>
    <t>Total periodo</t>
  </si>
  <si>
    <t>Marzo-Agosto</t>
  </si>
  <si>
    <t>Octubre-Dic</t>
  </si>
  <si>
    <t xml:space="preserve">Total </t>
  </si>
  <si>
    <t>Cuota Inicial</t>
  </si>
  <si>
    <t>Cuota final</t>
  </si>
  <si>
    <t>TOTAL ASIGNATARIOS LTP</t>
  </si>
  <si>
    <t>REGION</t>
  </si>
  <si>
    <t>PUNTA TALCA</t>
  </si>
  <si>
    <t>TRAUWUN I</t>
  </si>
  <si>
    <t>CHAFIC I</t>
  </si>
  <si>
    <t>BOLSON RESIDUAL</t>
  </si>
  <si>
    <t>V-VI</t>
  </si>
  <si>
    <t>VII-VIII</t>
  </si>
  <si>
    <t>TOTAL ASIGNATARIOS PEP</t>
  </si>
  <si>
    <t>-</t>
  </si>
  <si>
    <t>Coeficiente final</t>
  </si>
  <si>
    <t>Total 673/09.11.17</t>
  </si>
  <si>
    <t>% Licitado/100</t>
  </si>
  <si>
    <t>ISLA TABON</t>
  </si>
  <si>
    <t>Investigación V-VIII</t>
  </si>
  <si>
    <t>Investigación III-IV</t>
  </si>
  <si>
    <t>Fauna Acompañante V-VIII</t>
  </si>
  <si>
    <t>La Vedas del langostino Amarillo;  01 enero al 28 febrero  y de 01 al 30 de septiembre</t>
  </si>
  <si>
    <t>Total D.Ex N° 526-2018</t>
  </si>
  <si>
    <t>Total D.Ex N° 457-2018</t>
  </si>
  <si>
    <t>LANGOSTINO AMARILLO PEP (V-VIII) 2019</t>
  </si>
  <si>
    <t>CONTROL DE CUOTA LANGOSTINO AMARILLO PEP V-VIII POR TITULAR. AÑO 2019</t>
  </si>
  <si>
    <t>CONTROL DE CUOTA LANGOSTINO AMARILLO LTP III-IV. AÑO 2019</t>
  </si>
  <si>
    <t xml:space="preserve">RESUMEN ANUAL DE CONSUMO DE CUOTA LANGOSTINO AMARILLO III-IV. AÑO 2019
</t>
  </si>
  <si>
    <t xml:space="preserve">RESUMEN POR PERIODO DE CONSUMO DE CUOTA LANGOSTINO AMARILLO III-IV. AÑO 2019
</t>
  </si>
  <si>
    <t xml:space="preserve">RESUMEN POR PERIODO DE CONSUMO DE CUOTA LANGOSTINO AMARILLO LICITADA V-VIII. AÑO 2019
</t>
  </si>
  <si>
    <t xml:space="preserve">CONTROL DE CUOTA LANGOSTINO AMARILLO III-IV ARTESANAL. AÑO 2019
</t>
  </si>
  <si>
    <t>Distribucion asignaciones</t>
  </si>
  <si>
    <t xml:space="preserve"> Asignacion V-VI</t>
  </si>
  <si>
    <t>Asignación VII-VIII</t>
  </si>
  <si>
    <t>Total  periodo</t>
  </si>
  <si>
    <t>*Movimientos</t>
  </si>
  <si>
    <t>Captura Anual</t>
  </si>
  <si>
    <t>Saldo anual</t>
  </si>
  <si>
    <t>Resumen Anual Control Cuota Langostino amarillo PEP V-VIII (tons)</t>
  </si>
  <si>
    <t>Cuota año</t>
  </si>
  <si>
    <t>Totales</t>
  </si>
  <si>
    <t>TOTAL ASIGNATARIOS ARTESANALES</t>
  </si>
  <si>
    <t xml:space="preserve">Langostino amarillo III-IV </t>
  </si>
  <si>
    <t xml:space="preserve">Langostino amarillo PEP V-VIII  </t>
  </si>
  <si>
    <t>Dec Ex N° 526 de 21-12-2018</t>
  </si>
  <si>
    <t>TOTAL FAUNA ACOMPAÑANTE</t>
  </si>
  <si>
    <t>Ene-Dic</t>
  </si>
  <si>
    <t>n/a</t>
  </si>
  <si>
    <t>FUP</t>
  </si>
  <si>
    <t>TERESITA II</t>
  </si>
  <si>
    <t>TRAUWÜN I</t>
  </si>
  <si>
    <t>Total general</t>
  </si>
  <si>
    <t>PESQ. ISLADAMAS S.A.</t>
  </si>
  <si>
    <t>PESQ. QUINTERO S.A.</t>
  </si>
  <si>
    <t>CAMANCHACA PESCA SUR S.A.</t>
  </si>
  <si>
    <t xml:space="preserve">Movimientos </t>
  </si>
  <si>
    <t>JORGE COFRE</t>
  </si>
  <si>
    <t>Titular</t>
  </si>
  <si>
    <t>Capturas</t>
  </si>
  <si>
    <t>LANGOSTINO AMARILLO  LTP 2019</t>
  </si>
  <si>
    <t>Cuota Final</t>
  </si>
  <si>
    <t>CAMANCHACA PESCA SUR</t>
  </si>
  <si>
    <t>RUBIO Y MAUAD</t>
  </si>
  <si>
    <t>ANTONIO CRUZ CORDOVA NAKOUZI E.I.R.L</t>
  </si>
  <si>
    <t>PACIFICBLU SpA.</t>
  </si>
  <si>
    <t xml:space="preserve">ANTONIO DA VENEZIA RETAMALES </t>
  </si>
  <si>
    <t>LANDES S.A. SOC. PESQ.</t>
  </si>
  <si>
    <t>JORGE COFRE REYES</t>
  </si>
  <si>
    <t>CRISTIAN RODRIGO ANTONIO MARDONES PANTOJA</t>
  </si>
  <si>
    <t>PESQUERA CMK LTDA.</t>
  </si>
  <si>
    <t>N° doc</t>
  </si>
  <si>
    <t>Fecha</t>
  </si>
  <si>
    <t>Descripcion</t>
  </si>
  <si>
    <t>DE -</t>
  </si>
  <si>
    <t>A+</t>
  </si>
  <si>
    <t>Coeficiente</t>
  </si>
  <si>
    <t xml:space="preserve"> VII-VIII</t>
  </si>
  <si>
    <t>Total</t>
  </si>
  <si>
    <t>Pacific</t>
  </si>
  <si>
    <t>Camanchaca PS</t>
  </si>
  <si>
    <t>Jorge Cofre</t>
  </si>
  <si>
    <t>Braspesca</t>
  </si>
  <si>
    <t>Isla Damas</t>
  </si>
  <si>
    <t>Antartic Seafood</t>
  </si>
  <si>
    <t>Detalle Negocios Langostino Amarillo PEP (V-VIII)</t>
  </si>
  <si>
    <t>USUFRUCTO DE PACIFICBLU SpA A CAMANCHACA PS</t>
  </si>
  <si>
    <t>COMODATO DECAMANCHACA PS A JORGE COFRE REYES</t>
  </si>
  <si>
    <t>COMODATO DE CAMANCHACA PS a BRACPESCA S.A.</t>
  </si>
  <si>
    <t>COMODATO DE CAMANCHACA PS a SOC. PESQ. ISLADAMAS S.A.</t>
  </si>
  <si>
    <t>COMODATO DE ANTARTIC SEAFOOD S.A. a CAMANCHACA PS</t>
  </si>
  <si>
    <t>COMODATO DE CAMANCHACA PS a ANTARTIC SEAFOOD S.A. (V-VI)</t>
  </si>
  <si>
    <t>COMODATO DE BRACPESCA S.A. a CAMANCHACA PS</t>
  </si>
  <si>
    <t>Coeficiente Ltp A-B</t>
  </si>
  <si>
    <t>COMODATO DE CAMANCHACA PS a PESQUERA CMK LTDA. (V-VI)</t>
  </si>
  <si>
    <t>Pesq. CMK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</si>
</sst>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#,##0.000"/>
    <numFmt numFmtId="171" formatCode="0.000_ ;[Red]\-0.000\ "/>
    <numFmt numFmtId="172" formatCode="0.0000000"/>
    <numFmt numFmtId="173" formatCode="0.0000"/>
    <numFmt numFmtId="174" formatCode="0_ ;[Red]\-0\ "/>
    <numFmt numFmtId="175" formatCode="0.00000"/>
    <numFmt numFmtId="176" formatCode="0.0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Verdana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theme="1"/>
      <name val="Verdana"/>
      <family val="2"/>
    </font>
    <font>
      <sz val="9"/>
      <name val="Calibri"/>
      <family val="2"/>
      <scheme val="minor"/>
    </font>
    <font>
      <sz val="9"/>
      <color theme="0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 tint="-0.249977111117893"/>
      <name val="Verdana"/>
      <family val="2"/>
    </font>
  </fonts>
  <fills count="4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C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3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BD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097">
    <xf numFmtId="0" fontId="0" fillId="0" borderId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31" fillId="0" borderId="0"/>
    <xf numFmtId="0" fontId="3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5" borderId="45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8" borderId="4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29" fillId="0" borderId="47" applyNumberFormat="0" applyFill="0" applyAlignment="0" applyProtection="0"/>
    <xf numFmtId="43" fontId="1" fillId="0" borderId="0" applyFont="0" applyFill="0" applyBorder="0" applyAlignment="0" applyProtection="0"/>
  </cellStyleXfs>
  <cellXfs count="680">
    <xf numFmtId="0" fontId="0" fillId="0" borderId="0" xfId="0"/>
    <xf numFmtId="164" fontId="0" fillId="3" borderId="20" xfId="0" applyNumberFormat="1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164" fontId="0" fillId="35" borderId="0" xfId="0" applyNumberFormat="1" applyFont="1" applyFill="1" applyBorder="1" applyAlignment="1">
      <alignment horizontal="center" vertical="center"/>
    </xf>
    <xf numFmtId="164" fontId="0" fillId="35" borderId="17" xfId="0" applyNumberFormat="1" applyFont="1" applyFill="1" applyBorder="1" applyAlignment="1">
      <alignment horizontal="center" vertical="center"/>
    </xf>
    <xf numFmtId="164" fontId="0" fillId="35" borderId="41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64" fontId="0" fillId="28" borderId="17" xfId="0" applyNumberFormat="1" applyFont="1" applyFill="1" applyBorder="1" applyAlignment="1">
      <alignment horizontal="center" vertical="center"/>
    </xf>
    <xf numFmtId="10" fontId="0" fillId="26" borderId="54" xfId="1" applyNumberFormat="1" applyFont="1" applyFill="1" applyBorder="1" applyAlignment="1">
      <alignment horizontal="center" vertical="center"/>
    </xf>
    <xf numFmtId="10" fontId="0" fillId="26" borderId="60" xfId="1" applyNumberFormat="1" applyFont="1" applyFill="1" applyBorder="1" applyAlignment="1">
      <alignment horizontal="center" vertical="center"/>
    </xf>
    <xf numFmtId="170" fontId="6" fillId="3" borderId="16" xfId="0" applyNumberFormat="1" applyFont="1" applyFill="1" applyBorder="1" applyAlignment="1">
      <alignment horizontal="center" vertical="center"/>
    </xf>
    <xf numFmtId="170" fontId="6" fillId="3" borderId="20" xfId="0" applyNumberFormat="1" applyFont="1" applyFill="1" applyBorder="1" applyAlignment="1">
      <alignment horizontal="center" vertical="center"/>
    </xf>
    <xf numFmtId="170" fontId="0" fillId="3" borderId="16" xfId="0" applyNumberFormat="1" applyFill="1" applyBorder="1" applyAlignment="1">
      <alignment horizontal="center" vertical="center"/>
    </xf>
    <xf numFmtId="170" fontId="0" fillId="3" borderId="20" xfId="0" applyNumberFormat="1" applyFill="1" applyBorder="1" applyAlignment="1">
      <alignment horizontal="center" vertical="center"/>
    </xf>
    <xf numFmtId="170" fontId="0" fillId="26" borderId="16" xfId="0" applyNumberFormat="1" applyFill="1" applyBorder="1" applyAlignment="1">
      <alignment horizontal="center" vertical="center"/>
    </xf>
    <xf numFmtId="170" fontId="0" fillId="26" borderId="20" xfId="0" applyNumberFormat="1" applyFill="1" applyBorder="1" applyAlignment="1">
      <alignment horizontal="center" vertical="center"/>
    </xf>
    <xf numFmtId="170" fontId="0" fillId="26" borderId="17" xfId="0" applyNumberFormat="1" applyFill="1" applyBorder="1" applyAlignment="1">
      <alignment horizontal="center" vertical="center"/>
    </xf>
    <xf numFmtId="170" fontId="0" fillId="29" borderId="17" xfId="0" applyNumberFormat="1" applyFill="1" applyBorder="1" applyAlignment="1">
      <alignment horizontal="center" vertical="center"/>
    </xf>
    <xf numFmtId="170" fontId="0" fillId="29" borderId="0" xfId="0" applyNumberFormat="1" applyFill="1" applyBorder="1" applyAlignment="1">
      <alignment horizontal="center" vertical="center"/>
    </xf>
    <xf numFmtId="170" fontId="0" fillId="29" borderId="16" xfId="0" applyNumberFormat="1" applyFill="1" applyBorder="1" applyAlignment="1">
      <alignment horizontal="center" vertical="center"/>
    </xf>
    <xf numFmtId="10" fontId="0" fillId="29" borderId="60" xfId="1" applyNumberFormat="1" applyFont="1" applyFill="1" applyBorder="1" applyAlignment="1">
      <alignment horizontal="center" vertical="center"/>
    </xf>
    <xf numFmtId="170" fontId="0" fillId="29" borderId="43" xfId="0" applyNumberFormat="1" applyFill="1" applyBorder="1" applyAlignment="1">
      <alignment horizontal="center" vertical="center"/>
    </xf>
    <xf numFmtId="0" fontId="0" fillId="37" borderId="63" xfId="0" applyFill="1" applyBorder="1"/>
    <xf numFmtId="2" fontId="0" fillId="34" borderId="64" xfId="0" applyNumberFormat="1" applyFill="1" applyBorder="1" applyAlignment="1">
      <alignment horizontal="center"/>
    </xf>
    <xf numFmtId="0" fontId="3" fillId="41" borderId="42" xfId="0" applyFont="1" applyFill="1" applyBorder="1" applyAlignment="1">
      <alignment horizontal="center" vertical="center" wrapText="1"/>
    </xf>
    <xf numFmtId="1" fontId="3" fillId="41" borderId="39" xfId="0" applyNumberFormat="1" applyFont="1" applyFill="1" applyBorder="1" applyAlignment="1">
      <alignment horizontal="center" vertical="center"/>
    </xf>
    <xf numFmtId="1" fontId="3" fillId="41" borderId="37" xfId="0" applyNumberFormat="1" applyFont="1" applyFill="1" applyBorder="1" applyAlignment="1">
      <alignment horizontal="center" vertical="center"/>
    </xf>
    <xf numFmtId="9" fontId="3" fillId="41" borderId="38" xfId="1" applyFont="1" applyFill="1" applyBorder="1" applyAlignment="1">
      <alignment horizontal="center" vertical="center"/>
    </xf>
    <xf numFmtId="0" fontId="5" fillId="39" borderId="8" xfId="0" applyFont="1" applyFill="1" applyBorder="1" applyAlignment="1">
      <alignment horizontal="center" vertical="center" wrapText="1"/>
    </xf>
    <xf numFmtId="0" fontId="5" fillId="39" borderId="49" xfId="0" applyFont="1" applyFill="1" applyBorder="1" applyAlignment="1">
      <alignment horizontal="center" vertical="center" wrapText="1"/>
    </xf>
    <xf numFmtId="0" fontId="5" fillId="39" borderId="48" xfId="0" applyFont="1" applyFill="1" applyBorder="1" applyAlignment="1">
      <alignment horizontal="center" vertical="center" wrapText="1"/>
    </xf>
    <xf numFmtId="0" fontId="5" fillId="39" borderId="5" xfId="0" applyFont="1" applyFill="1" applyBorder="1" applyAlignment="1">
      <alignment horizontal="center" vertical="center" wrapText="1"/>
    </xf>
    <xf numFmtId="0" fontId="5" fillId="39" borderId="7" xfId="0" applyFont="1" applyFill="1" applyBorder="1" applyAlignment="1">
      <alignment horizontal="center" vertical="center" wrapText="1"/>
    </xf>
    <xf numFmtId="0" fontId="3" fillId="39" borderId="33" xfId="0" applyFont="1" applyFill="1" applyBorder="1" applyAlignment="1">
      <alignment horizontal="center" vertical="center" wrapText="1"/>
    </xf>
    <xf numFmtId="0" fontId="0" fillId="33" borderId="40" xfId="0" applyFill="1" applyBorder="1" applyAlignment="1">
      <alignment horizontal="left"/>
    </xf>
    <xf numFmtId="0" fontId="0" fillId="42" borderId="53" xfId="0" applyFill="1" applyBorder="1" applyAlignment="1">
      <alignment horizontal="left"/>
    </xf>
    <xf numFmtId="10" fontId="6" fillId="34" borderId="65" xfId="0" applyNumberFormat="1" applyFont="1" applyFill="1" applyBorder="1" applyAlignment="1">
      <alignment horizontal="center"/>
    </xf>
    <xf numFmtId="0" fontId="0" fillId="42" borderId="63" xfId="0" applyFill="1" applyBorder="1"/>
    <xf numFmtId="0" fontId="3" fillId="39" borderId="7" xfId="0" applyFont="1" applyFill="1" applyBorder="1" applyAlignment="1">
      <alignment horizontal="center" vertical="center" wrapText="1"/>
    </xf>
    <xf numFmtId="0" fontId="3" fillId="39" borderId="8" xfId="0" applyFont="1" applyFill="1" applyBorder="1" applyAlignment="1">
      <alignment horizontal="center" vertical="center" wrapText="1"/>
    </xf>
    <xf numFmtId="0" fontId="3" fillId="39" borderId="50" xfId="0" applyFont="1" applyFill="1" applyBorder="1" applyAlignment="1">
      <alignment horizontal="center" vertical="center" wrapText="1"/>
    </xf>
    <xf numFmtId="0" fontId="3" fillId="39" borderId="37" xfId="0" applyFont="1" applyFill="1" applyBorder="1" applyAlignment="1">
      <alignment horizontal="center" vertical="center" wrapText="1"/>
    </xf>
    <xf numFmtId="0" fontId="3" fillId="39" borderId="38" xfId="0" applyFont="1" applyFill="1" applyBorder="1" applyAlignment="1">
      <alignment horizontal="center" vertical="center" wrapText="1"/>
    </xf>
    <xf numFmtId="164" fontId="0" fillId="28" borderId="4" xfId="0" applyNumberFormat="1" applyFont="1" applyFill="1" applyBorder="1" applyAlignment="1">
      <alignment horizontal="center" vertical="center"/>
    </xf>
    <xf numFmtId="164" fontId="0" fillId="40" borderId="4" xfId="0" applyNumberFormat="1" applyFont="1" applyFill="1" applyBorder="1" applyAlignment="1">
      <alignment horizontal="center" vertical="center"/>
    </xf>
    <xf numFmtId="10" fontId="0" fillId="28" borderId="4" xfId="1" applyNumberFormat="1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2" fontId="0" fillId="28" borderId="20" xfId="0" applyNumberFormat="1" applyFont="1" applyFill="1" applyBorder="1" applyAlignment="1">
      <alignment horizontal="center" vertical="center"/>
    </xf>
    <xf numFmtId="2" fontId="0" fillId="28" borderId="21" xfId="0" applyNumberFormat="1" applyFont="1" applyFill="1" applyBorder="1" applyAlignment="1">
      <alignment horizontal="center" vertical="center"/>
    </xf>
    <xf numFmtId="2" fontId="0" fillId="31" borderId="20" xfId="0" applyNumberFormat="1" applyFont="1" applyFill="1" applyBorder="1" applyAlignment="1">
      <alignment horizontal="center" vertical="center"/>
    </xf>
    <xf numFmtId="2" fontId="0" fillId="31" borderId="21" xfId="0" applyNumberFormat="1" applyFont="1" applyFill="1" applyBorder="1" applyAlignment="1">
      <alignment horizontal="center" vertical="center"/>
    </xf>
    <xf numFmtId="2" fontId="0" fillId="28" borderId="18" xfId="0" applyNumberFormat="1" applyFont="1" applyFill="1" applyBorder="1" applyAlignment="1">
      <alignment horizontal="center" vertical="center"/>
    </xf>
    <xf numFmtId="2" fontId="0" fillId="31" borderId="16" xfId="0" applyNumberFormat="1" applyFont="1" applyFill="1" applyBorder="1" applyAlignment="1">
      <alignment horizontal="center" vertical="center"/>
    </xf>
    <xf numFmtId="2" fontId="0" fillId="31" borderId="18" xfId="0" applyNumberFormat="1" applyFont="1" applyFill="1" applyBorder="1" applyAlignment="1">
      <alignment horizontal="center" vertical="center"/>
    </xf>
    <xf numFmtId="2" fontId="0" fillId="38" borderId="20" xfId="0" applyNumberFormat="1" applyFont="1" applyFill="1" applyBorder="1" applyAlignment="1">
      <alignment horizontal="center" vertical="center"/>
    </xf>
    <xf numFmtId="164" fontId="0" fillId="28" borderId="20" xfId="0" applyNumberFormat="1" applyFont="1" applyFill="1" applyBorder="1" applyAlignment="1">
      <alignment horizontal="center" vertical="center"/>
    </xf>
    <xf numFmtId="164" fontId="0" fillId="28" borderId="16" xfId="0" applyNumberFormat="1" applyFont="1" applyFill="1" applyBorder="1" applyAlignment="1">
      <alignment horizontal="center" vertical="center"/>
    </xf>
    <xf numFmtId="164" fontId="0" fillId="28" borderId="41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5" fillId="32" borderId="64" xfId="0" applyFont="1" applyFill="1" applyBorder="1" applyAlignment="1">
      <alignment horizontal="center" vertical="center" wrapText="1"/>
    </xf>
    <xf numFmtId="0" fontId="6" fillId="38" borderId="0" xfId="0" applyFont="1" applyFill="1" applyBorder="1" applyAlignment="1">
      <alignment horizontal="center" vertical="center"/>
    </xf>
    <xf numFmtId="0" fontId="6" fillId="38" borderId="17" xfId="0" applyFont="1" applyFill="1" applyBorder="1" applyAlignment="1">
      <alignment horizontal="center" vertical="center"/>
    </xf>
    <xf numFmtId="0" fontId="6" fillId="38" borderId="73" xfId="0" applyFont="1" applyFill="1" applyBorder="1" applyAlignment="1">
      <alignment horizontal="center" vertical="center"/>
    </xf>
    <xf numFmtId="0" fontId="5" fillId="32" borderId="69" xfId="0" applyFont="1" applyFill="1" applyBorder="1" applyAlignment="1">
      <alignment horizontal="center" vertical="center" wrapText="1"/>
    </xf>
    <xf numFmtId="4" fontId="6" fillId="38" borderId="20" xfId="0" applyNumberFormat="1" applyFont="1" applyFill="1" applyBorder="1" applyAlignment="1">
      <alignment horizontal="center" vertical="center"/>
    </xf>
    <xf numFmtId="4" fontId="6" fillId="38" borderId="71" xfId="0" applyNumberFormat="1" applyFont="1" applyFill="1" applyBorder="1" applyAlignment="1">
      <alignment horizontal="center" vertical="center"/>
    </xf>
    <xf numFmtId="0" fontId="5" fillId="32" borderId="74" xfId="0" applyFont="1" applyFill="1" applyBorder="1" applyAlignment="1">
      <alignment horizontal="center" vertical="center" wrapText="1"/>
    </xf>
    <xf numFmtId="0" fontId="5" fillId="32" borderId="65" xfId="0" applyFont="1" applyFill="1" applyBorder="1" applyAlignment="1">
      <alignment horizontal="center" vertical="center" wrapText="1"/>
    </xf>
    <xf numFmtId="4" fontId="6" fillId="3" borderId="71" xfId="0" applyNumberFormat="1" applyFont="1" applyFill="1" applyBorder="1" applyAlignment="1">
      <alignment horizontal="center" vertical="center"/>
    </xf>
    <xf numFmtId="1" fontId="3" fillId="32" borderId="11" xfId="0" applyNumberFormat="1" applyFont="1" applyFill="1" applyBorder="1" applyAlignment="1">
      <alignment horizontal="center" vertical="center"/>
    </xf>
    <xf numFmtId="1" fontId="3" fillId="32" borderId="66" xfId="0" applyNumberFormat="1" applyFont="1" applyFill="1" applyBorder="1" applyAlignment="1">
      <alignment horizontal="center" vertical="center"/>
    </xf>
    <xf numFmtId="9" fontId="3" fillId="32" borderId="51" xfId="1" applyFont="1" applyFill="1" applyBorder="1" applyAlignment="1">
      <alignment horizontal="center" vertical="center"/>
    </xf>
    <xf numFmtId="2" fontId="0" fillId="38" borderId="0" xfId="0" applyNumberFormat="1" applyFont="1" applyFill="1" applyBorder="1" applyAlignment="1">
      <alignment horizontal="center" vertical="center"/>
    </xf>
    <xf numFmtId="10" fontId="1" fillId="38" borderId="54" xfId="1" applyNumberFormat="1" applyFont="1" applyFill="1" applyBorder="1" applyAlignment="1">
      <alignment horizontal="center" vertical="center"/>
    </xf>
    <xf numFmtId="2" fontId="0" fillId="38" borderId="73" xfId="0" applyNumberFormat="1" applyFont="1" applyFill="1" applyBorder="1" applyAlignment="1">
      <alignment horizontal="center" vertical="center"/>
    </xf>
    <xf numFmtId="2" fontId="0" fillId="3" borderId="71" xfId="0" applyNumberFormat="1" applyFont="1" applyFill="1" applyBorder="1" applyAlignment="1">
      <alignment horizontal="center" vertical="center"/>
    </xf>
    <xf numFmtId="2" fontId="0" fillId="38" borderId="71" xfId="0" applyNumberFormat="1" applyFont="1" applyFill="1" applyBorder="1" applyAlignment="1">
      <alignment horizontal="center" vertical="center"/>
    </xf>
    <xf numFmtId="10" fontId="1" fillId="38" borderId="72" xfId="1" applyNumberFormat="1" applyFont="1" applyFill="1" applyBorder="1" applyAlignment="1">
      <alignment horizontal="center" vertical="center"/>
    </xf>
    <xf numFmtId="170" fontId="0" fillId="26" borderId="0" xfId="0" applyNumberFormat="1" applyFill="1" applyBorder="1" applyAlignment="1">
      <alignment horizontal="center" vertical="center"/>
    </xf>
    <xf numFmtId="0" fontId="5" fillId="33" borderId="64" xfId="0" applyFont="1" applyFill="1" applyBorder="1" applyAlignment="1">
      <alignment horizontal="center" vertical="center" wrapText="1"/>
    </xf>
    <xf numFmtId="170" fontId="6" fillId="26" borderId="43" xfId="0" applyNumberFormat="1" applyFont="1" applyFill="1" applyBorder="1" applyAlignment="1">
      <alignment horizontal="center" vertical="center"/>
    </xf>
    <xf numFmtId="170" fontId="6" fillId="26" borderId="41" xfId="0" applyNumberFormat="1" applyFont="1" applyFill="1" applyBorder="1" applyAlignment="1">
      <alignment horizontal="center" vertical="center"/>
    </xf>
    <xf numFmtId="170" fontId="6" fillId="26" borderId="75" xfId="0" applyNumberFormat="1" applyFont="1" applyFill="1" applyBorder="1" applyAlignment="1">
      <alignment horizontal="center" vertical="center"/>
    </xf>
    <xf numFmtId="170" fontId="6" fillId="29" borderId="73" xfId="0" applyNumberFormat="1" applyFont="1" applyFill="1" applyBorder="1" applyAlignment="1">
      <alignment horizontal="center" vertical="center"/>
    </xf>
    <xf numFmtId="170" fontId="6" fillId="29" borderId="0" xfId="0" applyNumberFormat="1" applyFont="1" applyFill="1" applyBorder="1" applyAlignment="1">
      <alignment horizontal="center" vertical="center"/>
    </xf>
    <xf numFmtId="0" fontId="6" fillId="26" borderId="71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/>
    </xf>
    <xf numFmtId="0" fontId="6" fillId="29" borderId="71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10" fontId="0" fillId="29" borderId="54" xfId="1" applyNumberFormat="1" applyFont="1" applyFill="1" applyBorder="1" applyAlignment="1">
      <alignment horizontal="center" vertical="center"/>
    </xf>
    <xf numFmtId="0" fontId="5" fillId="33" borderId="74" xfId="0" applyFont="1" applyFill="1" applyBorder="1" applyAlignment="1">
      <alignment horizontal="center" vertical="center" wrapText="1"/>
    </xf>
    <xf numFmtId="0" fontId="5" fillId="33" borderId="65" xfId="0" applyFont="1" applyFill="1" applyBorder="1" applyAlignment="1">
      <alignment horizontal="center" vertical="center" wrapText="1"/>
    </xf>
    <xf numFmtId="170" fontId="6" fillId="3" borderId="71" xfId="0" applyNumberFormat="1" applyFont="1" applyFill="1" applyBorder="1" applyAlignment="1">
      <alignment horizontal="center" vertical="center"/>
    </xf>
    <xf numFmtId="170" fontId="0" fillId="26" borderId="73" xfId="0" applyNumberFormat="1" applyFill="1" applyBorder="1" applyAlignment="1">
      <alignment horizontal="center" vertical="center"/>
    </xf>
    <xf numFmtId="170" fontId="0" fillId="3" borderId="71" xfId="0" applyNumberFormat="1" applyFill="1" applyBorder="1" applyAlignment="1">
      <alignment horizontal="center" vertical="center"/>
    </xf>
    <xf numFmtId="170" fontId="0" fillId="26" borderId="71" xfId="0" applyNumberFormat="1" applyFill="1" applyBorder="1" applyAlignment="1">
      <alignment horizontal="center" vertical="center"/>
    </xf>
    <xf numFmtId="10" fontId="0" fillId="26" borderId="72" xfId="1" applyNumberFormat="1" applyFont="1" applyFill="1" applyBorder="1" applyAlignment="1">
      <alignment horizontal="center" vertical="center"/>
    </xf>
    <xf numFmtId="170" fontId="0" fillId="29" borderId="73" xfId="0" applyNumberFormat="1" applyFill="1" applyBorder="1" applyAlignment="1">
      <alignment horizontal="center" vertical="center"/>
    </xf>
    <xf numFmtId="170" fontId="0" fillId="29" borderId="75" xfId="0" applyNumberFormat="1" applyFill="1" applyBorder="1" applyAlignment="1">
      <alignment horizontal="center" vertical="center"/>
    </xf>
    <xf numFmtId="10" fontId="0" fillId="29" borderId="72" xfId="1" applyNumberFormat="1" applyFont="1" applyFill="1" applyBorder="1" applyAlignment="1">
      <alignment horizontal="center" vertical="center"/>
    </xf>
    <xf numFmtId="0" fontId="0" fillId="28" borderId="71" xfId="0" applyFill="1" applyBorder="1" applyAlignment="1">
      <alignment horizontal="center" vertical="center"/>
    </xf>
    <xf numFmtId="170" fontId="6" fillId="28" borderId="75" xfId="0" applyNumberFormat="1" applyFont="1" applyFill="1" applyBorder="1" applyAlignment="1">
      <alignment horizontal="center" vertical="center"/>
    </xf>
    <xf numFmtId="170" fontId="0" fillId="28" borderId="73" xfId="0" applyNumberFormat="1" applyFill="1" applyBorder="1" applyAlignment="1">
      <alignment horizontal="center" vertical="center"/>
    </xf>
    <xf numFmtId="170" fontId="0" fillId="28" borderId="71" xfId="0" applyNumberFormat="1" applyFill="1" applyBorder="1" applyAlignment="1">
      <alignment horizontal="center" vertical="center"/>
    </xf>
    <xf numFmtId="10" fontId="0" fillId="28" borderId="72" xfId="1" applyNumberFormat="1" applyFont="1" applyFill="1" applyBorder="1" applyAlignment="1">
      <alignment horizontal="center" vertical="center"/>
    </xf>
    <xf numFmtId="170" fontId="6" fillId="29" borderId="75" xfId="0" applyNumberFormat="1" applyFont="1" applyFill="1" applyBorder="1" applyAlignment="1">
      <alignment horizontal="center" vertical="center"/>
    </xf>
    <xf numFmtId="170" fontId="0" fillId="29" borderId="71" xfId="0" applyNumberFormat="1" applyFill="1" applyBorder="1" applyAlignment="1">
      <alignment horizontal="center" vertical="center"/>
    </xf>
    <xf numFmtId="170" fontId="6" fillId="29" borderId="41" xfId="0" applyNumberFormat="1" applyFont="1" applyFill="1" applyBorder="1" applyAlignment="1">
      <alignment horizontal="center" vertical="center"/>
    </xf>
    <xf numFmtId="2" fontId="0" fillId="0" borderId="64" xfId="0" applyNumberFormat="1" applyBorder="1" applyAlignment="1">
      <alignment horizontal="center"/>
    </xf>
    <xf numFmtId="2" fontId="6" fillId="34" borderId="64" xfId="0" applyNumberFormat="1" applyFont="1" applyFill="1" applyBorder="1" applyAlignment="1">
      <alignment horizontal="center"/>
    </xf>
    <xf numFmtId="0" fontId="0" fillId="39" borderId="21" xfId="0" applyFont="1" applyFill="1" applyBorder="1" applyAlignment="1">
      <alignment horizontal="center" vertical="center"/>
    </xf>
    <xf numFmtId="0" fontId="0" fillId="39" borderId="18" xfId="0" applyFont="1" applyFill="1" applyBorder="1" applyAlignment="1">
      <alignment horizontal="center" vertic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17" xfId="0" applyNumberFormat="1" applyFont="1" applyFill="1" applyBorder="1" applyAlignment="1">
      <alignment horizontal="center" vertical="center"/>
    </xf>
    <xf numFmtId="164" fontId="0" fillId="42" borderId="0" xfId="0" applyNumberFormat="1" applyFont="1" applyFill="1" applyBorder="1" applyAlignment="1">
      <alignment horizontal="center" vertical="center"/>
    </xf>
    <xf numFmtId="0" fontId="0" fillId="37" borderId="41" xfId="0" applyFill="1" applyBorder="1"/>
    <xf numFmtId="2" fontId="0" fillId="0" borderId="16" xfId="0" applyNumberFormat="1" applyBorder="1" applyAlignment="1">
      <alignment horizontal="center"/>
    </xf>
    <xf numFmtId="2" fontId="0" fillId="34" borderId="16" xfId="0" applyNumberFormat="1" applyFill="1" applyBorder="1" applyAlignment="1">
      <alignment horizontal="center"/>
    </xf>
    <xf numFmtId="2" fontId="6" fillId="34" borderId="16" xfId="0" applyNumberFormat="1" applyFont="1" applyFill="1" applyBorder="1" applyAlignment="1">
      <alignment horizontal="center"/>
    </xf>
    <xf numFmtId="10" fontId="6" fillId="34" borderId="60" xfId="0" applyNumberFormat="1" applyFont="1" applyFill="1" applyBorder="1" applyAlignment="1">
      <alignment horizontal="center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64" fontId="0" fillId="40" borderId="16" xfId="0" applyNumberFormat="1" applyFont="1" applyFill="1" applyBorder="1" applyAlignment="1">
      <alignment horizontal="center" vertical="center"/>
    </xf>
    <xf numFmtId="164" fontId="0" fillId="28" borderId="18" xfId="0" applyNumberFormat="1" applyFont="1" applyFill="1" applyBorder="1" applyAlignment="1">
      <alignment horizontal="center" vertical="center"/>
    </xf>
    <xf numFmtId="10" fontId="0" fillId="28" borderId="16" xfId="1" applyNumberFormat="1" applyFont="1" applyFill="1" applyBorder="1" applyAlignment="1">
      <alignment horizontal="center" vertical="center"/>
    </xf>
    <xf numFmtId="0" fontId="3" fillId="39" borderId="39" xfId="0" applyFont="1" applyFill="1" applyBorder="1" applyAlignment="1">
      <alignment horizontal="center" vertical="center" wrapText="1"/>
    </xf>
    <xf numFmtId="0" fontId="0" fillId="28" borderId="79" xfId="0" applyFill="1" applyBorder="1" applyAlignment="1">
      <alignment horizontal="center" vertical="center"/>
    </xf>
    <xf numFmtId="170" fontId="6" fillId="28" borderId="80" xfId="0" applyNumberFormat="1" applyFont="1" applyFill="1" applyBorder="1" applyAlignment="1">
      <alignment horizontal="center" vertical="center"/>
    </xf>
    <xf numFmtId="170" fontId="6" fillId="3" borderId="79" xfId="0" applyNumberFormat="1" applyFont="1" applyFill="1" applyBorder="1" applyAlignment="1">
      <alignment horizontal="center" vertical="center"/>
    </xf>
    <xf numFmtId="170" fontId="0" fillId="26" borderId="81" xfId="0" applyNumberFormat="1" applyFill="1" applyBorder="1" applyAlignment="1">
      <alignment horizontal="center" vertical="center"/>
    </xf>
    <xf numFmtId="10" fontId="0" fillId="28" borderId="78" xfId="1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40" borderId="6" xfId="0" applyFill="1" applyBorder="1" applyAlignment="1">
      <alignment horizontal="center" vertical="center"/>
    </xf>
    <xf numFmtId="9" fontId="0" fillId="28" borderId="21" xfId="1" applyFont="1" applyFill="1" applyBorder="1" applyAlignment="1">
      <alignment horizontal="center" vertical="center"/>
    </xf>
    <xf numFmtId="2" fontId="6" fillId="31" borderId="21" xfId="0" applyNumberFormat="1" applyFont="1" applyFill="1" applyBorder="1" applyAlignment="1">
      <alignment horizontal="center" vertical="center"/>
    </xf>
    <xf numFmtId="2" fontId="6" fillId="28" borderId="20" xfId="0" applyNumberFormat="1" applyFont="1" applyFill="1" applyBorder="1" applyAlignment="1">
      <alignment horizontal="center" vertical="center"/>
    </xf>
    <xf numFmtId="14" fontId="6" fillId="40" borderId="60" xfId="0" applyNumberFormat="1" applyFont="1" applyFill="1" applyBorder="1" applyAlignment="1">
      <alignment horizontal="center" vertical="center"/>
    </xf>
    <xf numFmtId="164" fontId="0" fillId="34" borderId="64" xfId="0" applyNumberFormat="1" applyFill="1" applyBorder="1" applyAlignment="1">
      <alignment horizontal="center"/>
    </xf>
    <xf numFmtId="170" fontId="0" fillId="28" borderId="82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0" borderId="64" xfId="0" applyNumberFormat="1" applyFill="1" applyBorder="1" applyAlignment="1">
      <alignment horizontal="center" vertical="center"/>
    </xf>
    <xf numFmtId="164" fontId="0" fillId="42" borderId="20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/>
    </xf>
    <xf numFmtId="0" fontId="0" fillId="45" borderId="84" xfId="0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3" fillId="39" borderId="87" xfId="0" applyNumberFormat="1" applyFont="1" applyFill="1" applyBorder="1" applyAlignment="1">
      <alignment horizontal="center" vertical="center"/>
    </xf>
    <xf numFmtId="1" fontId="3" fillId="39" borderId="52" xfId="0" applyNumberFormat="1" applyFont="1" applyFill="1" applyBorder="1" applyAlignment="1">
      <alignment horizontal="center" vertical="center"/>
    </xf>
    <xf numFmtId="9" fontId="3" fillId="39" borderId="61" xfId="1" applyFont="1" applyFill="1" applyBorder="1" applyAlignment="1">
      <alignment horizontal="center" vertical="center"/>
    </xf>
    <xf numFmtId="164" fontId="46" fillId="3" borderId="20" xfId="0" applyNumberFormat="1" applyFont="1" applyFill="1" applyBorder="1" applyAlignment="1">
      <alignment horizontal="center" vertical="center"/>
    </xf>
    <xf numFmtId="0" fontId="49" fillId="3" borderId="0" xfId="0" applyFont="1" applyFill="1" applyBorder="1"/>
    <xf numFmtId="0" fontId="50" fillId="3" borderId="0" xfId="0" applyFont="1" applyFill="1"/>
    <xf numFmtId="2" fontId="0" fillId="31" borderId="43" xfId="0" applyNumberFormat="1" applyFont="1" applyFill="1" applyBorder="1" applyAlignment="1">
      <alignment horizontal="center" vertical="center"/>
    </xf>
    <xf numFmtId="2" fontId="0" fillId="31" borderId="41" xfId="0" applyNumberFormat="1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164" fontId="0" fillId="40" borderId="11" xfId="0" applyNumberFormat="1" applyFont="1" applyFill="1" applyBorder="1" applyAlignment="1">
      <alignment horizontal="center" vertical="center"/>
    </xf>
    <xf numFmtId="10" fontId="0" fillId="28" borderId="11" xfId="1" applyNumberFormat="1" applyFont="1" applyFill="1" applyBorder="1" applyAlignment="1">
      <alignment horizontal="center" vertical="center"/>
    </xf>
    <xf numFmtId="0" fontId="3" fillId="39" borderId="93" xfId="0" applyFont="1" applyFill="1" applyBorder="1" applyAlignment="1">
      <alignment horizontal="center" vertical="center"/>
    </xf>
    <xf numFmtId="164" fontId="3" fillId="39" borderId="11" xfId="0" applyNumberFormat="1" applyFont="1" applyFill="1" applyBorder="1" applyAlignment="1">
      <alignment horizontal="center" vertical="center"/>
    </xf>
    <xf numFmtId="0" fontId="6" fillId="40" borderId="51" xfId="0" applyFont="1" applyFill="1" applyBorder="1" applyAlignment="1">
      <alignment horizontal="center" vertical="center"/>
    </xf>
    <xf numFmtId="0" fontId="6" fillId="42" borderId="56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77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96" xfId="0" applyFont="1" applyFill="1" applyBorder="1"/>
    <xf numFmtId="0" fontId="6" fillId="3" borderId="97" xfId="0" applyFont="1" applyFill="1" applyBorder="1"/>
    <xf numFmtId="0" fontId="6" fillId="3" borderId="42" xfId="0" applyFont="1" applyFill="1" applyBorder="1"/>
    <xf numFmtId="14" fontId="6" fillId="3" borderId="96" xfId="0" applyNumberFormat="1" applyFont="1" applyFill="1" applyBorder="1"/>
    <xf numFmtId="9" fontId="6" fillId="3" borderId="6" xfId="1" applyNumberFormat="1" applyFont="1" applyFill="1" applyBorder="1" applyAlignment="1">
      <alignment horizontal="center"/>
    </xf>
    <xf numFmtId="9" fontId="6" fillId="3" borderId="51" xfId="1" applyNumberFormat="1" applyFont="1" applyFill="1" applyBorder="1" applyAlignment="1">
      <alignment horizontal="center"/>
    </xf>
    <xf numFmtId="9" fontId="6" fillId="3" borderId="38" xfId="1" applyNumberFormat="1" applyFont="1" applyFill="1" applyBorder="1" applyAlignment="1">
      <alignment horizontal="center"/>
    </xf>
    <xf numFmtId="0" fontId="0" fillId="33" borderId="91" xfId="0" applyFill="1" applyBorder="1" applyAlignment="1">
      <alignment horizontal="left"/>
    </xf>
    <xf numFmtId="9" fontId="38" fillId="3" borderId="6" xfId="1" applyNumberFormat="1" applyFont="1" applyFill="1" applyBorder="1" applyAlignment="1">
      <alignment horizontal="center"/>
    </xf>
    <xf numFmtId="0" fontId="0" fillId="26" borderId="56" xfId="0" applyFill="1" applyBorder="1" applyAlignment="1">
      <alignment horizontal="left"/>
    </xf>
    <xf numFmtId="0" fontId="0" fillId="26" borderId="91" xfId="0" applyFill="1" applyBorder="1" applyAlignment="1">
      <alignment horizontal="left"/>
    </xf>
    <xf numFmtId="0" fontId="0" fillId="26" borderId="33" xfId="0" applyFill="1" applyBorder="1"/>
    <xf numFmtId="1" fontId="3" fillId="26" borderId="68" xfId="0" applyNumberFormat="1" applyFont="1" applyFill="1" applyBorder="1" applyAlignment="1">
      <alignment horizontal="center" vertical="center"/>
    </xf>
    <xf numFmtId="1" fontId="3" fillId="26" borderId="11" xfId="0" applyNumberFormat="1" applyFont="1" applyFill="1" applyBorder="1" applyAlignment="1">
      <alignment horizontal="center" vertical="center"/>
    </xf>
    <xf numFmtId="1" fontId="3" fillId="26" borderId="66" xfId="0" applyNumberFormat="1" applyFont="1" applyFill="1" applyBorder="1" applyAlignment="1">
      <alignment horizontal="center" vertical="center"/>
    </xf>
    <xf numFmtId="1" fontId="3" fillId="26" borderId="70" xfId="0" applyNumberFormat="1" applyFont="1" applyFill="1" applyBorder="1" applyAlignment="1">
      <alignment horizontal="center" vertical="center"/>
    </xf>
    <xf numFmtId="9" fontId="3" fillId="26" borderId="51" xfId="1" applyFont="1" applyFill="1" applyBorder="1" applyAlignment="1">
      <alignment horizontal="center" vertical="center"/>
    </xf>
    <xf numFmtId="164" fontId="3" fillId="39" borderId="95" xfId="0" applyNumberFormat="1" applyFont="1" applyFill="1" applyBorder="1" applyAlignment="1">
      <alignment horizontal="center" vertical="center"/>
    </xf>
    <xf numFmtId="10" fontId="3" fillId="39" borderId="11" xfId="1" applyNumberFormat="1" applyFont="1" applyFill="1" applyBorder="1" applyAlignment="1">
      <alignment horizontal="center" vertical="center"/>
    </xf>
    <xf numFmtId="164" fontId="3" fillId="39" borderId="93" xfId="0" applyNumberFormat="1" applyFont="1" applyFill="1" applyBorder="1" applyAlignment="1">
      <alignment horizontal="center" vertical="center"/>
    </xf>
    <xf numFmtId="0" fontId="45" fillId="3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9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71" fontId="0" fillId="2" borderId="0" xfId="0" applyNumberFormat="1" applyFill="1" applyAlignment="1">
      <alignment horizontal="center" vertical="center"/>
    </xf>
    <xf numFmtId="169" fontId="0" fillId="2" borderId="0" xfId="0" applyNumberFormat="1" applyFont="1" applyFill="1" applyAlignment="1">
      <alignment horizontal="center" vertical="center"/>
    </xf>
    <xf numFmtId="0" fontId="0" fillId="47" borderId="0" xfId="0" applyFill="1"/>
    <xf numFmtId="0" fontId="0" fillId="47" borderId="0" xfId="0" applyFont="1" applyFill="1"/>
    <xf numFmtId="0" fontId="44" fillId="47" borderId="0" xfId="0" applyFont="1" applyFill="1" applyAlignment="1">
      <alignment horizontal="left"/>
    </xf>
    <xf numFmtId="0" fontId="37" fillId="47" borderId="0" xfId="0" applyFont="1" applyFill="1"/>
    <xf numFmtId="169" fontId="47" fillId="47" borderId="0" xfId="0" applyNumberFormat="1" applyFont="1" applyFill="1" applyAlignment="1">
      <alignment horizontal="center"/>
    </xf>
    <xf numFmtId="169" fontId="48" fillId="47" borderId="0" xfId="0" applyNumberFormat="1" applyFont="1" applyFill="1" applyAlignment="1">
      <alignment horizontal="center"/>
    </xf>
    <xf numFmtId="0" fontId="3" fillId="47" borderId="0" xfId="0" applyFont="1" applyFill="1" applyAlignment="1">
      <alignment horizontal="left"/>
    </xf>
    <xf numFmtId="0" fontId="0" fillId="47" borderId="0" xfId="0" applyFill="1" applyAlignment="1">
      <alignment horizontal="left"/>
    </xf>
    <xf numFmtId="171" fontId="47" fillId="47" borderId="0" xfId="0" applyNumberFormat="1" applyFont="1" applyFill="1" applyAlignment="1">
      <alignment horizontal="center"/>
    </xf>
    <xf numFmtId="2" fontId="0" fillId="47" borderId="0" xfId="0" applyNumberFormat="1" applyFill="1"/>
    <xf numFmtId="171" fontId="48" fillId="47" borderId="0" xfId="0" applyNumberFormat="1" applyFont="1" applyFill="1" applyAlignment="1">
      <alignment horizontal="center"/>
    </xf>
    <xf numFmtId="166" fontId="0" fillId="47" borderId="0" xfId="0" applyNumberFormat="1" applyFill="1"/>
    <xf numFmtId="164" fontId="0" fillId="47" borderId="0" xfId="0" applyNumberFormat="1" applyFont="1" applyFill="1"/>
    <xf numFmtId="0" fontId="43" fillId="47" borderId="0" xfId="0" applyFont="1" applyFill="1"/>
    <xf numFmtId="164" fontId="43" fillId="47" borderId="0" xfId="0" applyNumberFormat="1" applyFont="1" applyFill="1"/>
    <xf numFmtId="2" fontId="43" fillId="47" borderId="0" xfId="0" applyNumberFormat="1" applyFont="1" applyFill="1"/>
    <xf numFmtId="9" fontId="43" fillId="47" borderId="0" xfId="1" applyFont="1" applyFill="1"/>
    <xf numFmtId="0" fontId="43" fillId="47" borderId="0" xfId="0" applyFont="1" applyFill="1" applyAlignment="1">
      <alignment vertical="center"/>
    </xf>
    <xf numFmtId="0" fontId="43" fillId="47" borderId="0" xfId="0" applyFont="1" applyFill="1" applyAlignment="1">
      <alignment horizontal="left"/>
    </xf>
    <xf numFmtId="164" fontId="0" fillId="28" borderId="86" xfId="0" applyNumberFormat="1" applyFont="1" applyFill="1" applyBorder="1" applyAlignment="1">
      <alignment horizontal="center" vertical="center"/>
    </xf>
    <xf numFmtId="164" fontId="0" fillId="28" borderId="14" xfId="0" applyNumberFormat="1" applyFont="1" applyFill="1" applyBorder="1" applyAlignment="1">
      <alignment horizontal="center" vertical="center"/>
    </xf>
    <xf numFmtId="0" fontId="6" fillId="40" borderId="6" xfId="0" applyFont="1" applyFill="1" applyBorder="1" applyAlignment="1">
      <alignment horizontal="center" vertical="center"/>
    </xf>
    <xf numFmtId="164" fontId="3" fillId="39" borderId="20" xfId="0" applyNumberFormat="1" applyFont="1" applyFill="1" applyBorder="1" applyAlignment="1">
      <alignment horizontal="center" vertical="center"/>
    </xf>
    <xf numFmtId="0" fontId="0" fillId="0" borderId="104" xfId="0" applyBorder="1"/>
    <xf numFmtId="0" fontId="0" fillId="0" borderId="103" xfId="0" applyBorder="1"/>
    <xf numFmtId="0" fontId="0" fillId="2" borderId="0" xfId="0" applyFill="1" applyAlignment="1">
      <alignment horizontal="left" vertical="center" wrapText="1"/>
    </xf>
    <xf numFmtId="0" fontId="6" fillId="28" borderId="105" xfId="0" applyFont="1" applyFill="1" applyBorder="1" applyAlignment="1">
      <alignment horizontal="center" vertical="center" wrapText="1"/>
    </xf>
    <xf numFmtId="0" fontId="6" fillId="28" borderId="105" xfId="42071" applyFont="1" applyFill="1" applyBorder="1" applyAlignment="1">
      <alignment horizontal="center" vertical="center" wrapText="1"/>
    </xf>
    <xf numFmtId="0" fontId="6" fillId="28" borderId="105" xfId="0" applyFont="1" applyFill="1" applyBorder="1" applyAlignment="1">
      <alignment horizontal="center" vertical="center"/>
    </xf>
    <xf numFmtId="169" fontId="6" fillId="28" borderId="105" xfId="0" applyNumberFormat="1" applyFont="1" applyFill="1" applyBorder="1" applyAlignment="1">
      <alignment horizontal="center" vertical="center"/>
    </xf>
    <xf numFmtId="171" fontId="6" fillId="28" borderId="105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/>
    </xf>
    <xf numFmtId="164" fontId="0" fillId="28" borderId="107" xfId="0" applyNumberFormat="1" applyFont="1" applyFill="1" applyBorder="1" applyAlignment="1">
      <alignment horizontal="center" vertical="center"/>
    </xf>
    <xf numFmtId="164" fontId="0" fillId="28" borderId="106" xfId="0" applyNumberFormat="1" applyFont="1" applyFill="1" applyBorder="1" applyAlignment="1">
      <alignment horizontal="center" vertical="center"/>
    </xf>
    <xf numFmtId="164" fontId="0" fillId="42" borderId="106" xfId="0" applyNumberFormat="1" applyFont="1" applyFill="1" applyBorder="1" applyAlignment="1">
      <alignment horizontal="center" vertical="center"/>
    </xf>
    <xf numFmtId="164" fontId="0" fillId="42" borderId="107" xfId="0" applyNumberFormat="1" applyFont="1" applyFill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0" fillId="0" borderId="0" xfId="0" applyNumberFormat="1"/>
    <xf numFmtId="0" fontId="3" fillId="28" borderId="112" xfId="0" applyFont="1" applyFill="1" applyBorder="1" applyAlignment="1">
      <alignment horizontal="center" vertical="center"/>
    </xf>
    <xf numFmtId="164" fontId="0" fillId="28" borderId="110" xfId="0" applyNumberFormat="1" applyFont="1" applyFill="1" applyBorder="1" applyAlignment="1">
      <alignment horizontal="center" vertical="center"/>
    </xf>
    <xf numFmtId="164" fontId="0" fillId="40" borderId="110" xfId="0" applyNumberFormat="1" applyFont="1" applyFill="1" applyBorder="1" applyAlignment="1">
      <alignment horizontal="center" vertical="center"/>
    </xf>
    <xf numFmtId="10" fontId="0" fillId="28" borderId="110" xfId="1" applyNumberFormat="1" applyFont="1" applyFill="1" applyBorder="1" applyAlignment="1">
      <alignment horizontal="center" vertical="center"/>
    </xf>
    <xf numFmtId="0" fontId="0" fillId="40" borderId="113" xfId="0" applyFill="1" applyBorder="1" applyAlignment="1">
      <alignment horizontal="center" vertical="center"/>
    </xf>
    <xf numFmtId="0" fontId="3" fillId="39" borderId="41" xfId="0" applyFont="1" applyFill="1" applyBorder="1" applyAlignment="1">
      <alignment horizontal="center" vertical="center"/>
    </xf>
    <xf numFmtId="164" fontId="3" fillId="39" borderId="18" xfId="0" applyNumberFormat="1" applyFont="1" applyFill="1" applyBorder="1" applyAlignment="1">
      <alignment horizontal="center" vertical="center"/>
    </xf>
    <xf numFmtId="164" fontId="3" fillId="39" borderId="41" xfId="0" applyNumberFormat="1" applyFont="1" applyFill="1" applyBorder="1" applyAlignment="1">
      <alignment horizontal="center" vertical="center"/>
    </xf>
    <xf numFmtId="10" fontId="3" fillId="39" borderId="16" xfId="1" applyNumberFormat="1" applyFont="1" applyFill="1" applyBorder="1" applyAlignment="1">
      <alignment horizontal="center" vertical="center"/>
    </xf>
    <xf numFmtId="0" fontId="38" fillId="40" borderId="60" xfId="0" applyFont="1" applyFill="1" applyBorder="1" applyAlignment="1">
      <alignment horizontal="center" vertical="center"/>
    </xf>
    <xf numFmtId="0" fontId="0" fillId="0" borderId="4" xfId="0" applyNumberFormat="1" applyBorder="1"/>
    <xf numFmtId="0" fontId="3" fillId="28" borderId="114" xfId="0" applyFont="1" applyFill="1" applyBorder="1" applyAlignment="1">
      <alignment horizontal="center" vertical="center"/>
    </xf>
    <xf numFmtId="164" fontId="0" fillId="40" borderId="109" xfId="0" applyNumberFormat="1" applyFont="1" applyFill="1" applyBorder="1" applyAlignment="1">
      <alignment horizontal="center" vertical="center"/>
    </xf>
    <xf numFmtId="164" fontId="0" fillId="28" borderId="115" xfId="0" applyNumberFormat="1" applyFont="1" applyFill="1" applyBorder="1" applyAlignment="1">
      <alignment horizontal="center" vertical="center"/>
    </xf>
    <xf numFmtId="164" fontId="6" fillId="3" borderId="109" xfId="0" applyNumberFormat="1" applyFont="1" applyFill="1" applyBorder="1" applyAlignment="1">
      <alignment vertical="center"/>
    </xf>
    <xf numFmtId="164" fontId="0" fillId="28" borderId="114" xfId="0" applyNumberFormat="1" applyFont="1" applyFill="1" applyBorder="1" applyAlignment="1">
      <alignment horizontal="center" vertical="center"/>
    </xf>
    <xf numFmtId="10" fontId="0" fillId="28" borderId="109" xfId="1" applyNumberFormat="1" applyFont="1" applyFill="1" applyBorder="1" applyAlignment="1">
      <alignment horizontal="center" vertical="center"/>
    </xf>
    <xf numFmtId="0" fontId="6" fillId="40" borderId="116" xfId="0" applyFont="1" applyFill="1" applyBorder="1" applyAlignment="1">
      <alignment horizontal="center" vertical="center"/>
    </xf>
    <xf numFmtId="0" fontId="0" fillId="0" borderId="109" xfId="0" applyNumberFormat="1" applyBorder="1"/>
    <xf numFmtId="0" fontId="0" fillId="3" borderId="109" xfId="0" applyNumberFormat="1" applyFont="1" applyFill="1" applyBorder="1" applyAlignment="1">
      <alignment vertical="center"/>
    </xf>
    <xf numFmtId="0" fontId="3" fillId="28" borderId="118" xfId="0" applyFont="1" applyFill="1" applyBorder="1" applyAlignment="1">
      <alignment horizontal="center" vertical="center"/>
    </xf>
    <xf numFmtId="164" fontId="0" fillId="28" borderId="119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vertical="center"/>
    </xf>
    <xf numFmtId="164" fontId="0" fillId="28" borderId="118" xfId="0" applyNumberFormat="1" applyFont="1" applyFill="1" applyBorder="1" applyAlignment="1">
      <alignment horizontal="center" vertical="center"/>
    </xf>
    <xf numFmtId="0" fontId="0" fillId="42" borderId="120" xfId="0" applyNumberFormat="1" applyFill="1" applyBorder="1"/>
    <xf numFmtId="0" fontId="0" fillId="42" borderId="120" xfId="0" applyFill="1" applyBorder="1"/>
    <xf numFmtId="0" fontId="0" fillId="28" borderId="120" xfId="0" applyFill="1" applyBorder="1" applyAlignment="1">
      <alignment horizontal="center"/>
    </xf>
    <xf numFmtId="0" fontId="0" fillId="38" borderId="120" xfId="0" applyFill="1" applyBorder="1" applyAlignment="1">
      <alignment horizontal="center"/>
    </xf>
    <xf numFmtId="0" fontId="0" fillId="42" borderId="120" xfId="0" applyFill="1" applyBorder="1" applyAlignment="1">
      <alignment horizontal="center"/>
    </xf>
    <xf numFmtId="9" fontId="0" fillId="28" borderId="18" xfId="1" applyFont="1" applyFill="1" applyBorder="1" applyAlignment="1">
      <alignment horizontal="center" vertical="center"/>
    </xf>
    <xf numFmtId="2" fontId="0" fillId="28" borderId="43" xfId="0" applyNumberFormat="1" applyFont="1" applyFill="1" applyBorder="1" applyAlignment="1">
      <alignment horizontal="center" vertical="center"/>
    </xf>
    <xf numFmtId="2" fontId="0" fillId="28" borderId="41" xfId="0" applyNumberFormat="1" applyFont="1" applyFill="1" applyBorder="1" applyAlignment="1">
      <alignment horizontal="center" vertical="center"/>
    </xf>
    <xf numFmtId="2" fontId="6" fillId="28" borderId="43" xfId="0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left" vertical="center" wrapText="1"/>
    </xf>
    <xf numFmtId="0" fontId="0" fillId="34" borderId="0" xfId="0" applyFill="1" applyAlignment="1">
      <alignment horizontal="left"/>
    </xf>
    <xf numFmtId="0" fontId="0" fillId="0" borderId="20" xfId="0" applyNumberFormat="1" applyBorder="1" applyAlignment="1">
      <alignment horizontal="right"/>
    </xf>
    <xf numFmtId="164" fontId="0" fillId="3" borderId="16" xfId="0" applyNumberFormat="1" applyFont="1" applyFill="1" applyBorder="1" applyAlignment="1">
      <alignment horizontal="right" vertical="center"/>
    </xf>
    <xf numFmtId="164" fontId="0" fillId="3" borderId="20" xfId="0" applyNumberFormat="1" applyFont="1" applyFill="1" applyBorder="1" applyAlignment="1">
      <alignment horizontal="right" vertical="center"/>
    </xf>
    <xf numFmtId="0" fontId="3" fillId="42" borderId="120" xfId="0" applyFont="1" applyFill="1" applyBorder="1"/>
    <xf numFmtId="9" fontId="1" fillId="39" borderId="20" xfId="1" applyFont="1" applyFill="1" applyBorder="1" applyAlignment="1">
      <alignment horizontal="center" vertical="center"/>
    </xf>
    <xf numFmtId="9" fontId="1" fillId="39" borderId="16" xfId="1" applyFont="1" applyFill="1" applyBorder="1" applyAlignment="1">
      <alignment horizontal="center" vertical="center"/>
    </xf>
    <xf numFmtId="9" fontId="1" fillId="42" borderId="16" xfId="1" applyFont="1" applyFill="1" applyBorder="1" applyAlignment="1">
      <alignment horizontal="center" vertical="center"/>
    </xf>
    <xf numFmtId="164" fontId="46" fillId="3" borderId="16" xfId="0" applyNumberFormat="1" applyFont="1" applyFill="1" applyBorder="1" applyAlignment="1">
      <alignment horizontal="center" vertical="center"/>
    </xf>
    <xf numFmtId="164" fontId="50" fillId="3" borderId="125" xfId="0" applyNumberFormat="1" applyFont="1" applyFill="1" applyBorder="1" applyAlignment="1">
      <alignment horizontal="center" vertical="center"/>
    </xf>
    <xf numFmtId="164" fontId="50" fillId="3" borderId="16" xfId="0" applyNumberFormat="1" applyFont="1" applyFill="1" applyBorder="1" applyAlignment="1">
      <alignment horizontal="center" vertical="center"/>
    </xf>
    <xf numFmtId="164" fontId="50" fillId="3" borderId="20" xfId="0" applyNumberFormat="1" applyFont="1" applyFill="1" applyBorder="1" applyAlignment="1">
      <alignment horizontal="center" vertical="center"/>
    </xf>
    <xf numFmtId="0" fontId="54" fillId="3" borderId="0" xfId="0" applyFont="1" applyFill="1"/>
    <xf numFmtId="0" fontId="54" fillId="43" borderId="124" xfId="0" applyFont="1" applyFill="1" applyBorder="1" applyAlignment="1">
      <alignment horizontal="left" vertical="center" wrapText="1"/>
    </xf>
    <xf numFmtId="0" fontId="54" fillId="43" borderId="124" xfId="0" applyFont="1" applyFill="1" applyBorder="1" applyAlignment="1">
      <alignment horizontal="center" vertical="center" wrapText="1"/>
    </xf>
    <xf numFmtId="0" fontId="54" fillId="43" borderId="124" xfId="0" applyFont="1" applyFill="1" applyBorder="1" applyAlignment="1">
      <alignment horizontal="center" vertical="center"/>
    </xf>
    <xf numFmtId="0" fontId="54" fillId="3" borderId="124" xfId="0" applyFont="1" applyFill="1" applyBorder="1" applyAlignment="1">
      <alignment vertical="center"/>
    </xf>
    <xf numFmtId="166" fontId="54" fillId="3" borderId="124" xfId="0" applyNumberFormat="1" applyFont="1" applyFill="1" applyBorder="1" applyAlignment="1">
      <alignment vertical="center"/>
    </xf>
    <xf numFmtId="166" fontId="54" fillId="28" borderId="124" xfId="0" applyNumberFormat="1" applyFont="1" applyFill="1" applyBorder="1" applyAlignment="1">
      <alignment horizontal="center" vertical="center"/>
    </xf>
    <xf numFmtId="166" fontId="54" fillId="43" borderId="124" xfId="0" applyNumberFormat="1" applyFont="1" applyFill="1" applyBorder="1" applyAlignment="1">
      <alignment vertical="center"/>
    </xf>
    <xf numFmtId="0" fontId="54" fillId="3" borderId="0" xfId="0" applyFont="1" applyFill="1" applyBorder="1" applyAlignment="1">
      <alignment horizontal="left" wrapText="1"/>
    </xf>
    <xf numFmtId="166" fontId="54" fillId="3" borderId="0" xfId="0" applyNumberFormat="1" applyFont="1" applyFill="1" applyBorder="1"/>
    <xf numFmtId="175" fontId="54" fillId="3" borderId="88" xfId="0" applyNumberFormat="1" applyFont="1" applyFill="1" applyBorder="1" applyAlignment="1">
      <alignment horizontal="center" vertical="center"/>
    </xf>
    <xf numFmtId="164" fontId="54" fillId="3" borderId="88" xfId="0" applyNumberFormat="1" applyFont="1" applyFill="1" applyBorder="1" applyAlignment="1">
      <alignment horizontal="center" vertical="center"/>
    </xf>
    <xf numFmtId="176" fontId="54" fillId="3" borderId="88" xfId="0" applyNumberFormat="1" applyFont="1" applyFill="1" applyBorder="1" applyAlignment="1">
      <alignment horizontal="center" vertical="center"/>
    </xf>
    <xf numFmtId="172" fontId="54" fillId="3" borderId="88" xfId="0" applyNumberFormat="1" applyFont="1" applyFill="1" applyBorder="1" applyAlignment="1">
      <alignment horizontal="center" vertical="center"/>
    </xf>
    <xf numFmtId="164" fontId="54" fillId="28" borderId="88" xfId="0" applyNumberFormat="1" applyFont="1" applyFill="1" applyBorder="1" applyAlignment="1">
      <alignment horizontal="center" vertical="center"/>
    </xf>
    <xf numFmtId="1" fontId="54" fillId="3" borderId="0" xfId="0" applyNumberFormat="1" applyFont="1" applyFill="1"/>
    <xf numFmtId="0" fontId="54" fillId="43" borderId="124" xfId="0" applyFont="1" applyFill="1" applyBorder="1" applyAlignment="1">
      <alignment horizontal="left" wrapText="1"/>
    </xf>
    <xf numFmtId="0" fontId="54" fillId="43" borderId="124" xfId="0" applyFont="1" applyFill="1" applyBorder="1" applyAlignment="1">
      <alignment horizontal="center"/>
    </xf>
    <xf numFmtId="0" fontId="54" fillId="3" borderId="124" xfId="0" applyFont="1" applyFill="1" applyBorder="1"/>
    <xf numFmtId="166" fontId="54" fillId="3" borderId="124" xfId="0" applyNumberFormat="1" applyFont="1" applyFill="1" applyBorder="1"/>
    <xf numFmtId="0" fontId="54" fillId="26" borderId="124" xfId="0" applyFont="1" applyFill="1" applyBorder="1" applyAlignment="1">
      <alignment horizontal="left" wrapText="1"/>
    </xf>
    <xf numFmtId="166" fontId="54" fillId="26" borderId="124" xfId="0" applyNumberFormat="1" applyFont="1" applyFill="1" applyBorder="1"/>
    <xf numFmtId="0" fontId="54" fillId="3" borderId="0" xfId="0" applyFont="1" applyFill="1" applyBorder="1" applyAlignment="1">
      <alignment horizontal="center" vertical="center" wrapText="1"/>
    </xf>
    <xf numFmtId="164" fontId="54" fillId="3" borderId="20" xfId="0" applyNumberFormat="1" applyFont="1" applyFill="1" applyBorder="1" applyAlignment="1">
      <alignment horizontal="center" vertical="center"/>
    </xf>
    <xf numFmtId="164" fontId="54" fillId="3" borderId="16" xfId="0" applyNumberFormat="1" applyFont="1" applyFill="1" applyBorder="1" applyAlignment="1">
      <alignment horizontal="center" vertical="center"/>
    </xf>
    <xf numFmtId="172" fontId="54" fillId="28" borderId="88" xfId="0" applyNumberFormat="1" applyFont="1" applyFill="1" applyBorder="1" applyAlignment="1">
      <alignment horizontal="center" vertical="center" wrapText="1"/>
    </xf>
    <xf numFmtId="164" fontId="50" fillId="3" borderId="126" xfId="0" applyNumberFormat="1" applyFont="1" applyFill="1" applyBorder="1" applyAlignment="1">
      <alignment horizontal="center" vertical="center"/>
    </xf>
    <xf numFmtId="164" fontId="50" fillId="3" borderId="21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39" fillId="28" borderId="128" xfId="42071" applyFont="1" applyFill="1" applyBorder="1" applyAlignment="1">
      <alignment horizontal="center" vertical="center" wrapText="1"/>
    </xf>
    <xf numFmtId="10" fontId="0" fillId="28" borderId="21" xfId="1" applyNumberFormat="1" applyFont="1" applyFill="1" applyBorder="1" applyAlignment="1">
      <alignment horizontal="center" vertical="center"/>
    </xf>
    <xf numFmtId="10" fontId="0" fillId="28" borderId="18" xfId="1" applyNumberFormat="1" applyFont="1" applyFill="1" applyBorder="1" applyAlignment="1">
      <alignment horizontal="center" vertical="center"/>
    </xf>
    <xf numFmtId="10" fontId="0" fillId="28" borderId="126" xfId="1" applyNumberFormat="1" applyFont="1" applyFill="1" applyBorder="1" applyAlignment="1">
      <alignment horizontal="center" vertical="center"/>
    </xf>
    <xf numFmtId="9" fontId="1" fillId="46" borderId="126" xfId="1" applyFont="1" applyFill="1" applyBorder="1" applyAlignment="1">
      <alignment horizontal="center" vertical="center"/>
    </xf>
    <xf numFmtId="9" fontId="1" fillId="46" borderId="18" xfId="1" applyFont="1" applyFill="1" applyBorder="1" applyAlignment="1">
      <alignment horizontal="center" vertical="center"/>
    </xf>
    <xf numFmtId="10" fontId="0" fillId="42" borderId="126" xfId="1" applyNumberFormat="1" applyFont="1" applyFill="1" applyBorder="1" applyAlignment="1">
      <alignment horizontal="center" vertical="center"/>
    </xf>
    <xf numFmtId="10" fontId="0" fillId="42" borderId="21" xfId="1" applyNumberFormat="1" applyFont="1" applyFill="1" applyBorder="1" applyAlignment="1">
      <alignment horizontal="center" vertical="center"/>
    </xf>
    <xf numFmtId="9" fontId="1" fillId="46" borderId="21" xfId="1" applyFont="1" applyFill="1" applyBorder="1" applyAlignment="1">
      <alignment horizontal="center" vertical="center"/>
    </xf>
    <xf numFmtId="9" fontId="1" fillId="39" borderId="126" xfId="1" applyFont="1" applyFill="1" applyBorder="1" applyAlignment="1">
      <alignment horizontal="center" vertical="center"/>
    </xf>
    <xf numFmtId="9" fontId="1" fillId="39" borderId="128" xfId="1" applyFont="1" applyFill="1" applyBorder="1" applyAlignment="1">
      <alignment horizontal="center" vertical="center"/>
    </xf>
    <xf numFmtId="0" fontId="6" fillId="26" borderId="124" xfId="42071" applyFont="1" applyFill="1" applyBorder="1" applyAlignment="1">
      <alignment horizontal="center" vertical="center" wrapText="1"/>
    </xf>
    <xf numFmtId="0" fontId="6" fillId="26" borderId="124" xfId="0" applyFont="1" applyFill="1" applyBorder="1" applyAlignment="1">
      <alignment horizontal="center" vertical="center" wrapText="1"/>
    </xf>
    <xf numFmtId="0" fontId="39" fillId="26" borderId="124" xfId="42071" applyFont="1" applyFill="1" applyBorder="1" applyAlignment="1">
      <alignment horizontal="center" vertical="center" wrapText="1"/>
    </xf>
    <xf numFmtId="0" fontId="6" fillId="28" borderId="127" xfId="0" applyFont="1" applyFill="1" applyBorder="1" applyAlignment="1">
      <alignment horizontal="center" vertical="center" wrapText="1"/>
    </xf>
    <xf numFmtId="164" fontId="0" fillId="28" borderId="129" xfId="0" applyNumberFormat="1" applyFont="1" applyFill="1" applyBorder="1" applyAlignment="1">
      <alignment horizontal="center" vertical="center"/>
    </xf>
    <xf numFmtId="164" fontId="0" fillId="42" borderId="129" xfId="0" applyNumberFormat="1" applyFont="1" applyFill="1" applyBorder="1" applyAlignment="1">
      <alignment horizontal="center" vertical="center"/>
    </xf>
    <xf numFmtId="169" fontId="6" fillId="28" borderId="127" xfId="0" applyNumberFormat="1" applyFont="1" applyFill="1" applyBorder="1" applyAlignment="1">
      <alignment horizontal="center" vertical="center"/>
    </xf>
    <xf numFmtId="0" fontId="39" fillId="36" borderId="124" xfId="0" applyFont="1" applyFill="1" applyBorder="1" applyAlignment="1">
      <alignment horizontal="center" vertical="center" wrapText="1"/>
    </xf>
    <xf numFmtId="0" fontId="39" fillId="36" borderId="124" xfId="42071" applyFont="1" applyFill="1" applyBorder="1" applyAlignment="1">
      <alignment horizontal="center" vertical="center" wrapText="1"/>
    </xf>
    <xf numFmtId="9" fontId="1" fillId="39" borderId="124" xfId="1" applyFont="1" applyFill="1" applyBorder="1" applyAlignment="1">
      <alignment horizontal="center" vertical="center"/>
    </xf>
    <xf numFmtId="169" fontId="6" fillId="28" borderId="124" xfId="0" applyNumberFormat="1" applyFont="1" applyFill="1" applyBorder="1" applyAlignment="1">
      <alignment horizontal="center" vertical="center"/>
    </xf>
    <xf numFmtId="171" fontId="6" fillId="28" borderId="124" xfId="0" applyNumberFormat="1" applyFont="1" applyFill="1" applyBorder="1" applyAlignment="1">
      <alignment horizontal="center" vertical="center"/>
    </xf>
    <xf numFmtId="164" fontId="0" fillId="35" borderId="21" xfId="0" applyNumberFormat="1" applyFont="1" applyFill="1" applyBorder="1" applyAlignment="1">
      <alignment horizontal="center" vertical="center"/>
    </xf>
    <xf numFmtId="164" fontId="0" fillId="35" borderId="129" xfId="0" applyNumberFormat="1" applyFont="1" applyFill="1" applyBorder="1" applyAlignment="1">
      <alignment horizontal="center" vertical="center"/>
    </xf>
    <xf numFmtId="164" fontId="0" fillId="3" borderId="125" xfId="0" applyNumberFormat="1" applyFont="1" applyFill="1" applyBorder="1" applyAlignment="1">
      <alignment horizontal="right" vertical="center"/>
    </xf>
    <xf numFmtId="9" fontId="1" fillId="39" borderId="125" xfId="1" applyFont="1" applyFill="1" applyBorder="1" applyAlignment="1">
      <alignment horizontal="center" vertical="center"/>
    </xf>
    <xf numFmtId="164" fontId="0" fillId="35" borderId="130" xfId="0" applyNumberFormat="1" applyFont="1" applyFill="1" applyBorder="1" applyAlignment="1">
      <alignment horizontal="center" vertical="center"/>
    </xf>
    <xf numFmtId="9" fontId="1" fillId="42" borderId="125" xfId="1" applyFont="1" applyFill="1" applyBorder="1" applyAlignment="1">
      <alignment horizontal="center" vertical="center"/>
    </xf>
    <xf numFmtId="164" fontId="0" fillId="35" borderId="126" xfId="0" applyNumberFormat="1" applyFont="1" applyFill="1" applyBorder="1" applyAlignment="1">
      <alignment horizontal="center" vertical="center"/>
    </xf>
    <xf numFmtId="164" fontId="0" fillId="3" borderId="125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26" xfId="0" applyFill="1" applyBorder="1" applyAlignment="1">
      <alignment horizontal="center" vertical="center"/>
    </xf>
    <xf numFmtId="0" fontId="0" fillId="42" borderId="126" xfId="0" applyFill="1" applyBorder="1" applyAlignment="1">
      <alignment horizontal="center" vertical="center"/>
    </xf>
    <xf numFmtId="0" fontId="0" fillId="42" borderId="18" xfId="0" applyFill="1" applyBorder="1" applyAlignment="1">
      <alignment horizontal="center" vertical="center"/>
    </xf>
    <xf numFmtId="0" fontId="6" fillId="28" borderId="126" xfId="0" applyFont="1" applyFill="1" applyBorder="1" applyAlignment="1">
      <alignment horizontal="center" vertical="center"/>
    </xf>
    <xf numFmtId="0" fontId="41" fillId="35" borderId="124" xfId="0" applyFont="1" applyFill="1" applyBorder="1" applyAlignment="1">
      <alignment horizontal="center" vertical="center" wrapText="1"/>
    </xf>
    <xf numFmtId="0" fontId="39" fillId="35" borderId="124" xfId="0" applyFont="1" applyFill="1" applyBorder="1" applyAlignment="1">
      <alignment horizontal="center" vertical="center" wrapText="1"/>
    </xf>
    <xf numFmtId="0" fontId="39" fillId="35" borderId="124" xfId="42071" applyFont="1" applyFill="1" applyBorder="1" applyAlignment="1">
      <alignment horizontal="center" vertical="center" wrapText="1"/>
    </xf>
    <xf numFmtId="9" fontId="1" fillId="28" borderId="20" xfId="1" applyFont="1" applyFill="1" applyBorder="1" applyAlignment="1">
      <alignment horizontal="center" vertical="center"/>
    </xf>
    <xf numFmtId="9" fontId="1" fillId="28" borderId="16" xfId="1" applyFont="1" applyFill="1" applyBorder="1" applyAlignment="1">
      <alignment horizontal="center" vertical="center"/>
    </xf>
    <xf numFmtId="9" fontId="1" fillId="28" borderId="125" xfId="1" applyFont="1" applyFill="1" applyBorder="1" applyAlignment="1">
      <alignment horizontal="center" vertical="center"/>
    </xf>
    <xf numFmtId="10" fontId="6" fillId="28" borderId="124" xfId="1" applyNumberFormat="1" applyFont="1" applyFill="1" applyBorder="1" applyAlignment="1">
      <alignment horizontal="center" vertical="center"/>
    </xf>
    <xf numFmtId="0" fontId="39" fillId="28" borderId="124" xfId="0" applyFont="1" applyFill="1" applyBorder="1" applyAlignment="1">
      <alignment horizontal="center" vertical="center" wrapText="1"/>
    </xf>
    <xf numFmtId="0" fontId="39" fillId="28" borderId="124" xfId="42071" applyFont="1" applyFill="1" applyBorder="1" applyAlignment="1">
      <alignment horizontal="center" vertical="center" wrapText="1"/>
    </xf>
    <xf numFmtId="0" fontId="41" fillId="31" borderId="124" xfId="0" applyFont="1" applyFill="1" applyBorder="1" applyAlignment="1">
      <alignment horizontal="center" vertical="center" wrapText="1"/>
    </xf>
    <xf numFmtId="0" fontId="39" fillId="31" borderId="124" xfId="0" applyFont="1" applyFill="1" applyBorder="1" applyAlignment="1">
      <alignment horizontal="center" vertical="center" wrapText="1"/>
    </xf>
    <xf numFmtId="0" fontId="39" fillId="31" borderId="124" xfId="42071" applyFont="1" applyFill="1" applyBorder="1" applyAlignment="1">
      <alignment horizontal="center" vertical="center" wrapText="1"/>
    </xf>
    <xf numFmtId="0" fontId="39" fillId="28" borderId="127" xfId="0" applyFont="1" applyFill="1" applyBorder="1" applyAlignment="1">
      <alignment horizontal="center" vertical="center" wrapText="1"/>
    </xf>
    <xf numFmtId="0" fontId="39" fillId="39" borderId="124" xfId="0" applyFont="1" applyFill="1" applyBorder="1" applyAlignment="1">
      <alignment horizontal="center" vertical="center" wrapText="1"/>
    </xf>
    <xf numFmtId="0" fontId="39" fillId="39" borderId="124" xfId="42071" applyFont="1" applyFill="1" applyBorder="1" applyAlignment="1">
      <alignment horizontal="center" vertical="center" wrapText="1"/>
    </xf>
    <xf numFmtId="0" fontId="0" fillId="39" borderId="126" xfId="0" applyFont="1" applyFill="1" applyBorder="1" applyAlignment="1">
      <alignment horizontal="center" vertical="center"/>
    </xf>
    <xf numFmtId="164" fontId="46" fillId="3" borderId="125" xfId="0" applyNumberFormat="1" applyFont="1" applyFill="1" applyBorder="1" applyAlignment="1">
      <alignment horizontal="center" vertical="center"/>
    </xf>
    <xf numFmtId="2" fontId="0" fillId="28" borderId="125" xfId="0" applyNumberFormat="1" applyFont="1" applyFill="1" applyBorder="1" applyAlignment="1">
      <alignment horizontal="center" vertical="center"/>
    </xf>
    <xf numFmtId="2" fontId="0" fillId="28" borderId="126" xfId="0" applyNumberFormat="1" applyFont="1" applyFill="1" applyBorder="1" applyAlignment="1">
      <alignment horizontal="center" vertical="center"/>
    </xf>
    <xf numFmtId="2" fontId="0" fillId="31" borderId="125" xfId="0" applyNumberFormat="1" applyFont="1" applyFill="1" applyBorder="1" applyAlignment="1">
      <alignment horizontal="center" vertical="center"/>
    </xf>
    <xf numFmtId="2" fontId="0" fillId="31" borderId="126" xfId="0" applyNumberFormat="1" applyFont="1" applyFill="1" applyBorder="1" applyAlignment="1">
      <alignment horizontal="center" vertical="center"/>
    </xf>
    <xf numFmtId="2" fontId="0" fillId="28" borderId="130" xfId="0" applyNumberFormat="1" applyFont="1" applyFill="1" applyBorder="1" applyAlignment="1">
      <alignment horizontal="center" vertical="center"/>
    </xf>
    <xf numFmtId="2" fontId="0" fillId="3" borderId="125" xfId="0" applyNumberFormat="1" applyFont="1" applyFill="1" applyBorder="1" applyAlignment="1">
      <alignment horizontal="center" vertical="center"/>
    </xf>
    <xf numFmtId="9" fontId="0" fillId="28" borderId="126" xfId="1" applyFont="1" applyFill="1" applyBorder="1" applyAlignment="1">
      <alignment horizontal="center" vertical="center"/>
    </xf>
    <xf numFmtId="2" fontId="6" fillId="31" borderId="126" xfId="0" applyNumberFormat="1" applyFont="1" applyFill="1" applyBorder="1" applyAlignment="1">
      <alignment horizontal="center" vertical="center"/>
    </xf>
    <xf numFmtId="2" fontId="6" fillId="28" borderId="130" xfId="0" applyNumberFormat="1" applyFont="1" applyFill="1" applyBorder="1" applyAlignment="1">
      <alignment horizontal="center" vertical="center"/>
    </xf>
    <xf numFmtId="169" fontId="6" fillId="26" borderId="124" xfId="0" applyNumberFormat="1" applyFont="1" applyFill="1" applyBorder="1" applyAlignment="1">
      <alignment horizontal="center" vertical="center"/>
    </xf>
    <xf numFmtId="169" fontId="6" fillId="38" borderId="124" xfId="0" applyNumberFormat="1" applyFont="1" applyFill="1" applyBorder="1" applyAlignment="1">
      <alignment horizontal="center" vertical="center"/>
    </xf>
    <xf numFmtId="169" fontId="6" fillId="38" borderId="125" xfId="0" applyNumberFormat="1" applyFont="1" applyFill="1" applyBorder="1" applyAlignment="1">
      <alignment horizontal="center" vertical="center"/>
    </xf>
    <xf numFmtId="9" fontId="6" fillId="38" borderId="126" xfId="1" applyFont="1" applyFill="1" applyBorder="1" applyAlignment="1">
      <alignment horizontal="center" vertical="center"/>
    </xf>
    <xf numFmtId="164" fontId="0" fillId="38" borderId="124" xfId="0" applyNumberFormat="1" applyFont="1" applyFill="1" applyBorder="1" applyAlignment="1">
      <alignment horizontal="center" vertical="center"/>
    </xf>
    <xf numFmtId="9" fontId="6" fillId="38" borderId="128" xfId="1" applyFont="1" applyFill="1" applyBorder="1" applyAlignment="1">
      <alignment horizontal="center" vertical="center"/>
    </xf>
    <xf numFmtId="9" fontId="6" fillId="26" borderId="128" xfId="1" applyFont="1" applyFill="1" applyBorder="1" applyAlignment="1">
      <alignment horizontal="center" vertical="center"/>
    </xf>
    <xf numFmtId="9" fontId="0" fillId="31" borderId="20" xfId="1" applyFont="1" applyFill="1" applyBorder="1" applyAlignment="1">
      <alignment horizontal="center" vertical="center"/>
    </xf>
    <xf numFmtId="9" fontId="0" fillId="31" borderId="16" xfId="1" applyFont="1" applyFill="1" applyBorder="1" applyAlignment="1">
      <alignment horizontal="center" vertical="center"/>
    </xf>
    <xf numFmtId="9" fontId="6" fillId="31" borderId="20" xfId="1" applyFont="1" applyFill="1" applyBorder="1" applyAlignment="1">
      <alignment horizontal="center" vertical="center"/>
    </xf>
    <xf numFmtId="9" fontId="6" fillId="31" borderId="125" xfId="1" applyFont="1" applyFill="1" applyBorder="1" applyAlignment="1">
      <alignment horizontal="center" vertical="center"/>
    </xf>
    <xf numFmtId="9" fontId="0" fillId="31" borderId="125" xfId="1" applyFont="1" applyFill="1" applyBorder="1" applyAlignment="1">
      <alignment horizontal="center" vertical="center"/>
    </xf>
    <xf numFmtId="9" fontId="0" fillId="28" borderId="20" xfId="1" applyFont="1" applyFill="1" applyBorder="1" applyAlignment="1">
      <alignment horizontal="center" vertical="center"/>
    </xf>
    <xf numFmtId="9" fontId="6" fillId="38" borderId="125" xfId="1" applyFont="1" applyFill="1" applyBorder="1" applyAlignment="1">
      <alignment horizontal="center" vertical="center"/>
    </xf>
    <xf numFmtId="9" fontId="6" fillId="38" borderId="124" xfId="1" applyFont="1" applyFill="1" applyBorder="1" applyAlignment="1">
      <alignment horizontal="center" vertical="center"/>
    </xf>
    <xf numFmtId="0" fontId="0" fillId="39" borderId="125" xfId="0" applyFont="1" applyFill="1" applyBorder="1" applyAlignment="1">
      <alignment horizontal="center" vertical="center"/>
    </xf>
    <xf numFmtId="0" fontId="0" fillId="39" borderId="16" xfId="0" applyFont="1" applyFill="1" applyBorder="1" applyAlignment="1">
      <alignment horizontal="center" vertical="center"/>
    </xf>
    <xf numFmtId="0" fontId="0" fillId="39" borderId="20" xfId="0" applyFont="1" applyFill="1" applyBorder="1" applyAlignment="1">
      <alignment horizontal="center" vertical="center"/>
    </xf>
    <xf numFmtId="0" fontId="41" fillId="28" borderId="124" xfId="0" applyFont="1" applyFill="1" applyBorder="1" applyAlignment="1">
      <alignment horizontal="center" vertical="center" wrapText="1"/>
    </xf>
    <xf numFmtId="9" fontId="0" fillId="28" borderId="16" xfId="1" applyFont="1" applyFill="1" applyBorder="1" applyAlignment="1">
      <alignment horizontal="center" vertical="center"/>
    </xf>
    <xf numFmtId="9" fontId="0" fillId="28" borderId="125" xfId="1" applyFont="1" applyFill="1" applyBorder="1" applyAlignment="1">
      <alignment horizontal="center" vertical="center"/>
    </xf>
    <xf numFmtId="174" fontId="6" fillId="26" borderId="124" xfId="0" applyNumberFormat="1" applyFont="1" applyFill="1" applyBorder="1" applyAlignment="1">
      <alignment horizontal="center" vertical="center"/>
    </xf>
    <xf numFmtId="9" fontId="6" fillId="26" borderId="124" xfId="1" applyFont="1" applyFill="1" applyBorder="1" applyAlignment="1">
      <alignment horizontal="center" vertical="center"/>
    </xf>
    <xf numFmtId="2" fontId="54" fillId="3" borderId="126" xfId="0" applyNumberFormat="1" applyFont="1" applyFill="1" applyBorder="1" applyAlignment="1">
      <alignment horizontal="center" vertical="center"/>
    </xf>
    <xf numFmtId="2" fontId="54" fillId="3" borderId="21" xfId="0" applyNumberFormat="1" applyFont="1" applyFill="1" applyBorder="1" applyAlignment="1">
      <alignment horizontal="center" vertical="center"/>
    </xf>
    <xf numFmtId="164" fontId="50" fillId="28" borderId="43" xfId="0" applyNumberFormat="1" applyFont="1" applyFill="1" applyBorder="1" applyAlignment="1">
      <alignment horizontal="center" vertical="center"/>
    </xf>
    <xf numFmtId="164" fontId="50" fillId="28" borderId="21" xfId="0" applyNumberFormat="1" applyFont="1" applyFill="1" applyBorder="1" applyAlignment="1">
      <alignment horizontal="center" vertical="center"/>
    </xf>
    <xf numFmtId="164" fontId="50" fillId="28" borderId="41" xfId="0" applyNumberFormat="1" applyFont="1" applyFill="1" applyBorder="1" applyAlignment="1">
      <alignment horizontal="center" vertical="center"/>
    </xf>
    <xf numFmtId="164" fontId="50" fillId="28" borderId="18" xfId="0" applyNumberFormat="1" applyFont="1" applyFill="1" applyBorder="1" applyAlignment="1">
      <alignment horizontal="center" vertical="center"/>
    </xf>
    <xf numFmtId="0" fontId="54" fillId="28" borderId="88" xfId="0" applyFont="1" applyFill="1" applyBorder="1" applyAlignment="1">
      <alignment horizontal="center" vertical="center" wrapText="1"/>
    </xf>
    <xf numFmtId="1" fontId="54" fillId="28" borderId="88" xfId="0" applyNumberFormat="1" applyFont="1" applyFill="1" applyBorder="1" applyAlignment="1">
      <alignment horizontal="center" vertical="center"/>
    </xf>
    <xf numFmtId="0" fontId="50" fillId="28" borderId="124" xfId="0" applyFont="1" applyFill="1" applyBorder="1" applyAlignment="1">
      <alignment horizontal="center" vertical="center" wrapText="1"/>
    </xf>
    <xf numFmtId="175" fontId="54" fillId="28" borderId="88" xfId="0" applyNumberFormat="1" applyFont="1" applyFill="1" applyBorder="1" applyAlignment="1">
      <alignment horizontal="center" vertical="center"/>
    </xf>
    <xf numFmtId="0" fontId="53" fillId="3" borderId="0" xfId="0" applyFont="1" applyFill="1" applyAlignment="1">
      <alignment horizontal="right"/>
    </xf>
    <xf numFmtId="0" fontId="55" fillId="48" borderId="124" xfId="0" applyFont="1" applyFill="1" applyBorder="1" applyAlignment="1">
      <alignment horizontal="center" vertical="center"/>
    </xf>
    <xf numFmtId="0" fontId="56" fillId="48" borderId="124" xfId="0" applyFont="1" applyFill="1" applyBorder="1" applyAlignment="1">
      <alignment horizontal="center" vertical="center"/>
    </xf>
    <xf numFmtId="0" fontId="57" fillId="48" borderId="124" xfId="0" applyFont="1" applyFill="1" applyBorder="1" applyAlignment="1">
      <alignment horizontal="center" vertical="center"/>
    </xf>
    <xf numFmtId="0" fontId="55" fillId="48" borderId="128" xfId="0" applyFont="1" applyFill="1" applyBorder="1" applyAlignment="1">
      <alignment horizontal="center" vertical="center" wrapText="1"/>
    </xf>
    <xf numFmtId="14" fontId="50" fillId="3" borderId="124" xfId="0" applyNumberFormat="1" applyFont="1" applyFill="1" applyBorder="1" applyAlignment="1">
      <alignment horizontal="center" vertical="center" wrapText="1"/>
    </xf>
    <xf numFmtId="0" fontId="6" fillId="27" borderId="124" xfId="0" applyFont="1" applyFill="1" applyBorder="1" applyAlignment="1">
      <alignment horizontal="center" vertical="center"/>
    </xf>
    <xf numFmtId="176" fontId="50" fillId="3" borderId="124" xfId="0" applyNumberFormat="1" applyFont="1" applyFill="1" applyBorder="1" applyAlignment="1">
      <alignment horizontal="center" vertical="center"/>
    </xf>
    <xf numFmtId="2" fontId="58" fillId="3" borderId="124" xfId="0" applyNumberFormat="1" applyFont="1" applyFill="1" applyBorder="1" applyAlignment="1">
      <alignment horizontal="center" vertical="center" wrapText="1"/>
    </xf>
    <xf numFmtId="2" fontId="50" fillId="3" borderId="124" xfId="0" applyNumberFormat="1" applyFont="1" applyFill="1" applyBorder="1"/>
    <xf numFmtId="0" fontId="49" fillId="3" borderId="124" xfId="0" applyFont="1" applyFill="1" applyBorder="1" applyAlignment="1">
      <alignment horizontal="center" vertical="top" wrapText="1"/>
    </xf>
    <xf numFmtId="43" fontId="58" fillId="3" borderId="124" xfId="42096" applyFont="1" applyFill="1" applyBorder="1" applyAlignment="1">
      <alignment horizontal="center" vertical="center" wrapText="1"/>
    </xf>
    <xf numFmtId="0" fontId="50" fillId="3" borderId="124" xfId="0" applyFont="1" applyFill="1" applyBorder="1" applyAlignment="1">
      <alignment horizontal="center"/>
    </xf>
    <xf numFmtId="0" fontId="50" fillId="28" borderId="128" xfId="0" applyFont="1" applyFill="1" applyBorder="1" applyAlignment="1">
      <alignment horizontal="center" vertical="center" wrapText="1"/>
    </xf>
    <xf numFmtId="0" fontId="50" fillId="28" borderId="127" xfId="0" applyFont="1" applyFill="1" applyBorder="1" applyAlignment="1">
      <alignment horizontal="center" vertical="center" wrapText="1"/>
    </xf>
    <xf numFmtId="175" fontId="54" fillId="3" borderId="89" xfId="0" applyNumberFormat="1" applyFont="1" applyFill="1" applyBorder="1" applyAlignment="1">
      <alignment horizontal="center" vertical="center" wrapText="1"/>
    </xf>
    <xf numFmtId="175" fontId="54" fillId="3" borderId="16" xfId="0" applyNumberFormat="1" applyFont="1" applyFill="1" applyBorder="1" applyAlignment="1">
      <alignment horizontal="center" vertical="center" wrapText="1"/>
    </xf>
    <xf numFmtId="164" fontId="54" fillId="28" borderId="89" xfId="0" applyNumberFormat="1" applyFont="1" applyFill="1" applyBorder="1" applyAlignment="1">
      <alignment horizontal="center" vertical="center" wrapText="1"/>
    </xf>
    <xf numFmtId="2" fontId="54" fillId="28" borderId="90" xfId="0" applyNumberFormat="1" applyFont="1" applyFill="1" applyBorder="1" applyAlignment="1">
      <alignment horizontal="center" vertical="center"/>
    </xf>
    <xf numFmtId="173" fontId="54" fillId="28" borderId="88" xfId="0" applyNumberFormat="1" applyFont="1" applyFill="1" applyBorder="1" applyAlignment="1">
      <alignment horizontal="center" vertical="center"/>
    </xf>
    <xf numFmtId="164" fontId="54" fillId="28" borderId="16" xfId="0" applyNumberFormat="1" applyFont="1" applyFill="1" applyBorder="1" applyAlignment="1">
      <alignment horizontal="center" vertical="center" wrapText="1"/>
    </xf>
    <xf numFmtId="2" fontId="54" fillId="28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33" xfId="0" applyBorder="1" applyAlignment="1">
      <alignment horizontal="left"/>
    </xf>
    <xf numFmtId="0" fontId="0" fillId="40" borderId="133" xfId="0" applyFill="1" applyBorder="1" applyAlignment="1">
      <alignment horizontal="left"/>
    </xf>
    <xf numFmtId="0" fontId="0" fillId="40" borderId="132" xfId="0" applyNumberFormat="1" applyFill="1" applyBorder="1"/>
    <xf numFmtId="0" fontId="0" fillId="30" borderId="132" xfId="0" applyNumberFormat="1" applyFill="1" applyBorder="1"/>
    <xf numFmtId="0" fontId="0" fillId="3" borderId="0" xfId="0" applyFill="1"/>
    <xf numFmtId="166" fontId="0" fillId="3" borderId="0" xfId="0" applyNumberFormat="1" applyFill="1"/>
    <xf numFmtId="164" fontId="0" fillId="3" borderId="0" xfId="0" applyNumberFormat="1" applyFill="1"/>
    <xf numFmtId="0" fontId="0" fillId="3" borderId="0" xfId="0" applyFill="1" applyBorder="1"/>
    <xf numFmtId="164" fontId="0" fillId="3" borderId="0" xfId="0" applyNumberFormat="1" applyFill="1" applyBorder="1"/>
    <xf numFmtId="0" fontId="2" fillId="3" borderId="0" xfId="0" applyFont="1" applyFill="1"/>
    <xf numFmtId="2" fontId="0" fillId="3" borderId="0" xfId="0" applyNumberFormat="1" applyFill="1"/>
    <xf numFmtId="1" fontId="0" fillId="3" borderId="0" xfId="0" applyNumberFormat="1" applyFill="1"/>
    <xf numFmtId="0" fontId="5" fillId="3" borderId="35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0" fillId="3" borderId="0" xfId="0" applyFont="1" applyFill="1"/>
    <xf numFmtId="0" fontId="51" fillId="3" borderId="0" xfId="0" applyFont="1" applyFill="1"/>
    <xf numFmtId="0" fontId="36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52" fillId="3" borderId="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0" fillId="0" borderId="135" xfId="0" applyNumberFormat="1" applyBorder="1"/>
    <xf numFmtId="0" fontId="0" fillId="0" borderId="136" xfId="0" applyNumberFormat="1" applyBorder="1"/>
    <xf numFmtId="0" fontId="0" fillId="0" borderId="137" xfId="0" applyNumberFormat="1" applyBorder="1"/>
    <xf numFmtId="0" fontId="0" fillId="0" borderId="21" xfId="0" applyNumberFormat="1" applyBorder="1"/>
    <xf numFmtId="0" fontId="0" fillId="0" borderId="0" xfId="0" applyNumberFormat="1" applyBorder="1"/>
    <xf numFmtId="0" fontId="0" fillId="0" borderId="43" xfId="0" applyNumberFormat="1" applyBorder="1"/>
    <xf numFmtId="0" fontId="0" fillId="0" borderId="18" xfId="0" applyNumberFormat="1" applyBorder="1"/>
    <xf numFmtId="0" fontId="0" fillId="0" borderId="17" xfId="0" applyNumberFormat="1" applyBorder="1"/>
    <xf numFmtId="0" fontId="0" fillId="0" borderId="41" xfId="0" applyNumberFormat="1" applyBorder="1"/>
    <xf numFmtId="0" fontId="49" fillId="30" borderId="134" xfId="0" applyFont="1" applyFill="1" applyBorder="1" applyAlignment="1">
      <alignment horizontal="center" vertical="top" wrapText="1"/>
    </xf>
    <xf numFmtId="14" fontId="49" fillId="0" borderId="134" xfId="0" applyNumberFormat="1" applyFont="1" applyFill="1" applyBorder="1" applyAlignment="1">
      <alignment horizontal="center" vertical="top" wrapText="1"/>
    </xf>
    <xf numFmtId="0" fontId="54" fillId="3" borderId="134" xfId="0" applyFont="1" applyFill="1" applyBorder="1" applyAlignment="1">
      <alignment horizontal="center"/>
    </xf>
    <xf numFmtId="0" fontId="49" fillId="30" borderId="124" xfId="0" applyFont="1" applyFill="1" applyBorder="1" applyAlignment="1">
      <alignment horizontal="center" vertical="top" wrapText="1"/>
    </xf>
    <xf numFmtId="168" fontId="6" fillId="32" borderId="9" xfId="0" applyNumberFormat="1" applyFont="1" applyFill="1" applyBorder="1" applyAlignment="1">
      <alignment horizontal="center" vertical="center"/>
    </xf>
    <xf numFmtId="168" fontId="6" fillId="32" borderId="10" xfId="0" applyNumberFormat="1" applyFont="1" applyFill="1" applyBorder="1" applyAlignment="1">
      <alignment horizontal="center" vertical="center"/>
    </xf>
    <xf numFmtId="168" fontId="6" fillId="32" borderId="12" xfId="0" applyNumberFormat="1" applyFont="1" applyFill="1" applyBorder="1" applyAlignment="1">
      <alignment horizontal="center" vertical="center"/>
    </xf>
    <xf numFmtId="0" fontId="3" fillId="41" borderId="15" xfId="0" applyFont="1" applyFill="1" applyBorder="1" applyAlignment="1">
      <alignment horizontal="center" vertical="center" wrapText="1"/>
    </xf>
    <xf numFmtId="0" fontId="3" fillId="41" borderId="59" xfId="0" applyFont="1" applyFill="1" applyBorder="1" applyAlignment="1">
      <alignment horizontal="center" vertical="center" wrapText="1"/>
    </xf>
    <xf numFmtId="168" fontId="6" fillId="28" borderId="9" xfId="0" applyNumberFormat="1" applyFont="1" applyFill="1" applyBorder="1" applyAlignment="1">
      <alignment horizontal="center" vertical="center"/>
    </xf>
    <xf numFmtId="168" fontId="6" fillId="28" borderId="10" xfId="0" applyNumberFormat="1" applyFont="1" applyFill="1" applyBorder="1" applyAlignment="1">
      <alignment horizontal="center" vertical="center"/>
    </xf>
    <xf numFmtId="168" fontId="6" fillId="28" borderId="12" xfId="0" applyNumberFormat="1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3" xfId="0" applyFont="1" applyFill="1" applyBorder="1" applyAlignment="1">
      <alignment horizontal="center" vertical="center"/>
    </xf>
    <xf numFmtId="0" fontId="4" fillId="28" borderId="35" xfId="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wrapText="1"/>
    </xf>
    <xf numFmtId="0" fontId="38" fillId="28" borderId="0" xfId="0" applyFont="1" applyFill="1" applyBorder="1" applyAlignment="1">
      <alignment horizontal="center" wrapText="1"/>
    </xf>
    <xf numFmtId="0" fontId="38" fillId="28" borderId="36" xfId="0" applyFont="1" applyFill="1" applyBorder="1" applyAlignment="1">
      <alignment horizontal="center" wrapText="1"/>
    </xf>
    <xf numFmtId="0" fontId="4" fillId="32" borderId="8" xfId="0" applyFont="1" applyFill="1" applyBorder="1" applyAlignment="1">
      <alignment horizontal="center" vertical="center" wrapText="1"/>
    </xf>
    <xf numFmtId="0" fontId="4" fillId="32" borderId="13" xfId="0" applyFont="1" applyFill="1" applyBorder="1" applyAlignment="1">
      <alignment horizontal="center" vertical="center"/>
    </xf>
    <xf numFmtId="0" fontId="4" fillId="32" borderId="35" xfId="0" applyFont="1" applyFill="1" applyBorder="1" applyAlignment="1">
      <alignment horizontal="center" vertical="center"/>
    </xf>
    <xf numFmtId="0" fontId="0" fillId="32" borderId="19" xfId="0" applyFill="1" applyBorder="1" applyAlignment="1">
      <alignment horizontal="center" wrapText="1"/>
    </xf>
    <xf numFmtId="0" fontId="0" fillId="32" borderId="0" xfId="0" applyFont="1" applyFill="1" applyBorder="1" applyAlignment="1">
      <alignment horizontal="center" wrapText="1"/>
    </xf>
    <xf numFmtId="0" fontId="0" fillId="32" borderId="36" xfId="0" applyFont="1" applyFill="1" applyBorder="1" applyAlignment="1">
      <alignment horizontal="center" wrapText="1"/>
    </xf>
    <xf numFmtId="0" fontId="3" fillId="26" borderId="49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5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5" xfId="0" applyBorder="1"/>
    <xf numFmtId="0" fontId="0" fillId="26" borderId="71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3" fillId="32" borderId="70" xfId="0" applyFont="1" applyFill="1" applyBorder="1" applyAlignment="1">
      <alignment horizontal="center" vertical="center"/>
    </xf>
    <xf numFmtId="0" fontId="3" fillId="32" borderId="66" xfId="0" applyFont="1" applyFill="1" applyBorder="1" applyAlignment="1">
      <alignment horizontal="center" vertical="center"/>
    </xf>
    <xf numFmtId="0" fontId="3" fillId="32" borderId="74" xfId="0" applyFont="1" applyFill="1" applyBorder="1" applyAlignment="1">
      <alignment horizontal="center" vertical="center" wrapText="1"/>
    </xf>
    <xf numFmtId="0" fontId="3" fillId="32" borderId="76" xfId="0" applyFont="1" applyFill="1" applyBorder="1" applyAlignment="1">
      <alignment horizontal="center" vertical="center" wrapText="1"/>
    </xf>
    <xf numFmtId="0" fontId="3" fillId="32" borderId="34" xfId="0" applyFont="1" applyFill="1" applyBorder="1" applyAlignment="1">
      <alignment horizontal="center" vertical="center" wrapText="1"/>
    </xf>
    <xf numFmtId="0" fontId="0" fillId="28" borderId="19" xfId="0" applyFont="1" applyFill="1" applyBorder="1" applyAlignment="1">
      <alignment horizontal="center" wrapText="1"/>
    </xf>
    <xf numFmtId="0" fontId="0" fillId="28" borderId="0" xfId="0" applyFont="1" applyFill="1" applyBorder="1" applyAlignment="1">
      <alignment horizontal="center" wrapText="1"/>
    </xf>
    <xf numFmtId="0" fontId="0" fillId="28" borderId="36" xfId="0" applyFont="1" applyFill="1" applyBorder="1" applyAlignment="1">
      <alignment horizontal="center" wrapText="1"/>
    </xf>
    <xf numFmtId="0" fontId="0" fillId="32" borderId="19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center"/>
    </xf>
    <xf numFmtId="0" fontId="0" fillId="32" borderId="36" xfId="0" applyFont="1" applyFill="1" applyBorder="1" applyAlignment="1">
      <alignment horizontal="center"/>
    </xf>
    <xf numFmtId="0" fontId="3" fillId="26" borderId="70" xfId="0" applyFont="1" applyFill="1" applyBorder="1" applyAlignment="1">
      <alignment horizontal="center" vertical="center"/>
    </xf>
    <xf numFmtId="0" fontId="3" fillId="26" borderId="67" xfId="0" applyFont="1" applyFill="1" applyBorder="1" applyAlignment="1">
      <alignment horizontal="center" vertical="center"/>
    </xf>
    <xf numFmtId="0" fontId="0" fillId="29" borderId="71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71" xfId="0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center" vertical="center" wrapText="1"/>
    </xf>
    <xf numFmtId="168" fontId="32" fillId="28" borderId="19" xfId="0" applyNumberFormat="1" applyFont="1" applyFill="1" applyBorder="1" applyAlignment="1">
      <alignment horizontal="center" vertical="center"/>
    </xf>
    <xf numFmtId="168" fontId="32" fillId="28" borderId="0" xfId="0" applyNumberFormat="1" applyFont="1" applyFill="1" applyBorder="1" applyAlignment="1">
      <alignment horizontal="center" vertical="center"/>
    </xf>
    <xf numFmtId="168" fontId="32" fillId="28" borderId="36" xfId="0" applyNumberFormat="1" applyFont="1" applyFill="1" applyBorder="1" applyAlignment="1">
      <alignment horizontal="center" vertical="center"/>
    </xf>
    <xf numFmtId="168" fontId="6" fillId="32" borderId="19" xfId="0" applyNumberFormat="1" applyFont="1" applyFill="1" applyBorder="1" applyAlignment="1">
      <alignment horizontal="center" vertical="center"/>
    </xf>
    <xf numFmtId="168" fontId="6" fillId="32" borderId="0" xfId="0" applyNumberFormat="1" applyFont="1" applyFill="1" applyBorder="1" applyAlignment="1">
      <alignment horizontal="center" vertical="center"/>
    </xf>
    <xf numFmtId="168" fontId="6" fillId="32" borderId="36" xfId="0" applyNumberFormat="1" applyFont="1" applyFill="1" applyBorder="1" applyAlignment="1">
      <alignment horizontal="center" vertical="center"/>
    </xf>
    <xf numFmtId="0" fontId="0" fillId="38" borderId="64" xfId="0" applyFont="1" applyFill="1" applyBorder="1" applyAlignment="1">
      <alignment horizontal="center" vertical="center"/>
    </xf>
    <xf numFmtId="0" fontId="0" fillId="38" borderId="71" xfId="0" applyFont="1" applyFill="1" applyBorder="1" applyAlignment="1">
      <alignment horizontal="center" vertical="center"/>
    </xf>
    <xf numFmtId="0" fontId="3" fillId="39" borderId="19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 vertical="center"/>
    </xf>
    <xf numFmtId="0" fontId="38" fillId="39" borderId="22" xfId="0" applyFont="1" applyFill="1" applyBorder="1" applyAlignment="1">
      <alignment horizontal="center" vertical="center"/>
    </xf>
    <xf numFmtId="0" fontId="38" fillId="39" borderId="5" xfId="0" applyFont="1" applyFill="1" applyBorder="1" applyAlignment="1">
      <alignment horizontal="center" vertical="center"/>
    </xf>
    <xf numFmtId="0" fontId="38" fillId="39" borderId="7" xfId="0" applyFont="1" applyFill="1" applyBorder="1" applyAlignment="1">
      <alignment horizontal="center" vertic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9" xfId="0" applyFont="1" applyFill="1" applyBorder="1" applyAlignment="1">
      <alignment horizontal="center" vertical="center" wrapText="1"/>
    </xf>
    <xf numFmtId="0" fontId="3" fillId="28" borderId="56" xfId="0" applyFont="1" applyFill="1" applyBorder="1" applyAlignment="1">
      <alignment horizontal="center" vertical="center"/>
    </xf>
    <xf numFmtId="0" fontId="3" fillId="28" borderId="111" xfId="0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34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2" fontId="0" fillId="3" borderId="58" xfId="0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51" xfId="1" applyNumberFormat="1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/>
    </xf>
    <xf numFmtId="0" fontId="3" fillId="39" borderId="2" xfId="0" applyFont="1" applyFill="1" applyBorder="1" applyAlignment="1">
      <alignment horizontal="center"/>
    </xf>
    <xf numFmtId="0" fontId="3" fillId="39" borderId="42" xfId="0" applyFont="1" applyFill="1" applyBorder="1" applyAlignment="1">
      <alignment horizontal="center"/>
    </xf>
    <xf numFmtId="0" fontId="3" fillId="39" borderId="35" xfId="0" applyFont="1" applyFill="1" applyBorder="1" applyAlignment="1">
      <alignment horizontal="center" vertical="center" wrapText="1"/>
    </xf>
    <xf numFmtId="0" fontId="3" fillId="39" borderId="12" xfId="0" applyFont="1" applyFill="1" applyBorder="1" applyAlignment="1">
      <alignment horizontal="center" vertical="center" wrapText="1"/>
    </xf>
    <xf numFmtId="0" fontId="3" fillId="39" borderId="49" xfId="0" applyFont="1" applyFill="1" applyBorder="1" applyAlignment="1">
      <alignment horizontal="center" vertical="center" wrapText="1"/>
    </xf>
    <xf numFmtId="0" fontId="3" fillId="39" borderId="59" xfId="0" applyFont="1" applyFill="1" applyBorder="1" applyAlignment="1">
      <alignment horizontal="center" vertical="center" wrapText="1"/>
    </xf>
    <xf numFmtId="167" fontId="4" fillId="26" borderId="9" xfId="0" applyNumberFormat="1" applyFont="1" applyFill="1" applyBorder="1" applyAlignment="1">
      <alignment horizontal="center" vertical="top" wrapText="1"/>
    </xf>
    <xf numFmtId="167" fontId="4" fillId="26" borderId="10" xfId="0" applyNumberFormat="1" applyFont="1" applyFill="1" applyBorder="1" applyAlignment="1">
      <alignment horizontal="center" vertical="top" wrapText="1"/>
    </xf>
    <xf numFmtId="167" fontId="4" fillId="26" borderId="12" xfId="0" applyNumberFormat="1" applyFont="1" applyFill="1" applyBorder="1" applyAlignment="1">
      <alignment horizontal="center" vertical="top" wrapText="1"/>
    </xf>
    <xf numFmtId="0" fontId="3" fillId="28" borderId="40" xfId="0" applyFont="1" applyFill="1" applyBorder="1" applyAlignment="1">
      <alignment horizontal="center" vertical="center"/>
    </xf>
    <xf numFmtId="0" fontId="3" fillId="28" borderId="117" xfId="0" applyFont="1" applyFill="1" applyBorder="1" applyAlignment="1">
      <alignment horizontal="center" vertical="center"/>
    </xf>
    <xf numFmtId="2" fontId="0" fillId="3" borderId="62" xfId="0" applyNumberFormat="1" applyFont="1" applyFill="1" applyBorder="1" applyAlignment="1">
      <alignment horizontal="center" vertical="center"/>
    </xf>
    <xf numFmtId="2" fontId="0" fillId="3" borderId="57" xfId="0" applyNumberFormat="1" applyFont="1" applyFill="1" applyBorder="1" applyAlignment="1">
      <alignment horizontal="center" vertical="center"/>
    </xf>
    <xf numFmtId="10" fontId="6" fillId="44" borderId="85" xfId="0" applyNumberFormat="1" applyFont="1" applyFill="1" applyBorder="1" applyAlignment="1">
      <alignment horizontal="center" vertical="center"/>
    </xf>
    <xf numFmtId="10" fontId="6" fillId="44" borderId="83" xfId="0" applyNumberFormat="1" applyFont="1" applyFill="1" applyBorder="1" applyAlignment="1">
      <alignment horizontal="center" vertical="center"/>
    </xf>
    <xf numFmtId="10" fontId="1" fillId="3" borderId="55" xfId="1" applyNumberFormat="1" applyFont="1" applyFill="1" applyBorder="1" applyAlignment="1">
      <alignment horizontal="center" vertical="center"/>
    </xf>
    <xf numFmtId="10" fontId="6" fillId="44" borderId="36" xfId="0" applyNumberFormat="1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horizontal="center" vertical="center"/>
    </xf>
    <xf numFmtId="2" fontId="0" fillId="3" borderId="94" xfId="0" applyNumberFormat="1" applyFont="1" applyFill="1" applyBorder="1" applyAlignment="1">
      <alignment horizontal="center" vertical="center"/>
    </xf>
    <xf numFmtId="2" fontId="0" fillId="3" borderId="92" xfId="0" applyNumberFormat="1" applyFont="1" applyFill="1" applyBorder="1" applyAlignment="1">
      <alignment horizontal="center" vertical="center"/>
    </xf>
    <xf numFmtId="2" fontId="3" fillId="39" borderId="4" xfId="0" applyNumberFormat="1" applyFont="1" applyFill="1" applyBorder="1" applyAlignment="1">
      <alignment horizontal="center" vertical="center"/>
    </xf>
    <xf numFmtId="2" fontId="3" fillId="39" borderId="11" xfId="0" applyNumberFormat="1" applyFont="1" applyFill="1" applyBorder="1" applyAlignment="1">
      <alignment horizontal="center" vertical="center"/>
    </xf>
    <xf numFmtId="2" fontId="3" fillId="39" borderId="6" xfId="0" applyNumberFormat="1" applyFont="1" applyFill="1" applyBorder="1" applyAlignment="1">
      <alignment horizontal="center" vertical="center"/>
    </xf>
    <xf numFmtId="2" fontId="3" fillId="39" borderId="51" xfId="0" applyNumberFormat="1" applyFont="1" applyFill="1" applyBorder="1" applyAlignment="1">
      <alignment horizontal="center" vertical="center"/>
    </xf>
    <xf numFmtId="2" fontId="3" fillId="39" borderId="3" xfId="0" applyNumberFormat="1" applyFont="1" applyFill="1" applyBorder="1" applyAlignment="1">
      <alignment horizontal="center" vertical="center"/>
    </xf>
    <xf numFmtId="2" fontId="3" fillId="39" borderId="34" xfId="0" applyNumberFormat="1" applyFont="1" applyFill="1" applyBorder="1" applyAlignment="1">
      <alignment horizontal="center" vertical="center"/>
    </xf>
    <xf numFmtId="164" fontId="3" fillId="3" borderId="102" xfId="0" applyNumberFormat="1" applyFont="1" applyFill="1" applyBorder="1" applyAlignment="1">
      <alignment horizontal="center" vertical="center"/>
    </xf>
    <xf numFmtId="164" fontId="3" fillId="3" borderId="52" xfId="0" applyNumberFormat="1" applyFont="1" applyFill="1" applyBorder="1" applyAlignment="1">
      <alignment horizontal="center" vertical="center"/>
    </xf>
    <xf numFmtId="9" fontId="3" fillId="3" borderId="102" xfId="1" applyFont="1" applyFill="1" applyBorder="1" applyAlignment="1">
      <alignment horizontal="center" vertical="center"/>
    </xf>
    <xf numFmtId="9" fontId="3" fillId="3" borderId="52" xfId="1" applyFont="1" applyFill="1" applyBorder="1" applyAlignment="1">
      <alignment horizontal="center" vertical="center"/>
    </xf>
    <xf numFmtId="169" fontId="38" fillId="39" borderId="8" xfId="0" applyNumberFormat="1" applyFont="1" applyFill="1" applyBorder="1" applyAlignment="1">
      <alignment horizontal="center" vertical="center"/>
    </xf>
    <xf numFmtId="169" fontId="38" fillId="39" borderId="36" xfId="0" applyNumberFormat="1" applyFont="1" applyFill="1" applyBorder="1" applyAlignment="1">
      <alignment horizontal="center" vertical="center"/>
    </xf>
    <xf numFmtId="169" fontId="38" fillId="39" borderId="9" xfId="0" applyNumberFormat="1" applyFont="1" applyFill="1" applyBorder="1" applyAlignment="1">
      <alignment horizontal="center" vertical="center"/>
    </xf>
    <xf numFmtId="169" fontId="38" fillId="39" borderId="12" xfId="0" applyNumberFormat="1" applyFont="1" applyFill="1" applyBorder="1" applyAlignment="1">
      <alignment horizontal="center" vertical="center"/>
    </xf>
    <xf numFmtId="0" fontId="38" fillId="3" borderId="99" xfId="0" applyFont="1" applyFill="1" applyBorder="1" applyAlignment="1">
      <alignment horizontal="center" vertical="center" wrapText="1"/>
    </xf>
    <xf numFmtId="0" fontId="38" fillId="3" borderId="98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100" xfId="0" applyFont="1" applyFill="1" applyBorder="1" applyAlignment="1">
      <alignment horizontal="center" vertical="center"/>
    </xf>
    <xf numFmtId="0" fontId="38" fillId="3" borderId="101" xfId="0" applyFont="1" applyFill="1" applyBorder="1" applyAlignment="1">
      <alignment horizontal="center" vertical="center"/>
    </xf>
    <xf numFmtId="164" fontId="38" fillId="3" borderId="102" xfId="0" applyNumberFormat="1" applyFont="1" applyFill="1" applyBorder="1" applyAlignment="1">
      <alignment horizontal="center" vertical="center"/>
    </xf>
    <xf numFmtId="164" fontId="38" fillId="3" borderId="52" xfId="0" applyNumberFormat="1" applyFont="1" applyFill="1" applyBorder="1" applyAlignment="1">
      <alignment horizontal="center" vertical="center"/>
    </xf>
    <xf numFmtId="0" fontId="0" fillId="28" borderId="105" xfId="0" applyFill="1" applyBorder="1" applyAlignment="1">
      <alignment horizontal="center" vertical="center" wrapText="1"/>
    </xf>
    <xf numFmtId="164" fontId="6" fillId="28" borderId="124" xfId="0" applyNumberFormat="1" applyFont="1" applyFill="1" applyBorder="1" applyAlignment="1">
      <alignment horizontal="center" vertical="center"/>
    </xf>
    <xf numFmtId="164" fontId="6" fillId="3" borderId="124" xfId="0" applyNumberFormat="1" applyFont="1" applyFill="1" applyBorder="1" applyAlignment="1">
      <alignment horizontal="center" vertical="center"/>
    </xf>
    <xf numFmtId="9" fontId="1" fillId="39" borderId="124" xfId="1" applyFont="1" applyFill="1" applyBorder="1" applyAlignment="1">
      <alignment horizontal="center" vertical="center"/>
    </xf>
    <xf numFmtId="164" fontId="6" fillId="42" borderId="124" xfId="0" applyNumberFormat="1" applyFont="1" applyFill="1" applyBorder="1" applyAlignment="1">
      <alignment horizontal="center" vertical="center"/>
    </xf>
    <xf numFmtId="9" fontId="1" fillId="42" borderId="124" xfId="1" applyFont="1" applyFill="1" applyBorder="1" applyAlignment="1">
      <alignment horizontal="center" vertical="center"/>
    </xf>
    <xf numFmtId="0" fontId="6" fillId="35" borderId="126" xfId="0" applyFont="1" applyFill="1" applyBorder="1" applyAlignment="1">
      <alignment horizontal="center" vertical="center"/>
    </xf>
    <xf numFmtId="0" fontId="6" fillId="35" borderId="129" xfId="0" applyFont="1" applyFill="1" applyBorder="1" applyAlignment="1">
      <alignment horizontal="center" vertical="center"/>
    </xf>
    <xf numFmtId="0" fontId="6" fillId="35" borderId="130" xfId="0" applyFont="1" applyFill="1" applyBorder="1" applyAlignment="1">
      <alignment horizontal="center" vertical="center"/>
    </xf>
    <xf numFmtId="0" fontId="6" fillId="36" borderId="126" xfId="0" applyFont="1" applyFill="1" applyBorder="1" applyAlignment="1">
      <alignment horizontal="center" vertical="center"/>
    </xf>
    <xf numFmtId="0" fontId="6" fillId="36" borderId="129" xfId="0" applyFont="1" applyFill="1" applyBorder="1" applyAlignment="1">
      <alignment horizontal="center" vertical="center"/>
    </xf>
    <xf numFmtId="0" fontId="6" fillId="36" borderId="130" xfId="0" applyFont="1" applyFill="1" applyBorder="1" applyAlignment="1">
      <alignment horizontal="center" vertical="center"/>
    </xf>
    <xf numFmtId="0" fontId="6" fillId="26" borderId="124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6" fillId="28" borderId="130" xfId="0" applyFont="1" applyFill="1" applyBorder="1" applyAlignment="1">
      <alignment horizontal="center" vertical="center"/>
    </xf>
    <xf numFmtId="0" fontId="6" fillId="28" borderId="107" xfId="0" applyFont="1" applyFill="1" applyBorder="1" applyAlignment="1">
      <alignment horizontal="center" vertical="center"/>
    </xf>
    <xf numFmtId="0" fontId="6" fillId="28" borderId="126" xfId="0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textRotation="90" wrapText="1"/>
    </xf>
    <xf numFmtId="0" fontId="4" fillId="28" borderId="18" xfId="0" applyFont="1" applyFill="1" applyBorder="1" applyAlignment="1">
      <alignment horizontal="center" vertical="center" textRotation="90" wrapText="1"/>
    </xf>
    <xf numFmtId="2" fontId="42" fillId="28" borderId="8" xfId="0" applyNumberFormat="1" applyFont="1" applyFill="1" applyBorder="1" applyAlignment="1">
      <alignment horizontal="center" vertical="center"/>
    </xf>
    <xf numFmtId="2" fontId="42" fillId="28" borderId="13" xfId="0" applyNumberFormat="1" applyFont="1" applyFill="1" applyBorder="1" applyAlignment="1">
      <alignment horizontal="center" vertical="center"/>
    </xf>
    <xf numFmtId="2" fontId="42" fillId="28" borderId="35" xfId="0" applyNumberFormat="1" applyFont="1" applyFill="1" applyBorder="1" applyAlignment="1">
      <alignment horizontal="center" vertical="center"/>
    </xf>
    <xf numFmtId="167" fontId="42" fillId="28" borderId="9" xfId="0" applyNumberFormat="1" applyFont="1" applyFill="1" applyBorder="1" applyAlignment="1">
      <alignment horizontal="center" vertical="top"/>
    </xf>
    <xf numFmtId="167" fontId="42" fillId="28" borderId="10" xfId="0" applyNumberFormat="1" applyFont="1" applyFill="1" applyBorder="1" applyAlignment="1">
      <alignment horizontal="center" vertical="top"/>
    </xf>
    <xf numFmtId="167" fontId="42" fillId="28" borderId="12" xfId="0" applyNumberFormat="1" applyFont="1" applyFill="1" applyBorder="1" applyAlignment="1">
      <alignment horizontal="center" vertical="top"/>
    </xf>
    <xf numFmtId="0" fontId="39" fillId="28" borderId="126" xfId="42052" applyFont="1" applyFill="1" applyBorder="1" applyAlignment="1">
      <alignment horizontal="center" vertical="center" wrapText="1"/>
    </xf>
    <xf numFmtId="0" fontId="39" fillId="28" borderId="18" xfId="42052" applyFont="1" applyFill="1" applyBorder="1" applyAlignment="1">
      <alignment horizontal="center" vertical="center" wrapText="1"/>
    </xf>
    <xf numFmtId="0" fontId="6" fillId="28" borderId="107" xfId="27278" applyFont="1" applyFill="1" applyBorder="1" applyAlignment="1">
      <alignment horizontal="center" vertical="center" wrapText="1"/>
    </xf>
    <xf numFmtId="0" fontId="6" fillId="28" borderId="16" xfId="27278" applyFont="1" applyFill="1" applyBorder="1" applyAlignment="1">
      <alignment horizontal="center" vertical="center" wrapText="1"/>
    </xf>
    <xf numFmtId="0" fontId="39" fillId="28" borderId="108" xfId="27278" applyFont="1" applyFill="1" applyBorder="1" applyAlignment="1">
      <alignment horizontal="center" vertical="center" wrapText="1"/>
    </xf>
    <xf numFmtId="0" fontId="39" fillId="28" borderId="18" xfId="27278" applyFont="1" applyFill="1" applyBorder="1" applyAlignment="1">
      <alignment horizontal="center" vertical="center" wrapText="1"/>
    </xf>
    <xf numFmtId="164" fontId="6" fillId="28" borderId="124" xfId="0" applyNumberFormat="1" applyFont="1" applyFill="1" applyBorder="1" applyAlignment="1">
      <alignment horizontal="center" vertical="center" wrapText="1"/>
    </xf>
    <xf numFmtId="10" fontId="6" fillId="28" borderId="124" xfId="0" applyNumberFormat="1" applyFont="1" applyFill="1" applyBorder="1" applyAlignment="1">
      <alignment horizontal="center" vertical="center"/>
    </xf>
    <xf numFmtId="0" fontId="0" fillId="28" borderId="107" xfId="0" applyFill="1" applyBorder="1" applyAlignment="1">
      <alignment horizontal="center" vertical="center" wrapText="1"/>
    </xf>
    <xf numFmtId="169" fontId="6" fillId="28" borderId="107" xfId="0" applyNumberFormat="1" applyFont="1" applyFill="1" applyBorder="1" applyAlignment="1">
      <alignment horizontal="center" vertical="center"/>
    </xf>
    <xf numFmtId="169" fontId="6" fillId="28" borderId="16" xfId="0" applyNumberFormat="1" applyFont="1" applyFill="1" applyBorder="1" applyAlignment="1">
      <alignment horizontal="center" vertical="center"/>
    </xf>
    <xf numFmtId="9" fontId="6" fillId="39" borderId="124" xfId="1" applyFont="1" applyFill="1" applyBorder="1" applyAlignment="1">
      <alignment horizontal="center" vertical="center"/>
    </xf>
    <xf numFmtId="2" fontId="6" fillId="39" borderId="124" xfId="0" applyNumberFormat="1" applyFont="1" applyFill="1" applyBorder="1" applyAlignment="1">
      <alignment horizontal="center" vertical="center"/>
    </xf>
    <xf numFmtId="164" fontId="46" fillId="3" borderId="124" xfId="0" applyNumberFormat="1" applyFont="1" applyFill="1" applyBorder="1" applyAlignment="1">
      <alignment horizontal="center" vertical="center"/>
    </xf>
    <xf numFmtId="164" fontId="6" fillId="39" borderId="16" xfId="0" applyNumberFormat="1" applyFont="1" applyFill="1" applyBorder="1" applyAlignment="1">
      <alignment horizontal="center" vertical="center"/>
    </xf>
    <xf numFmtId="164" fontId="6" fillId="39" borderId="124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9" fontId="6" fillId="39" borderId="16" xfId="1" applyFont="1" applyFill="1" applyBorder="1" applyAlignment="1">
      <alignment horizontal="center" vertical="center"/>
    </xf>
    <xf numFmtId="164" fontId="46" fillId="3" borderId="16" xfId="0" applyNumberFormat="1" applyFont="1" applyFill="1" applyBorder="1" applyAlignment="1">
      <alignment horizontal="center" vertical="center"/>
    </xf>
    <xf numFmtId="2" fontId="40" fillId="30" borderId="122" xfId="0" applyNumberFormat="1" applyFont="1" applyFill="1" applyBorder="1" applyAlignment="1">
      <alignment horizontal="center" vertical="center"/>
    </xf>
    <xf numFmtId="2" fontId="40" fillId="30" borderId="121" xfId="0" applyNumberFormat="1" applyFont="1" applyFill="1" applyBorder="1" applyAlignment="1">
      <alignment horizontal="center" vertical="center"/>
    </xf>
    <xf numFmtId="2" fontId="40" fillId="30" borderId="123" xfId="0" applyNumberFormat="1" applyFont="1" applyFill="1" applyBorder="1" applyAlignment="1">
      <alignment horizontal="center" vertical="center"/>
    </xf>
    <xf numFmtId="167" fontId="40" fillId="30" borderId="18" xfId="0" applyNumberFormat="1" applyFont="1" applyFill="1" applyBorder="1" applyAlignment="1">
      <alignment horizontal="center" vertical="center"/>
    </xf>
    <xf numFmtId="167" fontId="40" fillId="30" borderId="17" xfId="0" applyNumberFormat="1" applyFont="1" applyFill="1" applyBorder="1" applyAlignment="1">
      <alignment horizontal="center" vertical="center"/>
    </xf>
    <xf numFmtId="167" fontId="40" fillId="30" borderId="41" xfId="0" applyNumberFormat="1" applyFont="1" applyFill="1" applyBorder="1" applyAlignment="1">
      <alignment horizontal="center" vertical="center"/>
    </xf>
    <xf numFmtId="0" fontId="39" fillId="28" borderId="124" xfId="0" applyFont="1" applyFill="1" applyBorder="1" applyAlignment="1">
      <alignment horizontal="center" vertical="center"/>
    </xf>
    <xf numFmtId="0" fontId="39" fillId="26" borderId="124" xfId="42052" applyFont="1" applyFill="1" applyBorder="1" applyAlignment="1">
      <alignment horizontal="center" vertical="center" wrapText="1"/>
    </xf>
    <xf numFmtId="0" fontId="39" fillId="26" borderId="124" xfId="27278" applyFont="1" applyFill="1" applyBorder="1" applyAlignment="1">
      <alignment horizontal="center" vertical="center" wrapText="1"/>
    </xf>
    <xf numFmtId="0" fontId="39" fillId="28" borderId="127" xfId="0" applyFont="1" applyFill="1" applyBorder="1" applyAlignment="1">
      <alignment horizontal="center" vertical="center"/>
    </xf>
    <xf numFmtId="0" fontId="39" fillId="28" borderId="128" xfId="0" applyFont="1" applyFill="1" applyBorder="1" applyAlignment="1">
      <alignment horizontal="center" vertical="center"/>
    </xf>
    <xf numFmtId="0" fontId="39" fillId="39" borderId="124" xfId="0" applyFont="1" applyFill="1" applyBorder="1" applyAlignment="1">
      <alignment horizontal="center" vertical="center"/>
    </xf>
    <xf numFmtId="0" fontId="39" fillId="26" borderId="128" xfId="42052" applyFont="1" applyFill="1" applyBorder="1" applyAlignment="1">
      <alignment horizontal="center" vertical="center" wrapText="1"/>
    </xf>
    <xf numFmtId="0" fontId="39" fillId="26" borderId="124" xfId="0" applyFont="1" applyFill="1" applyBorder="1" applyAlignment="1">
      <alignment horizontal="center" vertical="center"/>
    </xf>
    <xf numFmtId="164" fontId="0" fillId="39" borderId="21" xfId="0" applyNumberFormat="1" applyFont="1" applyFill="1" applyBorder="1" applyAlignment="1">
      <alignment horizontal="center" vertical="center"/>
    </xf>
    <xf numFmtId="164" fontId="0" fillId="39" borderId="18" xfId="0" applyNumberFormat="1" applyFont="1" applyFill="1" applyBorder="1" applyAlignment="1">
      <alignment horizontal="center" vertical="center"/>
    </xf>
    <xf numFmtId="169" fontId="6" fillId="39" borderId="125" xfId="0" applyNumberFormat="1" applyFont="1" applyFill="1" applyBorder="1" applyAlignment="1">
      <alignment horizontal="center" vertical="center" wrapText="1"/>
    </xf>
    <xf numFmtId="169" fontId="6" fillId="39" borderId="16" xfId="0" applyNumberFormat="1" applyFont="1" applyFill="1" applyBorder="1" applyAlignment="1">
      <alignment horizontal="center" vertical="center" wrapText="1"/>
    </xf>
    <xf numFmtId="0" fontId="0" fillId="28" borderId="120" xfId="0" applyFill="1" applyBorder="1" applyAlignment="1">
      <alignment horizontal="center"/>
    </xf>
    <xf numFmtId="0" fontId="0" fillId="38" borderId="120" xfId="0" applyFill="1" applyBorder="1" applyAlignment="1">
      <alignment horizontal="center"/>
    </xf>
    <xf numFmtId="0" fontId="43" fillId="26" borderId="20" xfId="0" applyFont="1" applyFill="1" applyBorder="1" applyAlignment="1">
      <alignment horizontal="center" vertical="center" textRotation="90" wrapText="1"/>
    </xf>
    <xf numFmtId="0" fontId="43" fillId="26" borderId="16" xfId="0" applyFont="1" applyFill="1" applyBorder="1" applyAlignment="1">
      <alignment horizontal="center" vertical="center" textRotation="90" wrapText="1"/>
    </xf>
    <xf numFmtId="2" fontId="6" fillId="39" borderId="126" xfId="0" applyNumberFormat="1" applyFont="1" applyFill="1" applyBorder="1" applyAlignment="1">
      <alignment horizontal="center" vertical="center"/>
    </xf>
    <xf numFmtId="2" fontId="6" fillId="39" borderId="18" xfId="0" applyNumberFormat="1" applyFont="1" applyFill="1" applyBorder="1" applyAlignment="1">
      <alignment horizontal="center" vertical="center"/>
    </xf>
    <xf numFmtId="1" fontId="6" fillId="39" borderId="124" xfId="0" applyNumberFormat="1" applyFont="1" applyFill="1" applyBorder="1" applyAlignment="1">
      <alignment horizontal="center" vertical="center"/>
    </xf>
    <xf numFmtId="166" fontId="6" fillId="39" borderId="124" xfId="0" applyNumberFormat="1" applyFont="1" applyFill="1" applyBorder="1" applyAlignment="1">
      <alignment horizontal="center" vertical="center"/>
    </xf>
    <xf numFmtId="0" fontId="58" fillId="3" borderId="124" xfId="0" applyFont="1" applyFill="1" applyBorder="1" applyAlignment="1">
      <alignment horizontal="left" vertical="top" wrapText="1"/>
    </xf>
    <xf numFmtId="0" fontId="54" fillId="43" borderId="124" xfId="0" applyFont="1" applyFill="1" applyBorder="1" applyAlignment="1">
      <alignment horizontal="center" vertical="center" wrapText="1"/>
    </xf>
    <xf numFmtId="0" fontId="49" fillId="28" borderId="126" xfId="0" applyFont="1" applyFill="1" applyBorder="1" applyAlignment="1">
      <alignment horizontal="center" vertical="center"/>
    </xf>
    <xf numFmtId="0" fontId="49" fillId="28" borderId="129" xfId="0" applyFont="1" applyFill="1" applyBorder="1" applyAlignment="1">
      <alignment horizontal="center" vertical="center"/>
    </xf>
    <xf numFmtId="0" fontId="49" fillId="28" borderId="130" xfId="0" applyFont="1" applyFill="1" applyBorder="1" applyAlignment="1">
      <alignment horizontal="center" vertical="center"/>
    </xf>
    <xf numFmtId="0" fontId="49" fillId="28" borderId="18" xfId="0" applyFont="1" applyFill="1" applyBorder="1" applyAlignment="1">
      <alignment horizontal="center" vertical="center"/>
    </xf>
    <xf numFmtId="0" fontId="49" fillId="28" borderId="17" xfId="0" applyFont="1" applyFill="1" applyBorder="1" applyAlignment="1">
      <alignment horizontal="center" vertical="center"/>
    </xf>
    <xf numFmtId="0" fontId="49" fillId="28" borderId="41" xfId="0" applyFont="1" applyFill="1" applyBorder="1" applyAlignment="1">
      <alignment horizontal="center" vertical="center"/>
    </xf>
    <xf numFmtId="0" fontId="54" fillId="26" borderId="124" xfId="0" applyFont="1" applyFill="1" applyBorder="1" applyAlignment="1">
      <alignment horizontal="center" vertical="center"/>
    </xf>
    <xf numFmtId="0" fontId="50" fillId="28" borderId="128" xfId="0" applyFont="1" applyFill="1" applyBorder="1" applyAlignment="1">
      <alignment horizontal="center" vertical="center" wrapText="1"/>
    </xf>
    <xf numFmtId="0" fontId="50" fillId="28" borderId="131" xfId="0" applyFont="1" applyFill="1" applyBorder="1" applyAlignment="1">
      <alignment horizontal="center" vertical="center" wrapText="1"/>
    </xf>
    <xf numFmtId="0" fontId="50" fillId="28" borderId="127" xfId="0" applyFont="1" applyFill="1" applyBorder="1" applyAlignment="1">
      <alignment horizontal="center" vertical="center" wrapText="1"/>
    </xf>
    <xf numFmtId="0" fontId="55" fillId="48" borderId="124" xfId="0" applyFont="1" applyFill="1" applyBorder="1" applyAlignment="1">
      <alignment horizontal="center" vertical="center"/>
    </xf>
    <xf numFmtId="0" fontId="54" fillId="28" borderId="128" xfId="0" applyFont="1" applyFill="1" applyBorder="1" applyAlignment="1">
      <alignment horizontal="center" vertical="center" wrapText="1"/>
    </xf>
    <xf numFmtId="0" fontId="54" fillId="28" borderId="131" xfId="0" applyFont="1" applyFill="1" applyBorder="1" applyAlignment="1">
      <alignment horizontal="center" vertical="center" wrapText="1"/>
    </xf>
    <xf numFmtId="0" fontId="54" fillId="28" borderId="127" xfId="0" applyFont="1" applyFill="1" applyBorder="1" applyAlignment="1">
      <alignment horizontal="center" vertical="center" wrapText="1"/>
    </xf>
    <xf numFmtId="166" fontId="54" fillId="28" borderId="128" xfId="0" applyNumberFormat="1" applyFont="1" applyFill="1" applyBorder="1" applyAlignment="1">
      <alignment horizontal="center" vertical="center"/>
    </xf>
    <xf numFmtId="166" fontId="54" fillId="28" borderId="127" xfId="0" applyNumberFormat="1" applyFont="1" applyFill="1" applyBorder="1" applyAlignment="1">
      <alignment horizontal="center" vertical="center"/>
    </xf>
    <xf numFmtId="1" fontId="54" fillId="28" borderId="138" xfId="0" applyNumberFormat="1" applyFont="1" applyFill="1" applyBorder="1" applyAlignment="1">
      <alignment horizontal="center" vertical="center"/>
    </xf>
    <xf numFmtId="1" fontId="54" fillId="28" borderId="16" xfId="0" applyNumberFormat="1" applyFont="1" applyFill="1" applyBorder="1" applyAlignment="1">
      <alignment horizontal="center" vertical="center"/>
    </xf>
    <xf numFmtId="164" fontId="54" fillId="28" borderId="138" xfId="0" applyNumberFormat="1" applyFont="1" applyFill="1" applyBorder="1" applyAlignment="1">
      <alignment horizontal="center" vertical="center"/>
    </xf>
    <xf numFmtId="164" fontId="54" fillId="28" borderId="16" xfId="0" applyNumberFormat="1" applyFont="1" applyFill="1" applyBorder="1" applyAlignment="1">
      <alignment horizontal="center" vertical="center"/>
    </xf>
  </cellXfs>
  <cellStyles count="42097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1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2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3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4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5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6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7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18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19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0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1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2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3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4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5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6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7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28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29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0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2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3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4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5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7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38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39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0"/>
    <cellStyle name="Excel Built-in Normal" xfId="5734"/>
    <cellStyle name="Hipervínculo 2" xfId="41741"/>
    <cellStyle name="Hipervínculo 2 2" xfId="41742"/>
    <cellStyle name="Hipervínculo 3" xfId="41743"/>
    <cellStyle name="Hipervínculo 3 2" xfId="4174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5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6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7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48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49"/>
    <cellStyle name="Normal 10 20" xfId="41750"/>
    <cellStyle name="Normal 10 3" xfId="6076"/>
    <cellStyle name="Normal 10 3 2" xfId="41751"/>
    <cellStyle name="Normal 10 4" xfId="6077"/>
    <cellStyle name="Normal 10 4 2" xfId="41752"/>
    <cellStyle name="Normal 10 5" xfId="6078"/>
    <cellStyle name="Normal 10 5 2" xfId="41753"/>
    <cellStyle name="Normal 10 6" xfId="6079"/>
    <cellStyle name="Normal 10 6 2" xfId="41754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5"/>
    <cellStyle name="Normal 11 5" xfId="6172"/>
    <cellStyle name="Normal 11 5 2" xfId="41756"/>
    <cellStyle name="Normal 11 6" xfId="6173"/>
    <cellStyle name="Normal 11 6 2" xfId="41757"/>
    <cellStyle name="Normal 11 7" xfId="41758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59"/>
    <cellStyle name="Normal 13 3" xfId="41760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1"/>
    <cellStyle name="Normal 14 2" xfId="6218"/>
    <cellStyle name="Normal 14 2 2" xfId="41762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3"/>
    <cellStyle name="Normal 15 2" xfId="6300"/>
    <cellStyle name="Normal 15 2 2" xfId="41764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5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6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7"/>
    <cellStyle name="Normal 2 11 2 3" xfId="6928"/>
    <cellStyle name="Normal 2 11 2 3 2" xfId="41768"/>
    <cellStyle name="Normal 2 11 2 4" xfId="6929"/>
    <cellStyle name="Normal 2 11 2 4 2" xfId="41769"/>
    <cellStyle name="Normal 2 11 2 5" xfId="6930"/>
    <cellStyle name="Normal 2 11 2 5 2" xfId="4177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1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2"/>
    <cellStyle name="Normal 2 16" xfId="7876"/>
    <cellStyle name="Normal 2 16 2" xfId="41773"/>
    <cellStyle name="Normal 2 17" xfId="7877"/>
    <cellStyle name="Normal 2 17 2" xfId="41774"/>
    <cellStyle name="Normal 2 18" xfId="7878"/>
    <cellStyle name="Normal 2 18 2" xfId="41775"/>
    <cellStyle name="Normal 2 19" xfId="7879"/>
    <cellStyle name="Normal 2 2" xfId="7880"/>
    <cellStyle name="Normal 2 2 10" xfId="7881"/>
    <cellStyle name="Normal 2 2 10 2" xfId="41776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7"/>
    <cellStyle name="Normal 2 2 11 2 2 3" xfId="7918"/>
    <cellStyle name="Normal 2 2 11 2 2 3 2" xfId="41778"/>
    <cellStyle name="Normal 2 2 11 2 2 4" xfId="7919"/>
    <cellStyle name="Normal 2 2 11 2 2 4 2" xfId="41779"/>
    <cellStyle name="Normal 2 2 11 2 2 5" xfId="7920"/>
    <cellStyle name="Normal 2 2 11 2 2 5 2" xfId="4178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1"/>
    <cellStyle name="Normal 2 2 11 3" xfId="8225"/>
    <cellStyle name="Normal 2 2 11 3 2" xfId="41782"/>
    <cellStyle name="Normal 2 2 11 4" xfId="8226"/>
    <cellStyle name="Normal 2 2 11 4 2" xfId="41783"/>
    <cellStyle name="Normal 2 2 11 5" xfId="8227"/>
    <cellStyle name="Normal 2 2 11 5 2" xfId="41784"/>
    <cellStyle name="Normal 2 2 11 6" xfId="8228"/>
    <cellStyle name="Normal 2 2 11 6 2" xfId="41785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6"/>
    <cellStyle name="Normal 2 2 13" xfId="8292"/>
    <cellStyle name="Normal 2 2 13 2" xfId="41787"/>
    <cellStyle name="Normal 2 2 14" xfId="8293"/>
    <cellStyle name="Normal 2 2 14 2" xfId="41788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89"/>
    <cellStyle name="Normal 2 2 15 3" xfId="8311"/>
    <cellStyle name="Normal 2 2 15 3 2" xfId="41790"/>
    <cellStyle name="Normal 2 2 15 4" xfId="8312"/>
    <cellStyle name="Normal 2 2 15 4 2" xfId="41791"/>
    <cellStyle name="Normal 2 2 15 5" xfId="8313"/>
    <cellStyle name="Normal 2 2 15 5 2" xfId="41792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3"/>
    <cellStyle name="Normal 2 2 2 14" xfId="9181"/>
    <cellStyle name="Normal 2 2 2 14 2" xfId="41794"/>
    <cellStyle name="Normal 2 2 2 15" xfId="9182"/>
    <cellStyle name="Normal 2 2 2 15 2" xfId="41795"/>
    <cellStyle name="Normal 2 2 2 16" xfId="9183"/>
    <cellStyle name="Normal 2 2 2 16 2" xfId="41796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7"/>
    <cellStyle name="Normal 2 2 2 2 11" xfId="9266"/>
    <cellStyle name="Normal 2 2 2 2 11 2" xfId="41798"/>
    <cellStyle name="Normal 2 2 2 2 12" xfId="9267"/>
    <cellStyle name="Normal 2 2 2 2 12 2" xfId="41799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0"/>
    <cellStyle name="Normal 2 2 2 2 13 3" xfId="9285"/>
    <cellStyle name="Normal 2 2 2 2 13 3 2" xfId="41801"/>
    <cellStyle name="Normal 2 2 2 2 13 4" xfId="9286"/>
    <cellStyle name="Normal 2 2 2 2 13 4 2" xfId="41802"/>
    <cellStyle name="Normal 2 2 2 2 13 5" xfId="9287"/>
    <cellStyle name="Normal 2 2 2 2 13 5 2" xfId="41803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4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5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6"/>
    <cellStyle name="Normal 2 2 2 2 2 2 2 2 2 3" xfId="9706"/>
    <cellStyle name="Normal 2 2 2 2 2 2 2 2 2 3 2" xfId="41807"/>
    <cellStyle name="Normal 2 2 2 2 2 2 2 2 2 4" xfId="9707"/>
    <cellStyle name="Normal 2 2 2 2 2 2 2 2 2 4 2" xfId="41808"/>
    <cellStyle name="Normal 2 2 2 2 2 2 2 2 2 5" xfId="9708"/>
    <cellStyle name="Normal 2 2 2 2 2 2 2 2 2 5 2" xfId="41809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0"/>
    <cellStyle name="Normal 2 2 2 2 2 2 2 3" xfId="10013"/>
    <cellStyle name="Normal 2 2 2 2 2 2 2 3 2" xfId="41811"/>
    <cellStyle name="Normal 2 2 2 2 2 2 2 4" xfId="10014"/>
    <cellStyle name="Normal 2 2 2 2 2 2 2 4 2" xfId="41812"/>
    <cellStyle name="Normal 2 2 2 2 2 2 2 5" xfId="10015"/>
    <cellStyle name="Normal 2 2 2 2 2 2 2 5 2" xfId="41813"/>
    <cellStyle name="Normal 2 2 2 2 2 2 2 6" xfId="10016"/>
    <cellStyle name="Normal 2 2 2 2 2 2 2 6 2" xfId="41814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5"/>
    <cellStyle name="Normal 2 2 2 2 2 2 4" xfId="10080"/>
    <cellStyle name="Normal 2 2 2 2 2 2 4 2" xfId="41816"/>
    <cellStyle name="Normal 2 2 2 2 2 2 5" xfId="10081"/>
    <cellStyle name="Normal 2 2 2 2 2 2 5 2" xfId="41817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18"/>
    <cellStyle name="Normal 2 2 2 2 2 2 6 3" xfId="10099"/>
    <cellStyle name="Normal 2 2 2 2 2 2 6 3 2" xfId="41819"/>
    <cellStyle name="Normal 2 2 2 2 2 2 6 4" xfId="10100"/>
    <cellStyle name="Normal 2 2 2 2 2 2 6 4 2" xfId="41820"/>
    <cellStyle name="Normal 2 2 2 2 2 2 6 5" xfId="10101"/>
    <cellStyle name="Normal 2 2 2 2 2 2 6 5 2" xfId="4182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2"/>
    <cellStyle name="Normal 2 2 2 2 2 3 2 3" xfId="10747"/>
    <cellStyle name="Normal 2 2 2 2 2 3 2 3 2" xfId="41823"/>
    <cellStyle name="Normal 2 2 2 2 2 3 2 4" xfId="10748"/>
    <cellStyle name="Normal 2 2 2 2 2 3 2 4 2" xfId="41824"/>
    <cellStyle name="Normal 2 2 2 2 2 3 2 5" xfId="10749"/>
    <cellStyle name="Normal 2 2 2 2 2 3 2 5 2" xfId="41825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6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7"/>
    <cellStyle name="Normal 2 2 2 2 2 7" xfId="11615"/>
    <cellStyle name="Normal 2 2 2 2 2 7 2" xfId="41828"/>
    <cellStyle name="Normal 2 2 2 2 2 8" xfId="11616"/>
    <cellStyle name="Normal 2 2 2 2 2 8 2" xfId="41829"/>
    <cellStyle name="Normal 2 2 2 2 2 9" xfId="11617"/>
    <cellStyle name="Normal 2 2 2 2 2 9 2" xfId="41830"/>
    <cellStyle name="Normal 2 2 2 2 3" xfId="11618"/>
    <cellStyle name="Normal 2 2 2 2 3 2" xfId="41831"/>
    <cellStyle name="Normal 2 2 2 2 4" xfId="11619"/>
    <cellStyle name="Normal 2 2 2 2 4 2" xfId="41832"/>
    <cellStyle name="Normal 2 2 2 2 5" xfId="11620"/>
    <cellStyle name="Normal 2 2 2 2 5 2" xfId="41833"/>
    <cellStyle name="Normal 2 2 2 2 6" xfId="11621"/>
    <cellStyle name="Normal 2 2 2 2 6 2" xfId="41834"/>
    <cellStyle name="Normal 2 2 2 2 7" xfId="11622"/>
    <cellStyle name="Normal 2 2 2 2 7 2" xfId="41835"/>
    <cellStyle name="Normal 2 2 2 2 8" xfId="11623"/>
    <cellStyle name="Normal 2 2 2 2 8 2" xfId="41836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7"/>
    <cellStyle name="Normal 2 2 2 2 9 2 2 3" xfId="11660"/>
    <cellStyle name="Normal 2 2 2 2 9 2 2 3 2" xfId="41838"/>
    <cellStyle name="Normal 2 2 2 2 9 2 2 4" xfId="11661"/>
    <cellStyle name="Normal 2 2 2 2 9 2 2 4 2" xfId="41839"/>
    <cellStyle name="Normal 2 2 2 2 9 2 2 5" xfId="11662"/>
    <cellStyle name="Normal 2 2 2 2 9 2 2 5 2" xfId="41840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1"/>
    <cellStyle name="Normal 2 2 2 2 9 3" xfId="11967"/>
    <cellStyle name="Normal 2 2 2 2 9 3 2" xfId="41842"/>
    <cellStyle name="Normal 2 2 2 2 9 4" xfId="11968"/>
    <cellStyle name="Normal 2 2 2 2 9 4 2" xfId="41843"/>
    <cellStyle name="Normal 2 2 2 2 9 5" xfId="11969"/>
    <cellStyle name="Normal 2 2 2 2 9 5 2" xfId="41844"/>
    <cellStyle name="Normal 2 2 2 2 9 6" xfId="11970"/>
    <cellStyle name="Normal 2 2 2 2 9 6 2" xfId="41845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6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7"/>
    <cellStyle name="Normal 2 2 2 3 2 2 2 3" xfId="12449"/>
    <cellStyle name="Normal 2 2 2 3 2 2 2 3 2" xfId="41848"/>
    <cellStyle name="Normal 2 2 2 3 2 2 2 4" xfId="12450"/>
    <cellStyle name="Normal 2 2 2 3 2 2 2 4 2" xfId="41849"/>
    <cellStyle name="Normal 2 2 2 3 2 2 2 5" xfId="12451"/>
    <cellStyle name="Normal 2 2 2 3 2 2 2 5 2" xfId="41850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1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2"/>
    <cellStyle name="Normal 2 2 2 3 2 7" xfId="13400"/>
    <cellStyle name="Normal 2 2 2 3 2 7 2" xfId="41853"/>
    <cellStyle name="Normal 2 2 2 3 2 8" xfId="13401"/>
    <cellStyle name="Normal 2 2 2 3 2 8 2" xfId="41854"/>
    <cellStyle name="Normal 2 2 2 3 2 9" xfId="13402"/>
    <cellStyle name="Normal 2 2 2 3 2 9 2" xfId="41855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6"/>
    <cellStyle name="Normal 2 2 2 3 3 2 2 3" xfId="13439"/>
    <cellStyle name="Normal 2 2 2 3 3 2 2 3 2" xfId="41857"/>
    <cellStyle name="Normal 2 2 2 3 3 2 2 4" xfId="13440"/>
    <cellStyle name="Normal 2 2 2 3 3 2 2 4 2" xfId="41858"/>
    <cellStyle name="Normal 2 2 2 3 3 2 2 5" xfId="13441"/>
    <cellStyle name="Normal 2 2 2 3 3 2 2 5 2" xfId="41859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0"/>
    <cellStyle name="Normal 2 2 2 3 3 3" xfId="13746"/>
    <cellStyle name="Normal 2 2 2 3 3 3 2" xfId="41861"/>
    <cellStyle name="Normal 2 2 2 3 3 4" xfId="13747"/>
    <cellStyle name="Normal 2 2 2 3 3 4 2" xfId="41862"/>
    <cellStyle name="Normal 2 2 2 3 3 5" xfId="13748"/>
    <cellStyle name="Normal 2 2 2 3 3 5 2" xfId="41863"/>
    <cellStyle name="Normal 2 2 2 3 3 6" xfId="13749"/>
    <cellStyle name="Normal 2 2 2 3 3 6 2" xfId="41864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5"/>
    <cellStyle name="Normal 2 2 2 3 5" xfId="13813"/>
    <cellStyle name="Normal 2 2 2 3 5 2" xfId="41866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7"/>
    <cellStyle name="Normal 2 2 2 3 6 3" xfId="13831"/>
    <cellStyle name="Normal 2 2 2 3 6 3 2" xfId="41868"/>
    <cellStyle name="Normal 2 2 2 3 6 4" xfId="13832"/>
    <cellStyle name="Normal 2 2 2 3 6 4 2" xfId="41869"/>
    <cellStyle name="Normal 2 2 2 3 6 5" xfId="13833"/>
    <cellStyle name="Normal 2 2 2 3 6 5 2" xfId="41870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1"/>
    <cellStyle name="Normal 2 2 2 9 2 3" xfId="14876"/>
    <cellStyle name="Normal 2 2 2 9 2 3 2" xfId="41872"/>
    <cellStyle name="Normal 2 2 2 9 2 4" xfId="14877"/>
    <cellStyle name="Normal 2 2 2 9 2 4 2" xfId="41873"/>
    <cellStyle name="Normal 2 2 2 9 2 5" xfId="14878"/>
    <cellStyle name="Normal 2 2 2 9 2 5 2" xfId="41874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5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6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7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78"/>
    <cellStyle name="Normal 2 2 4 2 2 2 2 3" xfId="15390"/>
    <cellStyle name="Normal 2 2 4 2 2 2 2 3 2" xfId="41879"/>
    <cellStyle name="Normal 2 2 4 2 2 2 2 4" xfId="15391"/>
    <cellStyle name="Normal 2 2 4 2 2 2 2 4 2" xfId="41880"/>
    <cellStyle name="Normal 2 2 4 2 2 2 2 5" xfId="15392"/>
    <cellStyle name="Normal 2 2 4 2 2 2 2 5 2" xfId="41881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2"/>
    <cellStyle name="Normal 2 2 4 2 2 3" xfId="15697"/>
    <cellStyle name="Normal 2 2 4 2 2 3 2" xfId="41883"/>
    <cellStyle name="Normal 2 2 4 2 2 4" xfId="15698"/>
    <cellStyle name="Normal 2 2 4 2 2 4 2" xfId="41884"/>
    <cellStyle name="Normal 2 2 4 2 2 5" xfId="15699"/>
    <cellStyle name="Normal 2 2 4 2 2 5 2" xfId="41885"/>
    <cellStyle name="Normal 2 2 4 2 2 6" xfId="15700"/>
    <cellStyle name="Normal 2 2 4 2 2 6 2" xfId="41886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7"/>
    <cellStyle name="Normal 2 2 4 2 4" xfId="15764"/>
    <cellStyle name="Normal 2 2 4 2 4 2" xfId="41888"/>
    <cellStyle name="Normal 2 2 4 2 5" xfId="15765"/>
    <cellStyle name="Normal 2 2 4 2 5 2" xfId="41889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0"/>
    <cellStyle name="Normal 2 2 4 2 6 3" xfId="15783"/>
    <cellStyle name="Normal 2 2 4 2 6 3 2" xfId="41891"/>
    <cellStyle name="Normal 2 2 4 2 6 4" xfId="15784"/>
    <cellStyle name="Normal 2 2 4 2 6 4 2" xfId="41892"/>
    <cellStyle name="Normal 2 2 4 2 6 5" xfId="15785"/>
    <cellStyle name="Normal 2 2 4 2 6 5 2" xfId="41893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4"/>
    <cellStyle name="Normal 2 2 4 3 2 3" xfId="16431"/>
    <cellStyle name="Normal 2 2 4 3 2 3 2" xfId="41895"/>
    <cellStyle name="Normal 2 2 4 3 2 4" xfId="16432"/>
    <cellStyle name="Normal 2 2 4 3 2 4 2" xfId="41896"/>
    <cellStyle name="Normal 2 2 4 3 2 5" xfId="16433"/>
    <cellStyle name="Normal 2 2 4 3 2 5 2" xfId="41897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898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899"/>
    <cellStyle name="Normal 2 2 4 7" xfId="17299"/>
    <cellStyle name="Normal 2 2 4 7 2" xfId="41900"/>
    <cellStyle name="Normal 2 2 4 8" xfId="17300"/>
    <cellStyle name="Normal 2 2 4 8 2" xfId="41901"/>
    <cellStyle name="Normal 2 2 4 9" xfId="17301"/>
    <cellStyle name="Normal 2 2 4 9 2" xfId="41902"/>
    <cellStyle name="Normal 2 2 5" xfId="17302"/>
    <cellStyle name="Normal 2 2 5 2" xfId="41903"/>
    <cellStyle name="Normal 2 2 6" xfId="17303"/>
    <cellStyle name="Normal 2 2 6 2" xfId="41904"/>
    <cellStyle name="Normal 2 2 7" xfId="17304"/>
    <cellStyle name="Normal 2 2 7 2" xfId="41905"/>
    <cellStyle name="Normal 2 2 8" xfId="17305"/>
    <cellStyle name="Normal 2 2 8 2" xfId="41906"/>
    <cellStyle name="Normal 2 2 9" xfId="17306"/>
    <cellStyle name="Normal 2 2 9 2" xfId="41907"/>
    <cellStyle name="Normal 2 20" xfId="17307"/>
    <cellStyle name="Normal 2 20 2" xfId="41908"/>
    <cellStyle name="Normal 2 21" xfId="17308"/>
    <cellStyle name="Normal 2 22" xfId="17309"/>
    <cellStyle name="Normal 2 22 2" xfId="41909"/>
    <cellStyle name="Normal 2 23" xfId="41710"/>
    <cellStyle name="Normal 2 3" xfId="17310"/>
    <cellStyle name="Normal 2 3 10" xfId="17311"/>
    <cellStyle name="Normal 2 3 10 2" xfId="41910"/>
    <cellStyle name="Normal 2 3 11" xfId="17312"/>
    <cellStyle name="Normal 2 3 11 2" xfId="41911"/>
    <cellStyle name="Normal 2 3 12" xfId="17313"/>
    <cellStyle name="Normal 2 3 12 2" xfId="41912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3"/>
    <cellStyle name="Normal 2 3 13 3" xfId="17331"/>
    <cellStyle name="Normal 2 3 13 3 2" xfId="41914"/>
    <cellStyle name="Normal 2 3 13 4" xfId="17332"/>
    <cellStyle name="Normal 2 3 13 4 2" xfId="41915"/>
    <cellStyle name="Normal 2 3 13 5" xfId="17333"/>
    <cellStyle name="Normal 2 3 13 5 2" xfId="41916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7"/>
    <cellStyle name="Normal 2 3 2 14" xfId="18203"/>
    <cellStyle name="Normal 2 3 2 14 2" xfId="41918"/>
    <cellStyle name="Normal 2 3 2 15" xfId="18204"/>
    <cellStyle name="Normal 2 3 2 15 2" xfId="41919"/>
    <cellStyle name="Normal 2 3 2 16" xfId="18205"/>
    <cellStyle name="Normal 2 3 2 16 2" xfId="41920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1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2"/>
    <cellStyle name="Normal 2 3 2 2 2 2 2 3" xfId="18704"/>
    <cellStyle name="Normal 2 3 2 2 2 2 2 3 2" xfId="41923"/>
    <cellStyle name="Normal 2 3 2 2 2 2 2 4" xfId="18705"/>
    <cellStyle name="Normal 2 3 2 2 2 2 2 4 2" xfId="41924"/>
    <cellStyle name="Normal 2 3 2 2 2 2 2 5" xfId="18706"/>
    <cellStyle name="Normal 2 3 2 2 2 2 2 5 2" xfId="41925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6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7"/>
    <cellStyle name="Normal 2 3 2 2 2 7" xfId="19655"/>
    <cellStyle name="Normal 2 3 2 2 2 7 2" xfId="41928"/>
    <cellStyle name="Normal 2 3 2 2 2 8" xfId="19656"/>
    <cellStyle name="Normal 2 3 2 2 2 8 2" xfId="41929"/>
    <cellStyle name="Normal 2 3 2 2 2 9" xfId="19657"/>
    <cellStyle name="Normal 2 3 2 2 2 9 2" xfId="41930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1"/>
    <cellStyle name="Normal 2 3 2 2 3 2 2 3" xfId="19694"/>
    <cellStyle name="Normal 2 3 2 2 3 2 2 3 2" xfId="41932"/>
    <cellStyle name="Normal 2 3 2 2 3 2 2 4" xfId="19695"/>
    <cellStyle name="Normal 2 3 2 2 3 2 2 4 2" xfId="41933"/>
    <cellStyle name="Normal 2 3 2 2 3 2 2 5" xfId="19696"/>
    <cellStyle name="Normal 2 3 2 2 3 2 2 5 2" xfId="41934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5"/>
    <cellStyle name="Normal 2 3 2 2 3 3" xfId="20001"/>
    <cellStyle name="Normal 2 3 2 2 3 3 2" xfId="41936"/>
    <cellStyle name="Normal 2 3 2 2 3 4" xfId="20002"/>
    <cellStyle name="Normal 2 3 2 2 3 4 2" xfId="41937"/>
    <cellStyle name="Normal 2 3 2 2 3 5" xfId="20003"/>
    <cellStyle name="Normal 2 3 2 2 3 5 2" xfId="41938"/>
    <cellStyle name="Normal 2 3 2 2 3 6" xfId="20004"/>
    <cellStyle name="Normal 2 3 2 2 3 6 2" xfId="41939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0"/>
    <cellStyle name="Normal 2 3 2 2 5" xfId="20068"/>
    <cellStyle name="Normal 2 3 2 2 5 2" xfId="41941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2"/>
    <cellStyle name="Normal 2 3 2 2 6 3" xfId="20086"/>
    <cellStyle name="Normal 2 3 2 2 6 3 2" xfId="41943"/>
    <cellStyle name="Normal 2 3 2 2 6 4" xfId="20087"/>
    <cellStyle name="Normal 2 3 2 2 6 4 2" xfId="41944"/>
    <cellStyle name="Normal 2 3 2 2 6 5" xfId="20088"/>
    <cellStyle name="Normal 2 3 2 2 6 5 2" xfId="41945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6"/>
    <cellStyle name="Normal 2 3 2 9 2 3" xfId="21221"/>
    <cellStyle name="Normal 2 3 2 9 2 3 2" xfId="41947"/>
    <cellStyle name="Normal 2 3 2 9 2 4" xfId="21222"/>
    <cellStyle name="Normal 2 3 2 9 2 4 2" xfId="41948"/>
    <cellStyle name="Normal 2 3 2 9 2 5" xfId="21223"/>
    <cellStyle name="Normal 2 3 2 9 2 5 2" xfId="41949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0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1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2"/>
    <cellStyle name="Normal 2 3 3 2 2 2 2 3" xfId="21736"/>
    <cellStyle name="Normal 2 3 3 2 2 2 2 3 2" xfId="41953"/>
    <cellStyle name="Normal 2 3 3 2 2 2 2 4" xfId="21737"/>
    <cellStyle name="Normal 2 3 3 2 2 2 2 4 2" xfId="41954"/>
    <cellStyle name="Normal 2 3 3 2 2 2 2 5" xfId="21738"/>
    <cellStyle name="Normal 2 3 3 2 2 2 2 5 2" xfId="41955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6"/>
    <cellStyle name="Normal 2 3 3 2 2 3" xfId="22043"/>
    <cellStyle name="Normal 2 3 3 2 2 3 2" xfId="41957"/>
    <cellStyle name="Normal 2 3 3 2 2 4" xfId="22044"/>
    <cellStyle name="Normal 2 3 3 2 2 4 2" xfId="41958"/>
    <cellStyle name="Normal 2 3 3 2 2 5" xfId="22045"/>
    <cellStyle name="Normal 2 3 3 2 2 5 2" xfId="41959"/>
    <cellStyle name="Normal 2 3 3 2 2 6" xfId="22046"/>
    <cellStyle name="Normal 2 3 3 2 2 6 2" xfId="41960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1"/>
    <cellStyle name="Normal 2 3 3 2 4" xfId="22110"/>
    <cellStyle name="Normal 2 3 3 2 4 2" xfId="41962"/>
    <cellStyle name="Normal 2 3 3 2 5" xfId="22111"/>
    <cellStyle name="Normal 2 3 3 2 5 2" xfId="41963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4"/>
    <cellStyle name="Normal 2 3 3 2 6 3" xfId="22129"/>
    <cellStyle name="Normal 2 3 3 2 6 3 2" xfId="41965"/>
    <cellStyle name="Normal 2 3 3 2 6 4" xfId="22130"/>
    <cellStyle name="Normal 2 3 3 2 6 4 2" xfId="41966"/>
    <cellStyle name="Normal 2 3 3 2 6 5" xfId="22131"/>
    <cellStyle name="Normal 2 3 3 2 6 5 2" xfId="41967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68"/>
    <cellStyle name="Normal 2 3 3 3 2 3" xfId="22774"/>
    <cellStyle name="Normal 2 3 3 3 2 3 2" xfId="41969"/>
    <cellStyle name="Normal 2 3 3 3 2 4" xfId="22775"/>
    <cellStyle name="Normal 2 3 3 3 2 4 2" xfId="41970"/>
    <cellStyle name="Normal 2 3 3 3 2 5" xfId="22776"/>
    <cellStyle name="Normal 2 3 3 3 2 5 2" xfId="41971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2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3"/>
    <cellStyle name="Normal 2 3 3 7" xfId="23642"/>
    <cellStyle name="Normal 2 3 3 7 2" xfId="41974"/>
    <cellStyle name="Normal 2 3 3 8" xfId="23643"/>
    <cellStyle name="Normal 2 3 3 8 2" xfId="41975"/>
    <cellStyle name="Normal 2 3 3 9" xfId="23644"/>
    <cellStyle name="Normal 2 3 3 9 2" xfId="41976"/>
    <cellStyle name="Normal 2 3 4" xfId="23645"/>
    <cellStyle name="Normal 2 3 4 2" xfId="41977"/>
    <cellStyle name="Normal 2 3 5" xfId="23646"/>
    <cellStyle name="Normal 2 3 5 2" xfId="41978"/>
    <cellStyle name="Normal 2 3 6" xfId="23647"/>
    <cellStyle name="Normal 2 3 6 2" xfId="41979"/>
    <cellStyle name="Normal 2 3 7" xfId="23648"/>
    <cellStyle name="Normal 2 3 7 2" xfId="41980"/>
    <cellStyle name="Normal 2 3 8" xfId="23649"/>
    <cellStyle name="Normal 2 3 8 2" xfId="41981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2"/>
    <cellStyle name="Normal 2 3 9 2 2 3" xfId="23686"/>
    <cellStyle name="Normal 2 3 9 2 2 3 2" xfId="41983"/>
    <cellStyle name="Normal 2 3 9 2 2 4" xfId="23687"/>
    <cellStyle name="Normal 2 3 9 2 2 4 2" xfId="41984"/>
    <cellStyle name="Normal 2 3 9 2 2 5" xfId="23688"/>
    <cellStyle name="Normal 2 3 9 2 2 5 2" xfId="41985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6"/>
    <cellStyle name="Normal 2 3 9 3" xfId="23993"/>
    <cellStyle name="Normal 2 3 9 3 2" xfId="41987"/>
    <cellStyle name="Normal 2 3 9 4" xfId="23994"/>
    <cellStyle name="Normal 2 3 9 4 2" xfId="41988"/>
    <cellStyle name="Normal 2 3 9 5" xfId="23995"/>
    <cellStyle name="Normal 2 3 9 5 2" xfId="41989"/>
    <cellStyle name="Normal 2 3 9 6" xfId="23996"/>
    <cellStyle name="Normal 2 3 9 6 2" xfId="41990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1"/>
    <cellStyle name="Normal 2 4 2 2 2 3" xfId="24489"/>
    <cellStyle name="Normal 2 4 2 2 2 3 2" xfId="41992"/>
    <cellStyle name="Normal 2 4 2 2 2 4" xfId="24490"/>
    <cellStyle name="Normal 2 4 2 2 2 4 2" xfId="41993"/>
    <cellStyle name="Normal 2 4 2 2 2 5" xfId="24491"/>
    <cellStyle name="Normal 2 4 2 2 2 5 2" xfId="41994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6"/>
    <cellStyle name="Normal 2 4 2 7" xfId="25437"/>
    <cellStyle name="Normal 2 4 2 7 2" xfId="41997"/>
    <cellStyle name="Normal 2 4 2 8" xfId="25438"/>
    <cellStyle name="Normal 2 4 2 8 2" xfId="41998"/>
    <cellStyle name="Normal 2 4 2 9" xfId="25439"/>
    <cellStyle name="Normal 2 4 2 9 2" xfId="4199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0"/>
    <cellStyle name="Normal 2 4 3 2 2 3" xfId="25478"/>
    <cellStyle name="Normal 2 4 3 2 2 3 2" xfId="42001"/>
    <cellStyle name="Normal 2 4 3 2 2 4" xfId="25479"/>
    <cellStyle name="Normal 2 4 3 2 2 4 2" xfId="42002"/>
    <cellStyle name="Normal 2 4 3 2 2 5" xfId="25480"/>
    <cellStyle name="Normal 2 4 3 2 2 5 2" xfId="42003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4"/>
    <cellStyle name="Normal 2 4 3 3" xfId="25785"/>
    <cellStyle name="Normal 2 4 3 3 2" xfId="42005"/>
    <cellStyle name="Normal 2 4 3 4" xfId="25786"/>
    <cellStyle name="Normal 2 4 3 4 2" xfId="42006"/>
    <cellStyle name="Normal 2 4 3 5" xfId="25787"/>
    <cellStyle name="Normal 2 4 3 5 2" xfId="42007"/>
    <cellStyle name="Normal 2 4 3 6" xfId="25788"/>
    <cellStyle name="Normal 2 4 3 6 2" xfId="4200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09"/>
    <cellStyle name="Normal 2 4 5" xfId="25852"/>
    <cellStyle name="Normal 2 4 5 2" xfId="42010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1"/>
    <cellStyle name="Normal 2 4 6 3" xfId="25870"/>
    <cellStyle name="Normal 2 4 6 3 2" xfId="42012"/>
    <cellStyle name="Normal 2 4 6 4" xfId="25871"/>
    <cellStyle name="Normal 2 4 6 4 2" xfId="42013"/>
    <cellStyle name="Normal 2 4 6 5" xfId="25872"/>
    <cellStyle name="Normal 2 4 6 5 2" xfId="42014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5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6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18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19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1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2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3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5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6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7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28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29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0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1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2"/>
    <cellStyle name="Normal 3 4" xfId="27293"/>
    <cellStyle name="Normal 3 4 2" xfId="42033"/>
    <cellStyle name="Normal 3 5" xfId="27294"/>
    <cellStyle name="Normal 3 5 2" xfId="42034"/>
    <cellStyle name="Normal 3 6" xfId="27295"/>
    <cellStyle name="Normal 3 6 2" xfId="42035"/>
    <cellStyle name="Normal 3 7" xfId="27296"/>
    <cellStyle name="Normal 3 7 2" xfId="42036"/>
    <cellStyle name="Normal 3 8" xfId="27297"/>
    <cellStyle name="Normal 3 8 2" xfId="42037"/>
    <cellStyle name="Normal 3 9" xfId="42038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9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0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1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2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3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4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5"/>
    <cellStyle name="Normal 33 2" xfId="27544"/>
    <cellStyle name="Normal 33 2 10" xfId="27545"/>
    <cellStyle name="Normal 33 2 10 2" xfId="27546"/>
    <cellStyle name="Normal 33 2 11" xfId="27547"/>
    <cellStyle name="Normal 33 2 12" xfId="42046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7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8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9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0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1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2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3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4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5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6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7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8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9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3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CCFFCC"/>
      <color rgb="FFF7FC8E"/>
      <color rgb="FFFFFF00"/>
      <color rgb="FF8AE3EA"/>
      <color rgb="FFD2AF1C"/>
      <color rgb="FF66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21772</xdr:rowOff>
    </xdr:from>
    <xdr:to>
      <xdr:col>1</xdr:col>
      <xdr:colOff>1038225</xdr:colOff>
      <xdr:row>4</xdr:row>
      <xdr:rowOff>80963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374" y="212272"/>
          <a:ext cx="974726" cy="625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506183</xdr:colOff>
      <xdr:row>14</xdr:row>
      <xdr:rowOff>152400</xdr:rowOff>
    </xdr:from>
    <xdr:to>
      <xdr:col>1</xdr:col>
      <xdr:colOff>904876</xdr:colOff>
      <xdr:row>18</xdr:row>
      <xdr:rowOff>13085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183" y="3181350"/>
          <a:ext cx="913043" cy="59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152402</xdr:rowOff>
    </xdr:from>
    <xdr:to>
      <xdr:col>2</xdr:col>
      <xdr:colOff>471713</xdr:colOff>
      <xdr:row>3</xdr:row>
      <xdr:rowOff>10888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269" y="152402"/>
          <a:ext cx="1714501" cy="57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87082</xdr:colOff>
      <xdr:row>17</xdr:row>
      <xdr:rowOff>38100</xdr:rowOff>
    </xdr:from>
    <xdr:to>
      <xdr:col>2</xdr:col>
      <xdr:colOff>459013</xdr:colOff>
      <xdr:row>20</xdr:row>
      <xdr:rowOff>41726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482" y="4749800"/>
          <a:ext cx="1665517" cy="662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326199</xdr:colOff>
      <xdr:row>2</xdr:row>
      <xdr:rowOff>241904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95" y="193525"/>
          <a:ext cx="1596199" cy="6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2</xdr:col>
      <xdr:colOff>1270891</xdr:colOff>
      <xdr:row>3</xdr:row>
      <xdr:rowOff>1335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59" y="194930"/>
          <a:ext cx="2152951" cy="83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182880</xdr:rowOff>
    </xdr:from>
    <xdr:to>
      <xdr:col>2</xdr:col>
      <xdr:colOff>1608988</xdr:colOff>
      <xdr:row>3</xdr:row>
      <xdr:rowOff>33394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6440" y="182880"/>
          <a:ext cx="2225187" cy="67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Cuota_Camaron%20Naylon_II-V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Crustaceos%20Ltp-Pep_2019/00_Transferencias_Ltp_Langoamarillo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anual_"/>
      <sheetName val="Resumen periodo"/>
      <sheetName val="Control Cuota Artesanal"/>
      <sheetName val="Control Cuota LTP"/>
      <sheetName val="Coeficientes"/>
      <sheetName val="Compras-Ventas"/>
      <sheetName val="Hoja2"/>
      <sheetName val="Hoja1"/>
    </sheetNames>
    <sheetDataSet>
      <sheetData sheetId="0"/>
      <sheetData sheetId="1">
        <row r="21">
          <cell r="F21">
            <v>0</v>
          </cell>
        </row>
        <row r="22">
          <cell r="F2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eficientes"/>
      <sheetName val="Transa_Ltp_Langamarillo"/>
      <sheetName val="ANTARTIC SEAFOOD S.A."/>
      <sheetName val="BRACPESCA S.A."/>
      <sheetName val="RUBIO Y MAUAD LTDA."/>
      <sheetName val="GRIMAR S.A. PESQ."/>
      <sheetName val="ISLADAMAS S.A. PESQ."/>
      <sheetName val="ALIMENTOS ALSAN LTDA"/>
      <sheetName val="SOC. DISTRIMAR LTDA"/>
      <sheetName val="DA VENEZIA"/>
      <sheetName val="ENFEMAR LTDA. SOC. PESQ."/>
      <sheetName val="NICANOR GONZALEZ VEGA"/>
      <sheetName val="MOROZIN BAYCIC MARIA ANA"/>
      <sheetName val="LANDES S.A. SOC. PESQ."/>
      <sheetName val="BAYCIC BAYCIC MARIA"/>
      <sheetName val="MOROZIN YURECIC MARIO"/>
      <sheetName val="QUINTERO S.A. PESQ."/>
    </sheetNames>
    <sheetDataSet>
      <sheetData sheetId="0">
        <row r="22">
          <cell r="C22">
            <v>90</v>
          </cell>
          <cell r="D22">
            <v>692</v>
          </cell>
        </row>
        <row r="23">
          <cell r="C23">
            <v>10</v>
          </cell>
          <cell r="D23">
            <v>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7FC8E"/>
  </sheetPr>
  <dimension ref="A1:Q30"/>
  <sheetViews>
    <sheetView zoomScale="80" zoomScaleNormal="80" workbookViewId="0">
      <selection activeCell="B4" sqref="B4:I4"/>
    </sheetView>
  </sheetViews>
  <sheetFormatPr baseColWidth="10" defaultRowHeight="14.4"/>
  <cols>
    <col min="1" max="1" width="7.5546875" style="449" customWidth="1"/>
    <col min="2" max="2" width="21.88671875" style="444" customWidth="1"/>
    <col min="3" max="3" width="28.33203125" style="444" customWidth="1"/>
    <col min="4" max="4" width="14.33203125" style="444" customWidth="1"/>
    <col min="5" max="5" width="17" style="444" customWidth="1"/>
    <col min="6" max="6" width="16.6640625" style="444" customWidth="1"/>
    <col min="7" max="7" width="10.33203125" style="444" customWidth="1"/>
    <col min="8" max="8" width="14.33203125" style="444" customWidth="1"/>
    <col min="9" max="9" width="10.44140625" style="444" customWidth="1"/>
    <col min="10" max="10" width="7.88671875" style="444" hidden="1" customWidth="1"/>
    <col min="11" max="16384" width="11.5546875" style="444"/>
  </cols>
  <sheetData>
    <row r="1" spans="2:17" ht="15" thickBot="1"/>
    <row r="2" spans="2:17" ht="15.6" customHeight="1">
      <c r="B2" s="481" t="s">
        <v>130</v>
      </c>
      <c r="C2" s="482"/>
      <c r="D2" s="482"/>
      <c r="E2" s="482"/>
      <c r="F2" s="482"/>
      <c r="G2" s="482"/>
      <c r="H2" s="482"/>
      <c r="I2" s="483"/>
    </row>
    <row r="3" spans="2:17" ht="12" customHeight="1">
      <c r="B3" s="484" t="s">
        <v>147</v>
      </c>
      <c r="C3" s="485"/>
      <c r="D3" s="485"/>
      <c r="E3" s="485"/>
      <c r="F3" s="485"/>
      <c r="G3" s="485"/>
      <c r="H3" s="485"/>
      <c r="I3" s="486"/>
    </row>
    <row r="4" spans="2:17" ht="15.6" customHeight="1" thickBot="1">
      <c r="B4" s="478">
        <v>43607</v>
      </c>
      <c r="C4" s="479"/>
      <c r="D4" s="479"/>
      <c r="E4" s="479"/>
      <c r="F4" s="479"/>
      <c r="G4" s="479"/>
      <c r="H4" s="479"/>
      <c r="I4" s="480"/>
    </row>
    <row r="5" spans="2:17" ht="15" thickBot="1"/>
    <row r="6" spans="2:17" ht="47.4" thickBot="1">
      <c r="B6" s="28" t="s">
        <v>37</v>
      </c>
      <c r="C6" s="29" t="s">
        <v>38</v>
      </c>
      <c r="D6" s="30" t="s">
        <v>13</v>
      </c>
      <c r="E6" s="31" t="s">
        <v>3</v>
      </c>
      <c r="F6" s="31" t="s">
        <v>4</v>
      </c>
      <c r="G6" s="31" t="s">
        <v>5</v>
      </c>
      <c r="H6" s="31" t="s">
        <v>6</v>
      </c>
      <c r="I6" s="32" t="s">
        <v>23</v>
      </c>
      <c r="J6" s="452" t="s">
        <v>8</v>
      </c>
    </row>
    <row r="7" spans="2:17">
      <c r="B7" s="493" t="s">
        <v>70</v>
      </c>
      <c r="C7" s="188" t="s">
        <v>18</v>
      </c>
      <c r="D7" s="170">
        <f>'Resumen periodo'!E6+'Resumen periodo'!E7</f>
        <v>30</v>
      </c>
      <c r="E7" s="150">
        <f>'Resumen periodo'!F6+'Resumen periodo'!F7</f>
        <v>0</v>
      </c>
      <c r="F7" s="150">
        <f t="shared" ref="F7:F13" si="0">D7+E7</f>
        <v>30</v>
      </c>
      <c r="G7" s="150">
        <f>'Resumen periodo'!$H$6+'Resumen periodo'!$H$7</f>
        <v>0</v>
      </c>
      <c r="H7" s="150">
        <f t="shared" ref="H7:H13" si="1">F7-G7</f>
        <v>30</v>
      </c>
      <c r="I7" s="183">
        <f t="shared" ref="I7:I12" si="2">G7/F7</f>
        <v>0</v>
      </c>
      <c r="J7" s="179"/>
    </row>
    <row r="8" spans="2:17" ht="15" thickBot="1">
      <c r="B8" s="494"/>
      <c r="C8" s="189" t="s">
        <v>75</v>
      </c>
      <c r="D8" s="171">
        <f>'Resumen periodo'!E8+'Resumen periodo'!E9</f>
        <v>623</v>
      </c>
      <c r="E8" s="151">
        <f>'Resumen periodo'!F8+'Resumen periodo'!F9</f>
        <v>-83.843000000000004</v>
      </c>
      <c r="F8" s="151">
        <f t="shared" si="0"/>
        <v>539.15700000000004</v>
      </c>
      <c r="G8" s="151">
        <f>'Resumen periodo'!$H$8+'Resumen periodo'!$H$9</f>
        <v>247.64499999999995</v>
      </c>
      <c r="H8" s="151">
        <f t="shared" si="1"/>
        <v>291.51200000000006</v>
      </c>
      <c r="I8" s="184">
        <f t="shared" si="2"/>
        <v>0.45931889968970063</v>
      </c>
      <c r="J8" s="180"/>
    </row>
    <row r="9" spans="2:17" ht="15" thickBot="1">
      <c r="B9" s="494"/>
      <c r="C9" s="190" t="s">
        <v>35</v>
      </c>
      <c r="D9" s="172">
        <v>14</v>
      </c>
      <c r="E9" s="173">
        <f>'Resumen periodo'!F10</f>
        <v>0</v>
      </c>
      <c r="F9" s="173">
        <f t="shared" si="0"/>
        <v>14</v>
      </c>
      <c r="G9" s="174">
        <f>+'Control Cuota Artesanal III-IV'!H23</f>
        <v>0</v>
      </c>
      <c r="H9" s="173">
        <f t="shared" si="1"/>
        <v>14</v>
      </c>
      <c r="I9" s="185">
        <f t="shared" si="2"/>
        <v>0</v>
      </c>
      <c r="J9" s="181"/>
    </row>
    <row r="10" spans="2:17">
      <c r="B10" s="494"/>
      <c r="C10" s="34" t="s">
        <v>55</v>
      </c>
      <c r="D10" s="175">
        <f>+'Resumen periodo'!E11+'Resumen periodo'!E12</f>
        <v>99.999989999999997</v>
      </c>
      <c r="E10" s="176">
        <f>+'Resumen periodo'!F11+'Resumen periodo'!F12</f>
        <v>0</v>
      </c>
      <c r="F10" s="150">
        <f t="shared" si="0"/>
        <v>99.999989999999997</v>
      </c>
      <c r="G10" s="150">
        <f>+'Resumen periodo'!H11+'Resumen periodo'!H12</f>
        <v>0</v>
      </c>
      <c r="H10" s="150">
        <f t="shared" si="1"/>
        <v>99.999989999999997</v>
      </c>
      <c r="I10" s="183">
        <f t="shared" si="2"/>
        <v>0</v>
      </c>
      <c r="J10" s="179"/>
    </row>
    <row r="11" spans="2:17" ht="15" thickBot="1">
      <c r="B11" s="494"/>
      <c r="C11" s="186" t="s">
        <v>56</v>
      </c>
      <c r="D11" s="177">
        <f>+'Resumen periodo'!E13+'Resumen periodo'!E14</f>
        <v>768.99992309999993</v>
      </c>
      <c r="E11" s="178">
        <f>+'Resumen periodo'!F13+'Resumen periodo'!F14</f>
        <v>83.843000000000004</v>
      </c>
      <c r="F11" s="151">
        <f t="shared" si="0"/>
        <v>852.84292309999989</v>
      </c>
      <c r="G11" s="151">
        <f>+'Resumen periodo'!H13+'Resumen periodo'!H14</f>
        <v>304.40899999999999</v>
      </c>
      <c r="H11" s="151">
        <f t="shared" si="1"/>
        <v>548.4339230999999</v>
      </c>
      <c r="I11" s="184">
        <f t="shared" si="2"/>
        <v>0.35693442690888882</v>
      </c>
      <c r="J11" s="180"/>
      <c r="K11" s="453"/>
      <c r="L11" s="453"/>
      <c r="M11" s="453"/>
      <c r="N11" s="453"/>
      <c r="O11" s="453"/>
      <c r="P11" s="453"/>
      <c r="Q11" s="453"/>
    </row>
    <row r="12" spans="2:17">
      <c r="B12" s="494"/>
      <c r="C12" s="169" t="s">
        <v>122</v>
      </c>
      <c r="D12" s="175">
        <v>31</v>
      </c>
      <c r="E12" s="176">
        <v>0</v>
      </c>
      <c r="F12" s="150">
        <f>D12+E12</f>
        <v>31</v>
      </c>
      <c r="G12" s="150">
        <v>0</v>
      </c>
      <c r="H12" s="150">
        <f t="shared" si="1"/>
        <v>31</v>
      </c>
      <c r="I12" s="187">
        <f t="shared" si="2"/>
        <v>0</v>
      </c>
      <c r="J12" s="182"/>
    </row>
    <row r="13" spans="2:17" ht="15" thickBot="1">
      <c r="B13" s="494"/>
      <c r="C13" s="35" t="s">
        <v>19</v>
      </c>
      <c r="D13" s="171">
        <v>0</v>
      </c>
      <c r="E13" s="151">
        <f>+'[1]Resumen periodo'!F21+'[1]Resumen periodo'!F22</f>
        <v>0</v>
      </c>
      <c r="F13" s="151">
        <f t="shared" si="0"/>
        <v>0</v>
      </c>
      <c r="G13" s="151">
        <v>0</v>
      </c>
      <c r="H13" s="151">
        <f t="shared" si="1"/>
        <v>0</v>
      </c>
      <c r="I13" s="184">
        <v>0</v>
      </c>
      <c r="J13" s="180"/>
    </row>
    <row r="14" spans="2:17" ht="30.6" customHeight="1" thickBot="1">
      <c r="B14" s="495"/>
      <c r="C14" s="33" t="s">
        <v>81</v>
      </c>
      <c r="D14" s="152">
        <f>SUM(D7:D13)</f>
        <v>1566.9999131</v>
      </c>
      <c r="E14" s="153">
        <f>SUM(E7:E13)</f>
        <v>0</v>
      </c>
      <c r="F14" s="153">
        <f>+D14+E14</f>
        <v>1566.9999131</v>
      </c>
      <c r="G14" s="153">
        <f>SUM(G7:G13)</f>
        <v>552.05399999999997</v>
      </c>
      <c r="H14" s="153">
        <f>+F14-G14</f>
        <v>1014.9459131</v>
      </c>
      <c r="I14" s="154">
        <f>+G14/F14</f>
        <v>0.35229995572103773</v>
      </c>
    </row>
    <row r="15" spans="2:17" ht="14.4" customHeight="1" thickBot="1"/>
    <row r="16" spans="2:17" ht="28.2" customHeight="1">
      <c r="B16" s="487" t="s">
        <v>76</v>
      </c>
      <c r="C16" s="488"/>
      <c r="D16" s="488"/>
      <c r="E16" s="488"/>
      <c r="F16" s="488"/>
      <c r="G16" s="488"/>
      <c r="H16" s="488"/>
      <c r="I16" s="489"/>
    </row>
    <row r="17" spans="2:9" ht="15" hidden="1" customHeight="1">
      <c r="B17" s="490"/>
      <c r="C17" s="491"/>
      <c r="D17" s="491"/>
      <c r="E17" s="491"/>
      <c r="F17" s="491"/>
      <c r="G17" s="491"/>
      <c r="H17" s="491"/>
      <c r="I17" s="492"/>
    </row>
    <row r="18" spans="2:9" ht="15" thickBot="1">
      <c r="B18" s="473">
        <f>+B4</f>
        <v>43607</v>
      </c>
      <c r="C18" s="474"/>
      <c r="D18" s="474"/>
      <c r="E18" s="474"/>
      <c r="F18" s="474"/>
      <c r="G18" s="474"/>
      <c r="H18" s="474"/>
      <c r="I18" s="475"/>
    </row>
    <row r="19" spans="2:9" ht="15" thickBot="1"/>
    <row r="20" spans="2:9" ht="31.8" thickBot="1">
      <c r="B20" s="122" t="s">
        <v>37</v>
      </c>
      <c r="C20" s="123" t="s">
        <v>38</v>
      </c>
      <c r="D20" s="124" t="s">
        <v>13</v>
      </c>
      <c r="E20" s="124" t="s">
        <v>3</v>
      </c>
      <c r="F20" s="124" t="s">
        <v>4</v>
      </c>
      <c r="G20" s="124" t="s">
        <v>5</v>
      </c>
      <c r="H20" s="124" t="s">
        <v>6</v>
      </c>
      <c r="I20" s="125" t="s">
        <v>23</v>
      </c>
    </row>
    <row r="21" spans="2:9">
      <c r="B21" s="476" t="s">
        <v>69</v>
      </c>
      <c r="C21" s="117" t="s">
        <v>72</v>
      </c>
      <c r="D21" s="118">
        <f>+'Resumen periodo'!E22+'Resumen periodo'!E23</f>
        <v>882.00264511800003</v>
      </c>
      <c r="E21" s="144">
        <f>+'Resumen periodo'!F22+'Resumen periodo'!F23</f>
        <v>19.600000000000001</v>
      </c>
      <c r="F21" s="118">
        <f t="shared" ref="F21:F24" si="3">D21+E21</f>
        <v>901.60264511800005</v>
      </c>
      <c r="G21" s="119">
        <f>+'Resumen periodo'!H22+'Resumen periodo'!H23</f>
        <v>485.95500000000004</v>
      </c>
      <c r="H21" s="120">
        <f t="shared" ref="H21:H24" si="4">F21-G21</f>
        <v>415.64764511800001</v>
      </c>
      <c r="I21" s="121">
        <f t="shared" ref="I21:I24" si="5">G21/F21</f>
        <v>0.53899021107729683</v>
      </c>
    </row>
    <row r="22" spans="2:9">
      <c r="B22" s="476"/>
      <c r="C22" s="22" t="s">
        <v>71</v>
      </c>
      <c r="D22" s="110">
        <f>+'Resumen periodo'!E24+'Resumen periodo'!E25</f>
        <v>1078.0032329220001</v>
      </c>
      <c r="E22" s="145">
        <f>+'Resumen periodo'!F24+'Resumen periodo'!F25</f>
        <v>1.5973999999999648</v>
      </c>
      <c r="F22" s="110">
        <f t="shared" si="3"/>
        <v>1079.6006329219999</v>
      </c>
      <c r="G22" s="23">
        <f>+'Resumen periodo'!H24+'Resumen periodo'!H25</f>
        <v>331.53</v>
      </c>
      <c r="H22" s="111">
        <f t="shared" si="4"/>
        <v>748.07063292199996</v>
      </c>
      <c r="I22" s="36">
        <f t="shared" si="5"/>
        <v>0.30708577773124801</v>
      </c>
    </row>
    <row r="23" spans="2:9">
      <c r="B23" s="476"/>
      <c r="C23" s="37" t="s">
        <v>123</v>
      </c>
      <c r="D23" s="110">
        <v>25</v>
      </c>
      <c r="E23" s="146">
        <v>0</v>
      </c>
      <c r="F23" s="110">
        <f t="shared" ref="F23" si="6">D23+E23</f>
        <v>25</v>
      </c>
      <c r="G23" s="142">
        <v>0.66700000000000004</v>
      </c>
      <c r="H23" s="111">
        <f t="shared" ref="H23" si="7">F23-G23</f>
        <v>24.332999999999998</v>
      </c>
      <c r="I23" s="36">
        <f t="shared" ref="I23" si="8">G23/F23</f>
        <v>2.6680000000000002E-2</v>
      </c>
    </row>
    <row r="24" spans="2:9" ht="15" thickBot="1">
      <c r="B24" s="476"/>
      <c r="C24" s="37" t="s">
        <v>121</v>
      </c>
      <c r="D24" s="110">
        <v>39</v>
      </c>
      <c r="E24" s="146">
        <v>0</v>
      </c>
      <c r="F24" s="110">
        <f t="shared" si="3"/>
        <v>39</v>
      </c>
      <c r="G24" s="111">
        <v>0</v>
      </c>
      <c r="H24" s="111">
        <f t="shared" si="4"/>
        <v>39</v>
      </c>
      <c r="I24" s="36">
        <f t="shared" si="5"/>
        <v>0</v>
      </c>
    </row>
    <row r="25" spans="2:9" ht="29.4" thickBot="1">
      <c r="B25" s="477"/>
      <c r="C25" s="24" t="s">
        <v>82</v>
      </c>
      <c r="D25" s="25">
        <f>SUM(D21:D24)</f>
        <v>2024.00587804</v>
      </c>
      <c r="E25" s="26">
        <f>SUM(E21:E24)</f>
        <v>21.197399999999966</v>
      </c>
      <c r="F25" s="26">
        <f>+D25+E25</f>
        <v>2045.20327804</v>
      </c>
      <c r="G25" s="26">
        <f>SUM(G21:G24)</f>
        <v>818.15200000000004</v>
      </c>
      <c r="H25" s="26">
        <f>+F25-G25</f>
        <v>1227.0512780399999</v>
      </c>
      <c r="I25" s="27">
        <f>+G25/F25</f>
        <v>0.40003456320687486</v>
      </c>
    </row>
    <row r="26" spans="2:9">
      <c r="G26" s="450"/>
    </row>
    <row r="27" spans="2:9" ht="7.95" customHeight="1">
      <c r="G27" s="451"/>
    </row>
    <row r="28" spans="2:9">
      <c r="D28" s="451"/>
      <c r="G28" s="451"/>
    </row>
    <row r="29" spans="2:9">
      <c r="D29" s="450"/>
      <c r="G29" s="450"/>
    </row>
    <row r="30" spans="2:9">
      <c r="D30" s="450"/>
      <c r="G30" s="446"/>
    </row>
  </sheetData>
  <mergeCells count="8">
    <mergeCell ref="B18:I18"/>
    <mergeCell ref="B21:B25"/>
    <mergeCell ref="B4:I4"/>
    <mergeCell ref="B2:I2"/>
    <mergeCell ref="B3:I3"/>
    <mergeCell ref="B16:I16"/>
    <mergeCell ref="B17:I17"/>
    <mergeCell ref="B7:B14"/>
  </mergeCells>
  <pageMargins left="0.7" right="0.7" top="0.75" bottom="0.75" header="0.3" footer="0.3"/>
  <pageSetup paperSize="177" scale="71" orientation="portrait" r:id="rId1"/>
  <colBreaks count="1" manualBreakCount="1">
    <brk id="9" max="1048575" man="1"/>
  </colBreaks>
  <ignoredErrors>
    <ignoredError sqref="F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"/>
  <sheetViews>
    <sheetView showGridLines="0" workbookViewId="0">
      <selection activeCell="F22" sqref="F22"/>
    </sheetView>
  </sheetViews>
  <sheetFormatPr baseColWidth="10" defaultColWidth="11.5546875" defaultRowHeight="12" customHeight="1"/>
  <cols>
    <col min="1" max="16384" width="11.5546875" style="199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99"/>
  </sheetPr>
  <dimension ref="A1:J38"/>
  <sheetViews>
    <sheetView zoomScale="70" zoomScaleNormal="70" workbookViewId="0">
      <selection activeCell="H29" sqref="H29"/>
    </sheetView>
  </sheetViews>
  <sheetFormatPr baseColWidth="10" defaultRowHeight="14.4"/>
  <cols>
    <col min="1" max="1" width="5.88671875" style="444" customWidth="1"/>
    <col min="2" max="2" width="19" style="444" customWidth="1"/>
    <col min="3" max="3" width="29.88671875" style="444" customWidth="1"/>
    <col min="4" max="4" width="22.88671875" style="444" customWidth="1"/>
    <col min="5" max="5" width="17" style="444" customWidth="1"/>
    <col min="6" max="6" width="17.109375" style="446" customWidth="1"/>
    <col min="7" max="7" width="16" style="444" customWidth="1"/>
    <col min="8" max="8" width="16.109375" style="444" customWidth="1"/>
    <col min="9" max="9" width="18.44140625" style="444" customWidth="1"/>
    <col min="10" max="10" width="19.88671875" style="444" customWidth="1"/>
    <col min="11" max="11" width="13" style="444" customWidth="1"/>
    <col min="12" max="307" width="11.44140625" style="444"/>
    <col min="308" max="16384" width="11.5546875" style="444"/>
  </cols>
  <sheetData>
    <row r="1" spans="2:10" ht="13.2" customHeight="1" thickBot="1">
      <c r="E1" s="445"/>
    </row>
    <row r="2" spans="2:10" ht="31.2" customHeight="1">
      <c r="B2" s="481" t="s">
        <v>131</v>
      </c>
      <c r="C2" s="496"/>
      <c r="D2" s="496"/>
      <c r="E2" s="496"/>
      <c r="F2" s="496"/>
      <c r="G2" s="496"/>
      <c r="H2" s="496"/>
      <c r="I2" s="496"/>
      <c r="J2" s="497"/>
    </row>
    <row r="3" spans="2:10" ht="12.6" customHeight="1">
      <c r="B3" s="506" t="str">
        <f>+'Resumen anual'!B3</f>
        <v>Dec Ex N° 526 de 21-12-2018</v>
      </c>
      <c r="C3" s="507"/>
      <c r="D3" s="507"/>
      <c r="E3" s="507"/>
      <c r="F3" s="507"/>
      <c r="G3" s="507"/>
      <c r="H3" s="507"/>
      <c r="I3" s="507"/>
      <c r="J3" s="508"/>
    </row>
    <row r="4" spans="2:10" ht="21.75" customHeight="1">
      <c r="B4" s="520">
        <f>+'Resumen anual'!B4:I4</f>
        <v>43607</v>
      </c>
      <c r="C4" s="521"/>
      <c r="D4" s="521"/>
      <c r="E4" s="521"/>
      <c r="F4" s="521"/>
      <c r="G4" s="521"/>
      <c r="H4" s="521"/>
      <c r="I4" s="521"/>
      <c r="J4" s="522"/>
    </row>
    <row r="5" spans="2:10" ht="25.2" customHeight="1">
      <c r="B5" s="92" t="s">
        <v>37</v>
      </c>
      <c r="C5" s="79" t="s">
        <v>83</v>
      </c>
      <c r="D5" s="79" t="s">
        <v>1</v>
      </c>
      <c r="E5" s="79" t="s">
        <v>13</v>
      </c>
      <c r="F5" s="79" t="s">
        <v>3</v>
      </c>
      <c r="G5" s="79" t="s">
        <v>4</v>
      </c>
      <c r="H5" s="79" t="s">
        <v>5</v>
      </c>
      <c r="I5" s="79" t="s">
        <v>6</v>
      </c>
      <c r="J5" s="93" t="s">
        <v>23</v>
      </c>
    </row>
    <row r="6" spans="2:10" ht="15" customHeight="1">
      <c r="B6" s="518" t="s">
        <v>145</v>
      </c>
      <c r="C6" s="498" t="s">
        <v>33</v>
      </c>
      <c r="D6" s="85" t="s">
        <v>31</v>
      </c>
      <c r="E6" s="80">
        <f>'Control Cuota Artesanal III-IV'!E7</f>
        <v>27</v>
      </c>
      <c r="F6" s="11">
        <f>'Control Cuota Artesanal III-IV'!F7</f>
        <v>0</v>
      </c>
      <c r="G6" s="78">
        <f>E6+F6</f>
        <v>27</v>
      </c>
      <c r="H6" s="13">
        <f>+'Control Cuota Artesanal III-IV'!H7+'Control Cuota Artesanal III-IV'!H8</f>
        <v>0</v>
      </c>
      <c r="I6" s="15">
        <f t="shared" ref="I6:I10" si="0">G6-H6</f>
        <v>27</v>
      </c>
      <c r="J6" s="8">
        <f t="shared" ref="J6:J10" si="1">H6/G6</f>
        <v>0</v>
      </c>
    </row>
    <row r="7" spans="2:10" ht="15" customHeight="1">
      <c r="B7" s="518"/>
      <c r="C7" s="499"/>
      <c r="D7" s="86" t="s">
        <v>32</v>
      </c>
      <c r="E7" s="81">
        <f>'Control Cuota Artesanal III-IV'!E8</f>
        <v>3</v>
      </c>
      <c r="F7" s="10">
        <f>'Control Cuota Artesanal III-IV'!F8</f>
        <v>0</v>
      </c>
      <c r="G7" s="16">
        <f>E7+I6+F7</f>
        <v>30</v>
      </c>
      <c r="H7" s="12">
        <f>'Control Cuota Artesanal III-IV'!H8</f>
        <v>0</v>
      </c>
      <c r="I7" s="14">
        <f t="shared" si="0"/>
        <v>30</v>
      </c>
      <c r="J7" s="9">
        <f t="shared" si="1"/>
        <v>0</v>
      </c>
    </row>
    <row r="8" spans="2:10" ht="15" customHeight="1">
      <c r="B8" s="518"/>
      <c r="C8" s="498" t="s">
        <v>34</v>
      </c>
      <c r="D8" s="85" t="s">
        <v>31</v>
      </c>
      <c r="E8" s="82">
        <f>'Control Cuota Artesanal III-IV'!E13+'Control Cuota Artesanal III-IV'!E15+'Control Cuota Artesanal III-IV'!E9+'Control Cuota Artesanal III-IV'!E11+'Control Cuota Artesanal III-IV'!E17</f>
        <v>561</v>
      </c>
      <c r="F8" s="94">
        <f>'Control Cuota Artesanal III-IV'!F13+'Control Cuota Artesanal III-IV'!F15+'Control Cuota Artesanal III-IV'!F9+'Control Cuota Artesanal III-IV'!F11+'Control Cuota Artesanal III-IV'!F17</f>
        <v>-83.843000000000004</v>
      </c>
      <c r="G8" s="95">
        <f>E8+F8</f>
        <v>477.15699999999998</v>
      </c>
      <c r="H8" s="96">
        <f>+'Control Cuota Artesanal III-IV'!H13+'Control Cuota Artesanal III-IV'!H15+'Control Cuota Artesanal III-IV'!H9+'Control Cuota Artesanal III-IV'!H11+'Control Cuota Artesanal III-IV'!H17</f>
        <v>247.64499999999995</v>
      </c>
      <c r="I8" s="97">
        <f t="shared" si="0"/>
        <v>229.51200000000003</v>
      </c>
      <c r="J8" s="98">
        <f t="shared" si="1"/>
        <v>0.51900108350081831</v>
      </c>
    </row>
    <row r="9" spans="2:10" ht="15" customHeight="1">
      <c r="B9" s="518"/>
      <c r="C9" s="500"/>
      <c r="D9" s="87" t="s">
        <v>32</v>
      </c>
      <c r="E9" s="80">
        <f>'Control Cuota Artesanal III-IV'!E14+'Control Cuota Artesanal III-IV'!E16+'Control Cuota Artesanal III-IV'!E10+'Control Cuota Artesanal III-IV'!E12+'Control Cuota Artesanal III-IV'!E18</f>
        <v>62</v>
      </c>
      <c r="F9" s="11">
        <f>'Control Cuota Artesanal III-IV'!F14+'Control Cuota Artesanal III-IV'!F16+'Control Cuota Artesanal III-IV'!F10+'Control Cuota Artesanal III-IV'!F12+'Control Cuota Artesanal III-IV'!F18</f>
        <v>0</v>
      </c>
      <c r="G9" s="78">
        <f>E9+I8+F9</f>
        <v>291.51200000000006</v>
      </c>
      <c r="H9" s="13">
        <f>+'Control Cuota Artesanal III-IV'!H14+'Control Cuota Artesanal III-IV'!H16+'Control Cuota Artesanal III-IV'!H10+'Control Cuota Artesanal III-IV'!H12+'Control Cuota Artesanal III-IV'!H18</f>
        <v>0</v>
      </c>
      <c r="I9" s="15">
        <f>G9-H9</f>
        <v>291.51200000000006</v>
      </c>
      <c r="J9" s="8">
        <f t="shared" si="1"/>
        <v>0</v>
      </c>
    </row>
    <row r="10" spans="2:10" ht="15" customHeight="1">
      <c r="B10" s="518"/>
      <c r="C10" s="130" t="s">
        <v>36</v>
      </c>
      <c r="D10" s="130" t="s">
        <v>12</v>
      </c>
      <c r="E10" s="131">
        <v>16</v>
      </c>
      <c r="F10" s="132">
        <v>0</v>
      </c>
      <c r="G10" s="133">
        <f>E10+I9+F10</f>
        <v>307.51200000000006</v>
      </c>
      <c r="H10" s="149">
        <f>+'Control Cuota Artesanal III-IV'!H23</f>
        <v>0</v>
      </c>
      <c r="I10" s="143">
        <f t="shared" si="0"/>
        <v>307.51200000000006</v>
      </c>
      <c r="J10" s="134">
        <f t="shared" si="1"/>
        <v>0</v>
      </c>
    </row>
    <row r="11" spans="2:10" ht="15" customHeight="1">
      <c r="B11" s="518"/>
      <c r="C11" s="514" t="s">
        <v>57</v>
      </c>
      <c r="D11" s="89" t="s">
        <v>31</v>
      </c>
      <c r="E11" s="107">
        <f>+'Control Cuota LTP III-IV'!E37</f>
        <v>89.999990999999994</v>
      </c>
      <c r="F11" s="94">
        <f>+'Control Cuota LTP III-IV'!F37</f>
        <v>0</v>
      </c>
      <c r="G11" s="99">
        <f>E11+F11</f>
        <v>89.999990999999994</v>
      </c>
      <c r="H11" s="13">
        <f>+'Control Cuota LTP III-IV'!H37</f>
        <v>0</v>
      </c>
      <c r="I11" s="108">
        <f t="shared" ref="I11:I13" si="2">G11-H11</f>
        <v>89.999990999999994</v>
      </c>
      <c r="J11" s="101">
        <f t="shared" ref="J11:J14" si="3">H11/G11</f>
        <v>0</v>
      </c>
    </row>
    <row r="12" spans="2:10" ht="15" customHeight="1">
      <c r="B12" s="518"/>
      <c r="C12" s="515"/>
      <c r="D12" s="88" t="s">
        <v>32</v>
      </c>
      <c r="E12" s="109">
        <f>+'Control Cuota LTP III-IV'!E38</f>
        <v>9.9999990000000007</v>
      </c>
      <c r="F12" s="10">
        <f>+'Control Cuota LTP III-IV'!F38</f>
        <v>0</v>
      </c>
      <c r="G12" s="17">
        <f>E12+I11+F12</f>
        <v>99.999989999999997</v>
      </c>
      <c r="H12" s="12">
        <f>+'Control Cuota LTP III-IV'!H38</f>
        <v>0</v>
      </c>
      <c r="I12" s="19">
        <f t="shared" si="2"/>
        <v>99.999989999999997</v>
      </c>
      <c r="J12" s="20">
        <f t="shared" si="3"/>
        <v>0</v>
      </c>
    </row>
    <row r="13" spans="2:10" ht="15" customHeight="1">
      <c r="B13" s="518"/>
      <c r="C13" s="516" t="s">
        <v>58</v>
      </c>
      <c r="D13" s="89" t="s">
        <v>31</v>
      </c>
      <c r="E13" s="83">
        <f>+'Control Cuota LTP III-IV'!K37</f>
        <v>691.9999307999999</v>
      </c>
      <c r="F13" s="94">
        <f>+'Control Cuota LTP III-IV'!L37</f>
        <v>83.843000000000004</v>
      </c>
      <c r="G13" s="99">
        <f>E13+F13</f>
        <v>775.84293079999986</v>
      </c>
      <c r="H13" s="96">
        <f>+'Control Cuota LTP III-IV'!T37</f>
        <v>304.40899999999999</v>
      </c>
      <c r="I13" s="100">
        <f t="shared" si="2"/>
        <v>471.43393079999987</v>
      </c>
      <c r="J13" s="101">
        <f t="shared" si="3"/>
        <v>0.39235905608640759</v>
      </c>
    </row>
    <row r="14" spans="2:10" ht="15" customHeight="1">
      <c r="B14" s="518"/>
      <c r="C14" s="517"/>
      <c r="D14" s="90" t="s">
        <v>32</v>
      </c>
      <c r="E14" s="84">
        <f>+'Control Cuota LTP III-IV'!K38</f>
        <v>76.999992300000017</v>
      </c>
      <c r="F14" s="11">
        <f>+'Control Cuota LTP III-IV'!L38</f>
        <v>0</v>
      </c>
      <c r="G14" s="18">
        <f>E14+I13+F14</f>
        <v>548.4339230999999</v>
      </c>
      <c r="H14" s="13">
        <f>+'Control Cuota LTP III-IV'!T38</f>
        <v>0</v>
      </c>
      <c r="I14" s="21">
        <f>G14-H14</f>
        <v>548.4339230999999</v>
      </c>
      <c r="J14" s="91">
        <f t="shared" si="3"/>
        <v>0</v>
      </c>
    </row>
    <row r="15" spans="2:10" ht="29.4" customHeight="1" thickBot="1">
      <c r="B15" s="519"/>
      <c r="C15" s="512" t="s">
        <v>39</v>
      </c>
      <c r="D15" s="513"/>
      <c r="E15" s="191">
        <f>SUM(E6:E14)</f>
        <v>1537.9999131</v>
      </c>
      <c r="F15" s="192">
        <f>SUM(F6:F14)</f>
        <v>0</v>
      </c>
      <c r="G15" s="193">
        <f>+E15+F15</f>
        <v>1537.9999131</v>
      </c>
      <c r="H15" s="192">
        <f>SUM(H6:H14)</f>
        <v>552.05399999999997</v>
      </c>
      <c r="I15" s="194">
        <f>+G15-H15</f>
        <v>985.94591309999998</v>
      </c>
      <c r="J15" s="195">
        <f t="shared" ref="J15" si="4">H15/G15</f>
        <v>0.358942803115819</v>
      </c>
    </row>
    <row r="16" spans="2:10" ht="15" customHeight="1">
      <c r="F16" s="444"/>
    </row>
    <row r="17" spans="1:10" ht="15" thickBot="1">
      <c r="F17" s="444"/>
    </row>
    <row r="18" spans="1:10" ht="22.35" customHeight="1">
      <c r="B18" s="487" t="s">
        <v>132</v>
      </c>
      <c r="C18" s="488"/>
      <c r="D18" s="488"/>
      <c r="E18" s="488"/>
      <c r="F18" s="488"/>
      <c r="G18" s="488"/>
      <c r="H18" s="488"/>
      <c r="I18" s="488"/>
      <c r="J18" s="489"/>
    </row>
    <row r="19" spans="1:10" ht="7.95" customHeight="1">
      <c r="B19" s="509"/>
      <c r="C19" s="510"/>
      <c r="D19" s="510"/>
      <c r="E19" s="510"/>
      <c r="F19" s="510"/>
      <c r="G19" s="510"/>
      <c r="H19" s="510"/>
      <c r="I19" s="510"/>
      <c r="J19" s="511"/>
    </row>
    <row r="20" spans="1:10" ht="22.35" customHeight="1">
      <c r="B20" s="523">
        <f>+'Resumen anual'!B18:I18</f>
        <v>43607</v>
      </c>
      <c r="C20" s="524"/>
      <c r="D20" s="524"/>
      <c r="E20" s="524"/>
      <c r="F20" s="524"/>
      <c r="G20" s="524"/>
      <c r="H20" s="524"/>
      <c r="I20" s="524"/>
      <c r="J20" s="525"/>
    </row>
    <row r="21" spans="1:10" ht="33.6" customHeight="1">
      <c r="B21" s="66" t="s">
        <v>37</v>
      </c>
      <c r="C21" s="59" t="s">
        <v>83</v>
      </c>
      <c r="D21" s="63" t="s">
        <v>1</v>
      </c>
      <c r="E21" s="59" t="s">
        <v>68</v>
      </c>
      <c r="F21" s="59" t="s">
        <v>3</v>
      </c>
      <c r="G21" s="59" t="s">
        <v>4</v>
      </c>
      <c r="H21" s="59" t="s">
        <v>5</v>
      </c>
      <c r="I21" s="59" t="s">
        <v>6</v>
      </c>
      <c r="J21" s="67" t="s">
        <v>23</v>
      </c>
    </row>
    <row r="22" spans="1:10" ht="22.35" customHeight="1">
      <c r="B22" s="503" t="s">
        <v>146</v>
      </c>
      <c r="C22" s="526" t="s">
        <v>59</v>
      </c>
      <c r="D22" s="60" t="s">
        <v>31</v>
      </c>
      <c r="E22" s="64">
        <f>+'Control Cuota Licitada V-VIII '!F36</f>
        <v>794.002381206</v>
      </c>
      <c r="F22" s="58">
        <f>+'Control Cuota Licitada V-VIII '!G36</f>
        <v>19.600000000000001</v>
      </c>
      <c r="G22" s="72">
        <f>+E22+F22</f>
        <v>813.60238120600002</v>
      </c>
      <c r="H22" s="46">
        <f>+'Control Cuota Licitada V-VIII '!I36</f>
        <v>485.95500000000004</v>
      </c>
      <c r="I22" s="54">
        <f>G22-H22</f>
        <v>327.64738120599998</v>
      </c>
      <c r="J22" s="73">
        <f t="shared" ref="J22:J26" si="5">H22/G22</f>
        <v>0.59728807489436131</v>
      </c>
    </row>
    <row r="23" spans="1:10" ht="22.35" customHeight="1">
      <c r="B23" s="503"/>
      <c r="C23" s="526"/>
      <c r="D23" s="61" t="s">
        <v>32</v>
      </c>
      <c r="E23" s="64">
        <f>+'Control Cuota Licitada V-VIII '!F37</f>
        <v>88.000263911999994</v>
      </c>
      <c r="F23" s="58">
        <f>+'Control Cuota Licitada V-VIII '!G37</f>
        <v>0</v>
      </c>
      <c r="G23" s="72">
        <f>+E23+F23+I22</f>
        <v>415.64764511799996</v>
      </c>
      <c r="H23" s="46">
        <f>+'Control Cuota Licitada V-VIII '!I37</f>
        <v>0</v>
      </c>
      <c r="I23" s="54">
        <f t="shared" ref="I23:I24" si="6">G23-H23</f>
        <v>415.64764511799996</v>
      </c>
      <c r="J23" s="73">
        <f t="shared" si="5"/>
        <v>0</v>
      </c>
    </row>
    <row r="24" spans="1:10" ht="22.35" customHeight="1">
      <c r="B24" s="503"/>
      <c r="C24" s="526" t="s">
        <v>60</v>
      </c>
      <c r="D24" s="62" t="s">
        <v>31</v>
      </c>
      <c r="E24" s="65">
        <f>+'Control Cuota Licitada V-VIII '!L36</f>
        <v>970.00290903000007</v>
      </c>
      <c r="F24" s="68">
        <f>+'Control Cuota Licitada V-VIII '!M36</f>
        <v>1.5973999999999648</v>
      </c>
      <c r="G24" s="74">
        <f>+E24+F24</f>
        <v>971.60030903000006</v>
      </c>
      <c r="H24" s="75">
        <f>+'Control Cuota Licitada V-VIII '!O36</f>
        <v>331.53</v>
      </c>
      <c r="I24" s="76">
        <f t="shared" si="6"/>
        <v>640.07030903000009</v>
      </c>
      <c r="J24" s="77">
        <f t="shared" si="5"/>
        <v>0.34122055841149729</v>
      </c>
    </row>
    <row r="25" spans="1:10" ht="22.35" customHeight="1">
      <c r="B25" s="503"/>
      <c r="C25" s="527"/>
      <c r="D25" s="60" t="s">
        <v>32</v>
      </c>
      <c r="E25" s="64">
        <f>+'Control Cuota Licitada V-VIII '!L37</f>
        <v>108.00032389199998</v>
      </c>
      <c r="F25" s="58">
        <f>+'Control Cuota Licitada V-VIII '!M37</f>
        <v>0</v>
      </c>
      <c r="G25" s="72">
        <f>+E25+F25+I24</f>
        <v>748.07063292200007</v>
      </c>
      <c r="H25" s="46">
        <f>+'Control Cuota Licitada V-VIII '!O37</f>
        <v>0</v>
      </c>
      <c r="I25" s="54">
        <f>G25-H25</f>
        <v>748.07063292200007</v>
      </c>
      <c r="J25" s="73">
        <f t="shared" si="5"/>
        <v>0</v>
      </c>
    </row>
    <row r="26" spans="1:10" ht="22.35" customHeight="1">
      <c r="B26" s="504"/>
      <c r="C26" s="102" t="s">
        <v>85</v>
      </c>
      <c r="D26" s="102" t="s">
        <v>12</v>
      </c>
      <c r="E26" s="103">
        <v>25</v>
      </c>
      <c r="F26" s="94">
        <v>0</v>
      </c>
      <c r="G26" s="104">
        <f>E26+F26</f>
        <v>25</v>
      </c>
      <c r="H26" s="96">
        <v>0.66700000000000004</v>
      </c>
      <c r="I26" s="105">
        <f t="shared" ref="I26" si="7">G26-H26</f>
        <v>24.332999999999998</v>
      </c>
      <c r="J26" s="106">
        <f t="shared" si="5"/>
        <v>2.6680000000000002E-2</v>
      </c>
    </row>
    <row r="27" spans="1:10" ht="32.1" customHeight="1" thickBot="1">
      <c r="B27" s="505"/>
      <c r="C27" s="501" t="s">
        <v>40</v>
      </c>
      <c r="D27" s="502"/>
      <c r="E27" s="69">
        <f>SUM(E21:E25)</f>
        <v>1960.00587804</v>
      </c>
      <c r="F27" s="69">
        <f>SUM(F22:F25)</f>
        <v>21.197399999999966</v>
      </c>
      <c r="G27" s="70">
        <f>+E27+F27</f>
        <v>1981.20327804</v>
      </c>
      <c r="H27" s="69">
        <f>SUM(H21:H25)</f>
        <v>817.48500000000001</v>
      </c>
      <c r="I27" s="69">
        <f>+G27-H27</f>
        <v>1163.7182780399999</v>
      </c>
      <c r="J27" s="71">
        <f t="shared" ref="J27" si="8">H27/G27</f>
        <v>0.41262045599315589</v>
      </c>
    </row>
    <row r="28" spans="1:10" ht="22.35" customHeight="1"/>
    <row r="29" spans="1:10" ht="22.35" customHeight="1">
      <c r="A29" s="447"/>
      <c r="B29" s="447"/>
      <c r="C29" s="447"/>
      <c r="D29" s="447"/>
      <c r="E29" s="447"/>
      <c r="F29" s="448"/>
      <c r="G29" s="447"/>
      <c r="H29" s="447"/>
      <c r="I29" s="447"/>
      <c r="J29" s="447"/>
    </row>
    <row r="30" spans="1:10" ht="22.35" customHeight="1"/>
    <row r="31" spans="1:10" ht="22.35" customHeight="1"/>
    <row r="32" spans="1:10" ht="22.35" customHeight="1"/>
    <row r="33" ht="22.35" customHeight="1"/>
    <row r="34" ht="22.35" customHeight="1"/>
    <row r="35" ht="22.35" customHeight="1"/>
    <row r="36" ht="22.35" customHeight="1"/>
    <row r="37" ht="22.35" customHeight="1"/>
    <row r="38" ht="22.35" customHeight="1"/>
  </sheetData>
  <mergeCells count="16">
    <mergeCell ref="B2:J2"/>
    <mergeCell ref="C6:C7"/>
    <mergeCell ref="C8:C9"/>
    <mergeCell ref="C27:D27"/>
    <mergeCell ref="B22:B27"/>
    <mergeCell ref="B3:J3"/>
    <mergeCell ref="B19:J19"/>
    <mergeCell ref="C15:D15"/>
    <mergeCell ref="C11:C12"/>
    <mergeCell ref="C13:C14"/>
    <mergeCell ref="B6:B15"/>
    <mergeCell ref="B4:J4"/>
    <mergeCell ref="B20:J20"/>
    <mergeCell ref="B18:J18"/>
    <mergeCell ref="C22:C23"/>
    <mergeCell ref="C24:C25"/>
  </mergeCells>
  <pageMargins left="0.7" right="0.7" top="0.75" bottom="0.75" header="0.3" footer="0.3"/>
  <pageSetup orientation="portrait" r:id="rId1"/>
  <ignoredErrors>
    <ignoredError sqref="G7:G9 G27 G23:G25 G11:G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T39"/>
  <sheetViews>
    <sheetView zoomScale="66" zoomScaleNormal="66" workbookViewId="0">
      <pane xSplit="4" ySplit="6" topLeftCell="E13" activePane="bottomRight" state="frozen"/>
      <selection pane="topRight" activeCell="E1" sqref="E1"/>
      <selection pane="bottomLeft" activeCell="A7" sqref="A7"/>
      <selection pane="bottomRight" activeCell="F34" sqref="F34"/>
    </sheetView>
  </sheetViews>
  <sheetFormatPr baseColWidth="10" defaultRowHeight="14.4"/>
  <cols>
    <col min="1" max="1" width="7.5546875" style="444" customWidth="1"/>
    <col min="2" max="2" width="18.44140625" style="444" customWidth="1"/>
    <col min="3" max="3" width="19.5546875" style="444" customWidth="1"/>
    <col min="4" max="5" width="12" style="444" customWidth="1"/>
    <col min="6" max="6" width="10.6640625" style="444" customWidth="1"/>
    <col min="7" max="7" width="12.44140625" style="444" customWidth="1"/>
    <col min="8" max="8" width="13.5546875" style="444" customWidth="1"/>
    <col min="9" max="9" width="14" style="444" customWidth="1"/>
    <col min="10" max="10" width="14.109375" style="444" customWidth="1"/>
    <col min="11" max="11" width="13.33203125" style="444" customWidth="1"/>
    <col min="12" max="12" width="4.33203125" style="444" customWidth="1"/>
    <col min="13" max="13" width="14.109375" style="444" customWidth="1"/>
    <col min="14" max="14" width="12.5546875" style="444" customWidth="1"/>
    <col min="15" max="15" width="13.109375" style="444" customWidth="1"/>
    <col min="16" max="17" width="11.44140625" style="444"/>
    <col min="18" max="18" width="14.88671875" style="444" customWidth="1"/>
    <col min="19" max="21" width="11.44140625" style="444"/>
    <col min="22" max="22" width="2.5546875" style="444" customWidth="1"/>
    <col min="23" max="16384" width="11.5546875" style="444"/>
  </cols>
  <sheetData>
    <row r="1" spans="1:20" ht="15" thickBot="1"/>
    <row r="2" spans="1:20" ht="31.35" customHeight="1">
      <c r="B2" s="529" t="s">
        <v>133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1"/>
    </row>
    <row r="3" spans="1:20" ht="21" customHeight="1" thickBot="1">
      <c r="B3" s="552">
        <f>+'Resumen anual'!B4</f>
        <v>43607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4"/>
    </row>
    <row r="4" spans="1:20" ht="15" thickBot="1"/>
    <row r="5" spans="1:20" ht="20.100000000000001" customHeight="1" thickBot="1">
      <c r="A5" s="454"/>
      <c r="B5" s="550" t="s">
        <v>0</v>
      </c>
      <c r="C5" s="548" t="s">
        <v>53</v>
      </c>
      <c r="D5" s="545" t="s">
        <v>66</v>
      </c>
      <c r="E5" s="546"/>
      <c r="F5" s="546"/>
      <c r="G5" s="546"/>
      <c r="H5" s="546"/>
      <c r="I5" s="546"/>
      <c r="J5" s="546"/>
      <c r="K5" s="547"/>
      <c r="L5" s="454"/>
      <c r="M5" s="532" t="s">
        <v>67</v>
      </c>
      <c r="N5" s="533"/>
      <c r="O5" s="533"/>
      <c r="P5" s="533"/>
      <c r="Q5" s="533"/>
      <c r="R5" s="534"/>
      <c r="S5" s="454"/>
      <c r="T5" s="454"/>
    </row>
    <row r="6" spans="1:20" ht="29.4" thickBot="1">
      <c r="A6" s="454"/>
      <c r="B6" s="551"/>
      <c r="C6" s="549"/>
      <c r="D6" s="129" t="s">
        <v>1</v>
      </c>
      <c r="E6" s="41" t="s">
        <v>2</v>
      </c>
      <c r="F6" s="41" t="s">
        <v>74</v>
      </c>
      <c r="G6" s="41" t="s">
        <v>4</v>
      </c>
      <c r="H6" s="41" t="s">
        <v>5</v>
      </c>
      <c r="I6" s="41" t="s">
        <v>6</v>
      </c>
      <c r="J6" s="41" t="s">
        <v>25</v>
      </c>
      <c r="K6" s="42" t="s">
        <v>8</v>
      </c>
      <c r="L6" s="454"/>
      <c r="M6" s="39" t="s">
        <v>2</v>
      </c>
      <c r="N6" s="40" t="s">
        <v>74</v>
      </c>
      <c r="O6" s="40" t="s">
        <v>4</v>
      </c>
      <c r="P6" s="41" t="s">
        <v>5</v>
      </c>
      <c r="Q6" s="42" t="s">
        <v>6</v>
      </c>
      <c r="R6" s="38" t="s">
        <v>7</v>
      </c>
      <c r="S6" s="454"/>
      <c r="T6" s="454"/>
    </row>
    <row r="7" spans="1:20" ht="22.35" customHeight="1">
      <c r="A7" s="454"/>
      <c r="B7" s="535" t="s">
        <v>10</v>
      </c>
      <c r="C7" s="537" t="s">
        <v>108</v>
      </c>
      <c r="D7" s="162" t="s">
        <v>11</v>
      </c>
      <c r="E7" s="43">
        <v>27</v>
      </c>
      <c r="F7" s="44"/>
      <c r="G7" s="43">
        <f>E7+F7</f>
        <v>27</v>
      </c>
      <c r="H7" s="44"/>
      <c r="I7" s="43">
        <f t="shared" ref="I7:I13" si="0">G7-H7</f>
        <v>27</v>
      </c>
      <c r="J7" s="45">
        <f t="shared" ref="J7:J12" si="1">H7/G7</f>
        <v>0</v>
      </c>
      <c r="K7" s="137" t="s">
        <v>116</v>
      </c>
      <c r="L7" s="454"/>
      <c r="M7" s="539">
        <f>E7+E8</f>
        <v>30</v>
      </c>
      <c r="N7" s="541">
        <f>F7+F8</f>
        <v>0</v>
      </c>
      <c r="O7" s="541">
        <f>M7+N7</f>
        <v>30</v>
      </c>
      <c r="P7" s="541">
        <f>H7+H8</f>
        <v>0</v>
      </c>
      <c r="Q7" s="541">
        <f>O7-P7</f>
        <v>30</v>
      </c>
      <c r="R7" s="543">
        <f>P7/O7</f>
        <v>0</v>
      </c>
      <c r="S7" s="454"/>
      <c r="T7" s="454"/>
    </row>
    <row r="8" spans="1:20" ht="22.35" customHeight="1" thickBot="1">
      <c r="A8" s="454"/>
      <c r="B8" s="536"/>
      <c r="C8" s="538"/>
      <c r="D8" s="246" t="s">
        <v>9</v>
      </c>
      <c r="E8" s="247">
        <v>3</v>
      </c>
      <c r="F8" s="248"/>
      <c r="G8" s="247">
        <f>E8+F8+I7</f>
        <v>30</v>
      </c>
      <c r="H8" s="248"/>
      <c r="I8" s="247">
        <f t="shared" si="0"/>
        <v>30</v>
      </c>
      <c r="J8" s="249">
        <f t="shared" si="1"/>
        <v>0</v>
      </c>
      <c r="K8" s="250" t="s">
        <v>116</v>
      </c>
      <c r="L8" s="454"/>
      <c r="M8" s="540"/>
      <c r="N8" s="542"/>
      <c r="O8" s="542"/>
      <c r="P8" s="542"/>
      <c r="Q8" s="542"/>
      <c r="R8" s="544"/>
      <c r="S8" s="454"/>
      <c r="T8" s="454"/>
    </row>
    <row r="9" spans="1:20" ht="22.35" customHeight="1">
      <c r="A9" s="454"/>
      <c r="B9" s="528" t="s">
        <v>14</v>
      </c>
      <c r="C9" s="537" t="s">
        <v>111</v>
      </c>
      <c r="D9" s="162" t="s">
        <v>11</v>
      </c>
      <c r="E9" s="44">
        <v>113.883</v>
      </c>
      <c r="F9" s="44"/>
      <c r="G9" s="227">
        <f>E9+F9</f>
        <v>113.883</v>
      </c>
      <c r="H9" s="256">
        <f>+C31</f>
        <v>55.704999999999998</v>
      </c>
      <c r="I9" s="228">
        <f t="shared" si="0"/>
        <v>58.177999999999997</v>
      </c>
      <c r="J9" s="45">
        <f t="shared" si="1"/>
        <v>0.48914236541011391</v>
      </c>
      <c r="K9" s="229" t="s">
        <v>116</v>
      </c>
      <c r="L9" s="454"/>
      <c r="M9" s="557">
        <f>E9+E10</f>
        <v>126.46899999999999</v>
      </c>
      <c r="N9" s="558">
        <f>F9+F10</f>
        <v>0</v>
      </c>
      <c r="O9" s="558">
        <f>M9+N9</f>
        <v>126.46899999999999</v>
      </c>
      <c r="P9" s="558">
        <f>H9+H10</f>
        <v>55.704999999999998</v>
      </c>
      <c r="Q9" s="558">
        <f>O9-P9</f>
        <v>70.763999999999996</v>
      </c>
      <c r="R9" s="559">
        <f>P9/O9</f>
        <v>0.44046367093912342</v>
      </c>
      <c r="S9" s="454"/>
      <c r="T9" s="454"/>
    </row>
    <row r="10" spans="1:20" ht="22.35" customHeight="1">
      <c r="A10" s="454"/>
      <c r="B10" s="528"/>
      <c r="C10" s="538" t="s">
        <v>111</v>
      </c>
      <c r="D10" s="257" t="s">
        <v>9</v>
      </c>
      <c r="E10" s="258">
        <v>12.586</v>
      </c>
      <c r="F10" s="258"/>
      <c r="G10" s="259">
        <f>E10+F10+I9</f>
        <v>70.763999999999996</v>
      </c>
      <c r="H10" s="260"/>
      <c r="I10" s="261">
        <f t="shared" si="0"/>
        <v>70.763999999999996</v>
      </c>
      <c r="J10" s="262">
        <f t="shared" si="1"/>
        <v>0</v>
      </c>
      <c r="K10" s="263" t="s">
        <v>116</v>
      </c>
      <c r="L10" s="454"/>
      <c r="M10" s="557"/>
      <c r="N10" s="558"/>
      <c r="O10" s="558"/>
      <c r="P10" s="558"/>
      <c r="Q10" s="558"/>
      <c r="R10" s="560"/>
      <c r="S10" s="454"/>
      <c r="T10" s="454"/>
    </row>
    <row r="11" spans="1:20" ht="22.35" customHeight="1">
      <c r="A11" s="454"/>
      <c r="B11" s="528"/>
      <c r="C11" s="556" t="s">
        <v>120</v>
      </c>
      <c r="D11" s="257" t="s">
        <v>11</v>
      </c>
      <c r="E11" s="258">
        <v>107.712</v>
      </c>
      <c r="F11" s="258"/>
      <c r="G11" s="259">
        <f>E11+F11</f>
        <v>107.712</v>
      </c>
      <c r="H11" s="264">
        <f>+C32</f>
        <v>66.584999999999994</v>
      </c>
      <c r="I11" s="261">
        <f t="shared" si="0"/>
        <v>41.12700000000001</v>
      </c>
      <c r="J11" s="262">
        <f t="shared" si="1"/>
        <v>0.61817624777183589</v>
      </c>
      <c r="K11" s="263" t="s">
        <v>116</v>
      </c>
      <c r="L11" s="454"/>
      <c r="M11" s="557">
        <f>E11+E12</f>
        <v>119.616</v>
      </c>
      <c r="N11" s="558">
        <f>F11+F12</f>
        <v>0</v>
      </c>
      <c r="O11" s="558">
        <f>M11+N11</f>
        <v>119.616</v>
      </c>
      <c r="P11" s="558">
        <f>H11+H12</f>
        <v>66.584999999999994</v>
      </c>
      <c r="Q11" s="558">
        <f>O11-P11</f>
        <v>53.031000000000006</v>
      </c>
      <c r="R11" s="561">
        <f>P11/O11</f>
        <v>0.5566563001605136</v>
      </c>
      <c r="S11" s="454"/>
      <c r="T11" s="454"/>
    </row>
    <row r="12" spans="1:20" ht="22.35" customHeight="1" thickBot="1">
      <c r="A12" s="454"/>
      <c r="B12" s="528"/>
      <c r="C12" s="556"/>
      <c r="D12" s="257" t="s">
        <v>9</v>
      </c>
      <c r="E12" s="258">
        <v>11.904</v>
      </c>
      <c r="F12" s="258"/>
      <c r="G12" s="259">
        <f>E12+F12+I11</f>
        <v>53.031000000000006</v>
      </c>
      <c r="H12" s="265"/>
      <c r="I12" s="261">
        <f t="shared" si="0"/>
        <v>53.031000000000006</v>
      </c>
      <c r="J12" s="262">
        <f t="shared" si="1"/>
        <v>0</v>
      </c>
      <c r="K12" s="263" t="s">
        <v>116</v>
      </c>
      <c r="L12" s="454"/>
      <c r="M12" s="557"/>
      <c r="N12" s="558"/>
      <c r="O12" s="558"/>
      <c r="P12" s="558"/>
      <c r="Q12" s="558"/>
      <c r="R12" s="561"/>
      <c r="S12" s="454"/>
      <c r="T12" s="454"/>
    </row>
    <row r="13" spans="1:20" ht="22.35" customHeight="1">
      <c r="A13" s="454"/>
      <c r="B13" s="528"/>
      <c r="C13" s="555" t="s">
        <v>109</v>
      </c>
      <c r="D13" s="163" t="s">
        <v>11</v>
      </c>
      <c r="E13" s="126">
        <v>158.202</v>
      </c>
      <c r="F13" s="126">
        <v>-83.843000000000004</v>
      </c>
      <c r="G13" s="127">
        <f>E13+F13</f>
        <v>74.358999999999995</v>
      </c>
      <c r="H13" s="264">
        <f>+C33</f>
        <v>44.090999999999994</v>
      </c>
      <c r="I13" s="57">
        <f t="shared" si="0"/>
        <v>30.268000000000001</v>
      </c>
      <c r="J13" s="128">
        <f t="shared" ref="J13:J18" si="2">H13/G13</f>
        <v>0.59294772656974937</v>
      </c>
      <c r="K13" s="141" t="s">
        <v>116</v>
      </c>
      <c r="L13" s="454"/>
      <c r="M13" s="539">
        <f>E13+E14</f>
        <v>175.68600000000001</v>
      </c>
      <c r="N13" s="541">
        <f>F13+F14</f>
        <v>-83.843000000000004</v>
      </c>
      <c r="O13" s="541">
        <f>M13+N13</f>
        <v>91.843000000000004</v>
      </c>
      <c r="P13" s="541">
        <f>H13+H14</f>
        <v>44.090999999999994</v>
      </c>
      <c r="Q13" s="541">
        <f>O13-P13</f>
        <v>47.75200000000001</v>
      </c>
      <c r="R13" s="559">
        <f>P13/O13</f>
        <v>0.48006924860903927</v>
      </c>
      <c r="S13" s="454"/>
      <c r="T13" s="454"/>
    </row>
    <row r="14" spans="1:20" ht="22.35" customHeight="1">
      <c r="A14" s="454"/>
      <c r="B14" s="528"/>
      <c r="C14" s="556"/>
      <c r="D14" s="257" t="s">
        <v>9</v>
      </c>
      <c r="E14" s="258">
        <v>17.484000000000002</v>
      </c>
      <c r="F14" s="258"/>
      <c r="G14" s="259">
        <f>E14+F14+I13</f>
        <v>47.752000000000002</v>
      </c>
      <c r="H14" s="265"/>
      <c r="I14" s="261">
        <f t="shared" ref="I14:I18" si="3">G14-H14</f>
        <v>47.752000000000002</v>
      </c>
      <c r="J14" s="262">
        <f t="shared" si="2"/>
        <v>0</v>
      </c>
      <c r="K14" s="263" t="s">
        <v>116</v>
      </c>
      <c r="L14" s="454"/>
      <c r="M14" s="557"/>
      <c r="N14" s="558"/>
      <c r="O14" s="558"/>
      <c r="P14" s="558"/>
      <c r="Q14" s="558"/>
      <c r="R14" s="560"/>
      <c r="S14" s="454"/>
      <c r="T14" s="454"/>
    </row>
    <row r="15" spans="1:20" ht="22.35" customHeight="1">
      <c r="A15" s="454"/>
      <c r="B15" s="528"/>
      <c r="C15" s="556" t="s">
        <v>110</v>
      </c>
      <c r="D15" s="257" t="s">
        <v>11</v>
      </c>
      <c r="E15" s="258">
        <v>147.54300000000001</v>
      </c>
      <c r="F15" s="258"/>
      <c r="G15" s="259">
        <f>E15+F15</f>
        <v>147.54300000000001</v>
      </c>
      <c r="H15" s="264">
        <f>+C35</f>
        <v>67.539000000000001</v>
      </c>
      <c r="I15" s="261">
        <f t="shared" si="3"/>
        <v>80.004000000000005</v>
      </c>
      <c r="J15" s="262">
        <f t="shared" si="2"/>
        <v>0.45775807730627682</v>
      </c>
      <c r="K15" s="263" t="s">
        <v>116</v>
      </c>
      <c r="L15" s="454"/>
      <c r="M15" s="557">
        <f>E15+E16</f>
        <v>163.84900000000002</v>
      </c>
      <c r="N15" s="558">
        <f>F15+F16</f>
        <v>0</v>
      </c>
      <c r="O15" s="558">
        <f>M15+N15</f>
        <v>163.84900000000002</v>
      </c>
      <c r="P15" s="558">
        <f>H15+H16</f>
        <v>67.539000000000001</v>
      </c>
      <c r="Q15" s="558">
        <f>O15-P15</f>
        <v>96.310000000000016</v>
      </c>
      <c r="R15" s="559">
        <f>P15/O15</f>
        <v>0.4122026988263584</v>
      </c>
      <c r="S15" s="454"/>
      <c r="T15" s="454"/>
    </row>
    <row r="16" spans="1:20" ht="22.35" customHeight="1">
      <c r="A16" s="454"/>
      <c r="B16" s="528"/>
      <c r="C16" s="556" t="s">
        <v>110</v>
      </c>
      <c r="D16" s="257" t="s">
        <v>9</v>
      </c>
      <c r="E16" s="258">
        <v>16.306000000000001</v>
      </c>
      <c r="F16" s="258"/>
      <c r="G16" s="259">
        <f>E16+F16+I15</f>
        <v>96.31</v>
      </c>
      <c r="H16" s="265"/>
      <c r="I16" s="261">
        <f t="shared" si="3"/>
        <v>96.31</v>
      </c>
      <c r="J16" s="262">
        <f t="shared" si="2"/>
        <v>0</v>
      </c>
      <c r="K16" s="263" t="s">
        <v>116</v>
      </c>
      <c r="L16" s="454"/>
      <c r="M16" s="557"/>
      <c r="N16" s="558"/>
      <c r="O16" s="558"/>
      <c r="P16" s="558"/>
      <c r="Q16" s="558"/>
      <c r="R16" s="560"/>
      <c r="S16" s="454"/>
      <c r="T16" s="454"/>
    </row>
    <row r="17" spans="1:20" ht="22.35" customHeight="1">
      <c r="A17" s="454"/>
      <c r="B17" s="528"/>
      <c r="C17" s="556" t="s">
        <v>112</v>
      </c>
      <c r="D17" s="257" t="s">
        <v>11</v>
      </c>
      <c r="E17" s="258">
        <v>33.659999999999997</v>
      </c>
      <c r="F17" s="258"/>
      <c r="G17" s="259">
        <f>E17+F17</f>
        <v>33.659999999999997</v>
      </c>
      <c r="H17" s="264">
        <f>+C34</f>
        <v>13.725000000000001</v>
      </c>
      <c r="I17" s="261">
        <f>G17-H17</f>
        <v>19.934999999999995</v>
      </c>
      <c r="J17" s="262">
        <f t="shared" si="2"/>
        <v>0.40775401069518724</v>
      </c>
      <c r="K17" s="263" t="s">
        <v>116</v>
      </c>
      <c r="L17" s="454"/>
      <c r="M17" s="557">
        <f>E17+E18</f>
        <v>37.379999999999995</v>
      </c>
      <c r="N17" s="558">
        <f>F17+F18</f>
        <v>0</v>
      </c>
      <c r="O17" s="558">
        <f>M17+N17</f>
        <v>37.379999999999995</v>
      </c>
      <c r="P17" s="558">
        <f>H17+H18</f>
        <v>13.725000000000001</v>
      </c>
      <c r="Q17" s="558">
        <f>O17-P17</f>
        <v>23.654999999999994</v>
      </c>
      <c r="R17" s="559">
        <f>P17/O17</f>
        <v>0.36717495987158916</v>
      </c>
      <c r="S17" s="454"/>
      <c r="T17" s="454"/>
    </row>
    <row r="18" spans="1:20" ht="22.35" customHeight="1" thickBot="1">
      <c r="A18" s="454"/>
      <c r="B18" s="528"/>
      <c r="C18" s="563" t="s">
        <v>112</v>
      </c>
      <c r="D18" s="266" t="s">
        <v>9</v>
      </c>
      <c r="E18" s="164">
        <v>3.72</v>
      </c>
      <c r="F18" s="164"/>
      <c r="G18" s="267">
        <f>E18+F18+I17</f>
        <v>23.654999999999994</v>
      </c>
      <c r="H18" s="268"/>
      <c r="I18" s="269">
        <f t="shared" si="3"/>
        <v>23.654999999999994</v>
      </c>
      <c r="J18" s="165">
        <f t="shared" si="2"/>
        <v>0</v>
      </c>
      <c r="K18" s="168" t="s">
        <v>116</v>
      </c>
      <c r="L18" s="454"/>
      <c r="M18" s="564"/>
      <c r="N18" s="565"/>
      <c r="O18" s="565"/>
      <c r="P18" s="565"/>
      <c r="Q18" s="565"/>
      <c r="R18" s="562"/>
      <c r="S18" s="454"/>
      <c r="T18" s="454"/>
    </row>
    <row r="19" spans="1:20" ht="17.399999999999999" customHeight="1">
      <c r="A19" s="454"/>
      <c r="B19" s="576" t="s">
        <v>144</v>
      </c>
      <c r="C19" s="577"/>
      <c r="D19" s="251" t="s">
        <v>11</v>
      </c>
      <c r="E19" s="230">
        <f>+E7+E13+E15+E9+E11+E17</f>
        <v>588</v>
      </c>
      <c r="F19" s="230">
        <f>+F7+F13+F15+F9+F11+F17</f>
        <v>-83.843000000000004</v>
      </c>
      <c r="G19" s="252">
        <f>+F19+E19</f>
        <v>504.15699999999998</v>
      </c>
      <c r="H19" s="230">
        <f>+H7+H13+H15+H9+H11+H17</f>
        <v>247.64499999999995</v>
      </c>
      <c r="I19" s="253">
        <f>+G19-H19</f>
        <v>256.51200000000006</v>
      </c>
      <c r="J19" s="254">
        <f>H19/G19</f>
        <v>0.49120611238165879</v>
      </c>
      <c r="K19" s="255" t="s">
        <v>116</v>
      </c>
      <c r="L19" s="454"/>
      <c r="M19" s="570">
        <f>+E19+E20</f>
        <v>653</v>
      </c>
      <c r="N19" s="566">
        <f>+F19+F20</f>
        <v>-83.843000000000004</v>
      </c>
      <c r="O19" s="566">
        <f>+N19+M19</f>
        <v>569.15700000000004</v>
      </c>
      <c r="P19" s="566">
        <f>SUM(P7:P18)</f>
        <v>247.64499999999995</v>
      </c>
      <c r="Q19" s="566">
        <f>+O19-P19</f>
        <v>321.51200000000006</v>
      </c>
      <c r="R19" s="568">
        <f>+P19/O19</f>
        <v>0.43510841472563799</v>
      </c>
      <c r="S19" s="454"/>
      <c r="T19" s="454"/>
    </row>
    <row r="20" spans="1:20" ht="15" thickBot="1">
      <c r="B20" s="578"/>
      <c r="C20" s="579"/>
      <c r="D20" s="166" t="s">
        <v>9</v>
      </c>
      <c r="E20" s="167">
        <f>+E8+E14+E16+E10+E12+E18</f>
        <v>65</v>
      </c>
      <c r="F20" s="167">
        <f>+F8+F14+F16+F10+F12+F18</f>
        <v>0</v>
      </c>
      <c r="G20" s="196">
        <f>E20+F20+I19</f>
        <v>321.51200000000006</v>
      </c>
      <c r="H20" s="167">
        <f>+H8+H14+H16+H10+H12+H18</f>
        <v>0</v>
      </c>
      <c r="I20" s="198">
        <f>+G20-H20</f>
        <v>321.51200000000006</v>
      </c>
      <c r="J20" s="197">
        <f>H20/G20</f>
        <v>0</v>
      </c>
      <c r="K20" s="168" t="s">
        <v>116</v>
      </c>
      <c r="M20" s="571"/>
      <c r="N20" s="567"/>
      <c r="O20" s="567"/>
      <c r="P20" s="567"/>
      <c r="Q20" s="567"/>
      <c r="R20" s="569"/>
    </row>
    <row r="21" spans="1:20">
      <c r="H21" s="446"/>
    </row>
    <row r="23" spans="1:20">
      <c r="B23" s="580" t="s">
        <v>148</v>
      </c>
      <c r="C23" s="581"/>
      <c r="D23" s="584" t="s">
        <v>149</v>
      </c>
      <c r="E23" s="572">
        <v>14</v>
      </c>
      <c r="F23" s="586" t="s">
        <v>150</v>
      </c>
      <c r="G23" s="572">
        <v>14</v>
      </c>
      <c r="H23" s="572">
        <v>0</v>
      </c>
      <c r="I23" s="572">
        <f>+G23+H23</f>
        <v>14</v>
      </c>
      <c r="J23" s="574">
        <f>+H23/G23</f>
        <v>0</v>
      </c>
    </row>
    <row r="24" spans="1:20" ht="15" thickBot="1">
      <c r="B24" s="582"/>
      <c r="C24" s="583"/>
      <c r="D24" s="585"/>
      <c r="E24" s="573"/>
      <c r="F24" s="587"/>
      <c r="G24" s="573"/>
      <c r="H24" s="573"/>
      <c r="I24" s="573"/>
      <c r="J24" s="575"/>
    </row>
    <row r="26" spans="1:20">
      <c r="B26" s="456" t="s">
        <v>16</v>
      </c>
    </row>
    <row r="27" spans="1:20">
      <c r="B27" s="457" t="s">
        <v>15</v>
      </c>
    </row>
    <row r="28" spans="1:20">
      <c r="B28" s="457" t="s">
        <v>17</v>
      </c>
    </row>
    <row r="30" spans="1:20">
      <c r="A30" s="455"/>
      <c r="B30" s="455"/>
      <c r="C30" s="458" t="s">
        <v>5</v>
      </c>
      <c r="D30" s="455"/>
      <c r="E30" s="455"/>
    </row>
    <row r="31" spans="1:20">
      <c r="A31" s="455"/>
      <c r="B31" s="439" t="s">
        <v>111</v>
      </c>
      <c r="C31" s="245">
        <v>55.704999999999998</v>
      </c>
      <c r="D31" s="455"/>
      <c r="E31" s="455"/>
    </row>
    <row r="32" spans="1:20">
      <c r="A32" s="455"/>
      <c r="B32" s="439" t="s">
        <v>120</v>
      </c>
      <c r="C32" s="245">
        <v>66.584999999999994</v>
      </c>
      <c r="D32" s="455"/>
      <c r="E32" s="455"/>
    </row>
    <row r="33" spans="1:5">
      <c r="A33" s="455"/>
      <c r="B33" s="439" t="s">
        <v>109</v>
      </c>
      <c r="C33" s="245">
        <v>44.090999999999994</v>
      </c>
      <c r="D33" s="455"/>
      <c r="E33" s="455"/>
    </row>
    <row r="34" spans="1:5">
      <c r="A34" s="455"/>
      <c r="B34" s="439" t="s">
        <v>152</v>
      </c>
      <c r="C34" s="245">
        <v>13.725000000000001</v>
      </c>
      <c r="D34" s="455"/>
      <c r="E34" s="455"/>
    </row>
    <row r="35" spans="1:5">
      <c r="A35" s="455"/>
      <c r="B35" s="439" t="s">
        <v>153</v>
      </c>
      <c r="C35" s="245">
        <v>67.539000000000001</v>
      </c>
      <c r="D35" s="455"/>
      <c r="E35" s="455"/>
    </row>
    <row r="36" spans="1:5">
      <c r="A36" s="455"/>
      <c r="B36" s="455"/>
      <c r="C36" s="459">
        <f>SUM(C31:C35)</f>
        <v>247.64499999999998</v>
      </c>
      <c r="D36" s="455"/>
      <c r="E36" s="455"/>
    </row>
    <row r="37" spans="1:5">
      <c r="A37" s="455"/>
      <c r="B37" s="455"/>
      <c r="C37" s="455"/>
      <c r="D37" s="455"/>
      <c r="E37" s="455"/>
    </row>
    <row r="38" spans="1:5">
      <c r="A38" s="455"/>
      <c r="B38" s="455"/>
      <c r="C38" s="455"/>
      <c r="D38" s="455"/>
      <c r="E38" s="455"/>
    </row>
    <row r="39" spans="1:5">
      <c r="A39" s="455"/>
      <c r="B39" s="455"/>
      <c r="C39" s="455"/>
      <c r="D39" s="455"/>
      <c r="E39" s="455"/>
    </row>
  </sheetData>
  <mergeCells count="65">
    <mergeCell ref="H23:H24"/>
    <mergeCell ref="I23:I24"/>
    <mergeCell ref="J23:J24"/>
    <mergeCell ref="B19:C20"/>
    <mergeCell ref="B23:C24"/>
    <mergeCell ref="D23:D24"/>
    <mergeCell ref="E23:E24"/>
    <mergeCell ref="F23:F24"/>
    <mergeCell ref="G23:G24"/>
    <mergeCell ref="O19:O20"/>
    <mergeCell ref="P19:P20"/>
    <mergeCell ref="Q19:Q20"/>
    <mergeCell ref="R19:R20"/>
    <mergeCell ref="M19:M20"/>
    <mergeCell ref="N19:N20"/>
    <mergeCell ref="R17:R18"/>
    <mergeCell ref="C17:C18"/>
    <mergeCell ref="M17:M18"/>
    <mergeCell ref="N17:N18"/>
    <mergeCell ref="O17:O18"/>
    <mergeCell ref="P17:P18"/>
    <mergeCell ref="Q17:Q18"/>
    <mergeCell ref="P9:P10"/>
    <mergeCell ref="Q9:Q10"/>
    <mergeCell ref="R9:R10"/>
    <mergeCell ref="O11:O12"/>
    <mergeCell ref="Q11:Q12"/>
    <mergeCell ref="R11:R12"/>
    <mergeCell ref="Q15:Q16"/>
    <mergeCell ref="R15:R16"/>
    <mergeCell ref="C11:C12"/>
    <mergeCell ref="M11:M12"/>
    <mergeCell ref="N11:N12"/>
    <mergeCell ref="P15:P16"/>
    <mergeCell ref="P11:P12"/>
    <mergeCell ref="M13:M14"/>
    <mergeCell ref="N13:N14"/>
    <mergeCell ref="O13:O14"/>
    <mergeCell ref="P13:P14"/>
    <mergeCell ref="Q13:Q14"/>
    <mergeCell ref="R13:R14"/>
    <mergeCell ref="C9:C10"/>
    <mergeCell ref="M9:M10"/>
    <mergeCell ref="N9:N10"/>
    <mergeCell ref="O9:O10"/>
    <mergeCell ref="C15:C16"/>
    <mergeCell ref="M15:M16"/>
    <mergeCell ref="N15:N16"/>
    <mergeCell ref="O15:O16"/>
    <mergeCell ref="B9:B18"/>
    <mergeCell ref="B2:R2"/>
    <mergeCell ref="M5:R5"/>
    <mergeCell ref="B7:B8"/>
    <mergeCell ref="C7:C8"/>
    <mergeCell ref="M7:M8"/>
    <mergeCell ref="N7:N8"/>
    <mergeCell ref="O7:O8"/>
    <mergeCell ref="P7:P8"/>
    <mergeCell ref="Q7:Q8"/>
    <mergeCell ref="R7:R8"/>
    <mergeCell ref="D5:K5"/>
    <mergeCell ref="C5:C6"/>
    <mergeCell ref="B5:B6"/>
    <mergeCell ref="B3:R3"/>
    <mergeCell ref="C13:C14"/>
  </mergeCells>
  <conditionalFormatting sqref="J9:J20">
    <cfRule type="cellIs" dxfId="38" priority="18" operator="greaterThan">
      <formula>0.9</formula>
    </cfRule>
    <cfRule type="cellIs" dxfId="37" priority="19" operator="greaterThan">
      <formula>0.95</formula>
    </cfRule>
  </conditionalFormatting>
  <conditionalFormatting sqref="M17:R19 R15:R16 M13:Q16 E7:I20 M7:R12 R13">
    <cfRule type="cellIs" dxfId="36" priority="17" operator="lessThan">
      <formula>0</formula>
    </cfRule>
  </conditionalFormatting>
  <conditionalFormatting sqref="R9:R10 R13:R18">
    <cfRule type="cellIs" dxfId="35" priority="14" operator="greaterThan">
      <formula>0.8</formula>
    </cfRule>
  </conditionalFormatting>
  <conditionalFormatting sqref="H7:H18">
    <cfRule type="dataBar" priority="35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G13:G16 G8 G17:G18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2"/>
  <sheetViews>
    <sheetView workbookViewId="0">
      <selection activeCell="A2" sqref="A2:B2"/>
    </sheetView>
  </sheetViews>
  <sheetFormatPr baseColWidth="10" defaultRowHeight="14.4"/>
  <cols>
    <col min="1" max="1" width="19.109375" bestFit="1" customWidth="1"/>
  </cols>
  <sheetData>
    <row r="2" spans="1:2">
      <c r="A2" s="232" t="s">
        <v>151</v>
      </c>
      <c r="B2" s="231">
        <v>1.8879999999999999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U49"/>
  <sheetViews>
    <sheetView zoomScale="56" zoomScaleNormal="56" workbookViewId="0">
      <pane xSplit="4" ySplit="6" topLeftCell="E10" activePane="bottomRight" state="frozen"/>
      <selection pane="topRight" activeCell="E1" sqref="E1"/>
      <selection pane="bottomLeft" activeCell="A7" sqref="A7"/>
      <selection pane="bottomRight" activeCell="F55" sqref="F55"/>
    </sheetView>
  </sheetViews>
  <sheetFormatPr baseColWidth="10" defaultColWidth="11.44140625" defaultRowHeight="14.4"/>
  <cols>
    <col min="1" max="1" width="2.5546875" style="200" customWidth="1"/>
    <col min="2" max="2" width="13.5546875" style="200" customWidth="1"/>
    <col min="3" max="3" width="33.5546875" style="201" customWidth="1"/>
    <col min="4" max="4" width="14" style="200" customWidth="1"/>
    <col min="5" max="5" width="13.5546875" style="200" customWidth="1"/>
    <col min="6" max="6" width="12.5546875" style="200" customWidth="1"/>
    <col min="7" max="7" width="14.109375" style="200" customWidth="1"/>
    <col min="8" max="11" width="11.44140625" style="200"/>
    <col min="12" max="12" width="13.5546875" style="200" bestFit="1" customWidth="1"/>
    <col min="13" max="16" width="11.44140625" style="200"/>
    <col min="17" max="17" width="12.44140625" style="200" customWidth="1"/>
    <col min="18" max="19" width="12.5546875" style="200" customWidth="1"/>
    <col min="20" max="20" width="13.5546875" style="200" customWidth="1"/>
    <col min="21" max="21" width="11.44140625" style="200"/>
    <col min="22" max="22" width="10.88671875" style="200" customWidth="1"/>
    <col min="23" max="23" width="15.5546875" style="200" customWidth="1"/>
    <col min="24" max="24" width="14.5546875" style="200" customWidth="1"/>
    <col min="25" max="25" width="12.5546875" style="200" bestFit="1" customWidth="1"/>
    <col min="26" max="26" width="11.5546875" style="200" bestFit="1" customWidth="1"/>
    <col min="27" max="27" width="12.5546875" style="200" bestFit="1" customWidth="1"/>
    <col min="28" max="28" width="18.5546875" style="200" customWidth="1"/>
    <col min="29" max="29" width="11.44140625" style="200"/>
    <col min="30" max="30" width="15" style="200" customWidth="1"/>
    <col min="31" max="32" width="11.44140625" style="200"/>
    <col min="33" max="33" width="11.44140625" style="202"/>
    <col min="34" max="55" width="11.44140625" style="200"/>
    <col min="56" max="56" width="17.44140625" style="200" bestFit="1" customWidth="1"/>
    <col min="57" max="57" width="11.44140625" style="200"/>
    <col min="58" max="58" width="20.5546875" style="200" bestFit="1" customWidth="1"/>
    <col min="59" max="16384" width="11.44140625" style="200"/>
  </cols>
  <sheetData>
    <row r="1" spans="2:47" ht="15" thickBot="1"/>
    <row r="2" spans="2:47" ht="26.4" customHeight="1">
      <c r="B2" s="607" t="s">
        <v>129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9"/>
    </row>
    <row r="3" spans="2:47" ht="38.4" customHeight="1" thickBot="1">
      <c r="B3" s="610">
        <f>+'Resumen anual'!B4:I4</f>
        <v>43607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2"/>
    </row>
    <row r="4" spans="2:47">
      <c r="B4" s="204"/>
      <c r="C4" s="205"/>
      <c r="D4" s="204"/>
    </row>
    <row r="5" spans="2:47" s="203" customFormat="1" ht="28.35" customHeight="1">
      <c r="B5" s="617" t="s">
        <v>27</v>
      </c>
      <c r="C5" s="615" t="s">
        <v>49</v>
      </c>
      <c r="D5" s="613" t="s">
        <v>26</v>
      </c>
      <c r="E5" s="594" t="s">
        <v>42</v>
      </c>
      <c r="F5" s="595"/>
      <c r="G5" s="595"/>
      <c r="H5" s="595"/>
      <c r="I5" s="595"/>
      <c r="J5" s="596"/>
      <c r="K5" s="597" t="s">
        <v>41</v>
      </c>
      <c r="L5" s="598"/>
      <c r="M5" s="598"/>
      <c r="N5" s="598"/>
      <c r="O5" s="598"/>
      <c r="P5" s="599"/>
      <c r="Q5" s="602" t="s">
        <v>43</v>
      </c>
      <c r="R5" s="603"/>
      <c r="S5" s="603"/>
      <c r="T5" s="603"/>
      <c r="U5" s="603"/>
      <c r="V5" s="604"/>
      <c r="W5" s="600" t="s">
        <v>44</v>
      </c>
      <c r="X5" s="600"/>
      <c r="Y5" s="600"/>
      <c r="Z5" s="600"/>
      <c r="AA5" s="600"/>
      <c r="AB5" s="600"/>
      <c r="AG5" s="207"/>
    </row>
    <row r="6" spans="2:47" s="203" customFormat="1" ht="43.2">
      <c r="B6" s="618"/>
      <c r="C6" s="616"/>
      <c r="D6" s="614"/>
      <c r="E6" s="358" t="s">
        <v>50</v>
      </c>
      <c r="F6" s="359" t="s">
        <v>51</v>
      </c>
      <c r="G6" s="359" t="s">
        <v>4</v>
      </c>
      <c r="H6" s="360" t="s">
        <v>5</v>
      </c>
      <c r="I6" s="360" t="s">
        <v>22</v>
      </c>
      <c r="J6" s="360" t="s">
        <v>23</v>
      </c>
      <c r="K6" s="339" t="s">
        <v>24</v>
      </c>
      <c r="L6" s="339" t="s">
        <v>52</v>
      </c>
      <c r="M6" s="339" t="s">
        <v>4</v>
      </c>
      <c r="N6" s="340" t="s">
        <v>5</v>
      </c>
      <c r="O6" s="340" t="s">
        <v>22</v>
      </c>
      <c r="P6" s="340" t="s">
        <v>23</v>
      </c>
      <c r="Q6" s="335" t="s">
        <v>30</v>
      </c>
      <c r="R6" s="234" t="s">
        <v>52</v>
      </c>
      <c r="S6" s="234" t="s">
        <v>4</v>
      </c>
      <c r="T6" s="235" t="s">
        <v>45</v>
      </c>
      <c r="U6" s="235" t="s">
        <v>6</v>
      </c>
      <c r="V6" s="321" t="s">
        <v>23</v>
      </c>
      <c r="W6" s="332" t="s">
        <v>46</v>
      </c>
      <c r="X6" s="333" t="s">
        <v>48</v>
      </c>
      <c r="Y6" s="333" t="s">
        <v>4</v>
      </c>
      <c r="Z6" s="332" t="s">
        <v>47</v>
      </c>
      <c r="AA6" s="332" t="s">
        <v>6</v>
      </c>
      <c r="AB6" s="334" t="s">
        <v>23</v>
      </c>
      <c r="AG6" s="207"/>
    </row>
    <row r="7" spans="2:47" ht="15" customHeight="1">
      <c r="B7" s="605" t="s">
        <v>29</v>
      </c>
      <c r="C7" s="601" t="str">
        <f>+Movimientos_Ltp_Pep!B9</f>
        <v>ANTARTIC SEAFOOD S.A.</v>
      </c>
      <c r="D7" s="352" t="s">
        <v>11</v>
      </c>
      <c r="E7" s="344">
        <f>+Movimientos_Ltp_Pep!H9</f>
        <v>31.629600000000003</v>
      </c>
      <c r="F7" s="1">
        <f>+Movimientos_Ltp_Pep!J9</f>
        <v>0</v>
      </c>
      <c r="G7" s="3">
        <f>E7+F7</f>
        <v>31.629600000000003</v>
      </c>
      <c r="H7" s="239"/>
      <c r="I7" s="3">
        <f t="shared" ref="I7:I36" si="0">G7-H7</f>
        <v>31.629600000000003</v>
      </c>
      <c r="J7" s="361">
        <f t="shared" ref="J7:J37" si="1">H7/G7</f>
        <v>0</v>
      </c>
      <c r="K7" s="344">
        <f>+Movimientos_Ltp_Pep!I9</f>
        <v>243.19648000000001</v>
      </c>
      <c r="L7" s="1">
        <f>+Movimientos_Ltp_Pep!K9</f>
        <v>0</v>
      </c>
      <c r="M7" s="3">
        <f>K7+L7</f>
        <v>243.19648000000001</v>
      </c>
      <c r="N7" s="281">
        <f>+D45</f>
        <v>149.06699999999998</v>
      </c>
      <c r="O7" s="3">
        <f t="shared" ref="O7:O36" si="2">M7-N7</f>
        <v>94.129480000000029</v>
      </c>
      <c r="P7" s="285">
        <f t="shared" ref="P7:P38" si="3">N7/M7</f>
        <v>0.61294883873319206</v>
      </c>
      <c r="Q7" s="6">
        <f t="shared" ref="Q7:Q36" si="4">+E7+K7</f>
        <v>274.82607999999999</v>
      </c>
      <c r="R7" s="55">
        <f t="shared" ref="R7:R36" si="5">F7+L7</f>
        <v>0</v>
      </c>
      <c r="S7" s="6">
        <f>Q7+R7</f>
        <v>274.82607999999999</v>
      </c>
      <c r="T7" s="55">
        <f t="shared" ref="T7:T36" si="6">H7+N7</f>
        <v>149.06699999999998</v>
      </c>
      <c r="U7" s="6">
        <f t="shared" ref="U7:U38" si="7">S7-T7</f>
        <v>125.75908000000001</v>
      </c>
      <c r="V7" s="322">
        <f t="shared" ref="V7:V38" si="8">T7/S7</f>
        <v>0.54240485473576594</v>
      </c>
      <c r="W7" s="589">
        <f>Q7+Q8</f>
        <v>305.40136000000001</v>
      </c>
      <c r="X7" s="590">
        <f>R7+R8</f>
        <v>0</v>
      </c>
      <c r="Y7" s="589">
        <f>W7+X7</f>
        <v>305.40136000000001</v>
      </c>
      <c r="Z7" s="590">
        <f>T7+T8</f>
        <v>149.06699999999998</v>
      </c>
      <c r="AA7" s="589">
        <f>Y7-Z7</f>
        <v>156.33436000000003</v>
      </c>
      <c r="AB7" s="591">
        <f>Z7/Y7</f>
        <v>0.48810195213276053</v>
      </c>
      <c r="AU7" s="200" t="e">
        <f>#REF!+W31+#REF!</f>
        <v>#REF!</v>
      </c>
    </row>
    <row r="8" spans="2:47">
      <c r="B8" s="605"/>
      <c r="C8" s="588"/>
      <c r="D8" s="353" t="s">
        <v>9</v>
      </c>
      <c r="E8" s="344">
        <f>+Movimientos_Ltp_Pep!H10</f>
        <v>3.5144000000000002</v>
      </c>
      <c r="F8" s="1">
        <f>+Movimientos_Ltp_Pep!J10</f>
        <v>0</v>
      </c>
      <c r="G8" s="4">
        <f>E8+F8+I7</f>
        <v>35.144000000000005</v>
      </c>
      <c r="H8" s="2"/>
      <c r="I8" s="4">
        <f t="shared" si="0"/>
        <v>35.144000000000005</v>
      </c>
      <c r="J8" s="362">
        <f t="shared" si="1"/>
        <v>0</v>
      </c>
      <c r="K8" s="344">
        <f>+Movimientos_Ltp_Pep!I10</f>
        <v>27.060880000000001</v>
      </c>
      <c r="L8" s="1">
        <f>+Movimientos_Ltp_Pep!K10</f>
        <v>0</v>
      </c>
      <c r="M8" s="4">
        <f>O7+K8+L8</f>
        <v>121.19036000000003</v>
      </c>
      <c r="N8" s="282"/>
      <c r="O8" s="5">
        <f t="shared" si="2"/>
        <v>121.19036000000003</v>
      </c>
      <c r="P8" s="286">
        <f t="shared" si="3"/>
        <v>0</v>
      </c>
      <c r="Q8" s="7">
        <f t="shared" si="4"/>
        <v>30.575279999999999</v>
      </c>
      <c r="R8" s="56">
        <f t="shared" si="5"/>
        <v>0</v>
      </c>
      <c r="S8" s="7">
        <f>Q8+R8+U7</f>
        <v>156.33436</v>
      </c>
      <c r="T8" s="56">
        <f t="shared" si="6"/>
        <v>0</v>
      </c>
      <c r="U8" s="57">
        <f t="shared" si="7"/>
        <v>156.33436</v>
      </c>
      <c r="V8" s="323">
        <f t="shared" si="8"/>
        <v>0</v>
      </c>
      <c r="W8" s="589"/>
      <c r="X8" s="590"/>
      <c r="Y8" s="589"/>
      <c r="Z8" s="590"/>
      <c r="AA8" s="589"/>
      <c r="AB8" s="591"/>
    </row>
    <row r="9" spans="2:47">
      <c r="B9" s="605"/>
      <c r="C9" s="588" t="str">
        <f>+Movimientos_Ltp_Pep!B11</f>
        <v>BAYCIC BAYCIC MARIA</v>
      </c>
      <c r="D9" s="354" t="s">
        <v>11</v>
      </c>
      <c r="E9" s="344">
        <f>+Movimientos_Ltp_Pep!H11</f>
        <v>2.7000000000000001E-3</v>
      </c>
      <c r="F9" s="1">
        <f>+Movimientos_Ltp_Pep!J11</f>
        <v>0</v>
      </c>
      <c r="G9" s="345">
        <f>E9+F9</f>
        <v>2.7000000000000001E-3</v>
      </c>
      <c r="H9" s="351"/>
      <c r="I9" s="345">
        <f t="shared" ref="I9:I20" si="9">G9-H9</f>
        <v>2.7000000000000001E-3</v>
      </c>
      <c r="J9" s="363">
        <f t="shared" ref="J9:J20" si="10">H9/G9</f>
        <v>0</v>
      </c>
      <c r="K9" s="344">
        <f>+Movimientos_Ltp_Pep!I11</f>
        <v>2.0760000000000001E-2</v>
      </c>
      <c r="L9" s="1">
        <f>+Movimientos_Ltp_Pep!K11</f>
        <v>0</v>
      </c>
      <c r="M9" s="345">
        <f>K9+L9</f>
        <v>2.0760000000000001E-2</v>
      </c>
      <c r="N9" s="346"/>
      <c r="O9" s="345">
        <f t="shared" ref="O9:O20" si="11">M9-N9</f>
        <v>2.0760000000000001E-2</v>
      </c>
      <c r="P9" s="347">
        <f t="shared" ref="P9:P20" si="12">N9/M9</f>
        <v>0</v>
      </c>
      <c r="Q9" s="336">
        <f t="shared" ref="Q9:Q20" si="13">+E9+K9</f>
        <v>2.3460000000000002E-2</v>
      </c>
      <c r="R9" s="240">
        <f t="shared" ref="R9:R20" si="14">F9+L9</f>
        <v>0</v>
      </c>
      <c r="S9" s="241">
        <f>Q9+R9</f>
        <v>2.3460000000000002E-2</v>
      </c>
      <c r="T9" s="240">
        <f t="shared" ref="T9:T20" si="15">H9+N9</f>
        <v>0</v>
      </c>
      <c r="U9" s="241">
        <f t="shared" ref="U9:U20" si="16">S9-T9</f>
        <v>2.3460000000000002E-2</v>
      </c>
      <c r="V9" s="324">
        <f t="shared" ref="V9:V20" si="17">T9/S9</f>
        <v>0</v>
      </c>
      <c r="W9" s="589">
        <f>Q9+Q10</f>
        <v>2.6070000000000003E-2</v>
      </c>
      <c r="X9" s="590">
        <f>R9+R10</f>
        <v>0</v>
      </c>
      <c r="Y9" s="589">
        <f>W9+X9</f>
        <v>2.6070000000000003E-2</v>
      </c>
      <c r="Z9" s="590">
        <f>T9+T10</f>
        <v>0</v>
      </c>
      <c r="AA9" s="589">
        <f>Y9-Z9</f>
        <v>2.6070000000000003E-2</v>
      </c>
      <c r="AB9" s="591">
        <f>Z9/Y9</f>
        <v>0</v>
      </c>
    </row>
    <row r="10" spans="2:47">
      <c r="B10" s="605"/>
      <c r="C10" s="588"/>
      <c r="D10" s="353" t="s">
        <v>9</v>
      </c>
      <c r="E10" s="344">
        <f>+Movimientos_Ltp_Pep!H12</f>
        <v>3.0000000000000003E-4</v>
      </c>
      <c r="F10" s="1">
        <f>+Movimientos_Ltp_Pep!J12</f>
        <v>0</v>
      </c>
      <c r="G10" s="4">
        <f>E10+F10+I9</f>
        <v>3.0000000000000001E-3</v>
      </c>
      <c r="H10" s="2"/>
      <c r="I10" s="4">
        <f t="shared" si="9"/>
        <v>3.0000000000000001E-3</v>
      </c>
      <c r="J10" s="362">
        <f t="shared" si="10"/>
        <v>0</v>
      </c>
      <c r="K10" s="344">
        <f>+Movimientos_Ltp_Pep!I12</f>
        <v>2.31E-3</v>
      </c>
      <c r="L10" s="1">
        <f>+Movimientos_Ltp_Pep!K12</f>
        <v>0</v>
      </c>
      <c r="M10" s="4">
        <f>O9+K10+L10</f>
        <v>2.307E-2</v>
      </c>
      <c r="N10" s="282"/>
      <c r="O10" s="3">
        <f t="shared" si="11"/>
        <v>2.307E-2</v>
      </c>
      <c r="P10" s="286">
        <f t="shared" si="12"/>
        <v>0</v>
      </c>
      <c r="Q10" s="7">
        <f t="shared" si="13"/>
        <v>2.6099999999999999E-3</v>
      </c>
      <c r="R10" s="56">
        <f t="shared" si="14"/>
        <v>0</v>
      </c>
      <c r="S10" s="7">
        <f>Q10+R10+U9</f>
        <v>2.6070000000000003E-2</v>
      </c>
      <c r="T10" s="56">
        <f t="shared" si="15"/>
        <v>0</v>
      </c>
      <c r="U10" s="6">
        <f t="shared" si="16"/>
        <v>2.6070000000000003E-2</v>
      </c>
      <c r="V10" s="323">
        <f t="shared" si="17"/>
        <v>0</v>
      </c>
      <c r="W10" s="589"/>
      <c r="X10" s="590"/>
      <c r="Y10" s="589"/>
      <c r="Z10" s="590"/>
      <c r="AA10" s="589"/>
      <c r="AB10" s="591"/>
    </row>
    <row r="11" spans="2:47">
      <c r="B11" s="605"/>
      <c r="C11" s="588" t="str">
        <f>+Movimientos_Ltp_Pep!B13</f>
        <v>BRACPESCA S.A.</v>
      </c>
      <c r="D11" s="354" t="s">
        <v>11</v>
      </c>
      <c r="E11" s="344">
        <f>+Movimientos_Ltp_Pep!H13</f>
        <v>34.463357999999999</v>
      </c>
      <c r="F11" s="1">
        <f>+Movimientos_Ltp_Pep!J13</f>
        <v>0</v>
      </c>
      <c r="G11" s="345">
        <f>E11+F11</f>
        <v>34.463357999999999</v>
      </c>
      <c r="H11" s="351"/>
      <c r="I11" s="345">
        <f t="shared" si="9"/>
        <v>34.463357999999999</v>
      </c>
      <c r="J11" s="363">
        <f t="shared" si="10"/>
        <v>0</v>
      </c>
      <c r="K11" s="344">
        <f>+Movimientos_Ltp_Pep!I13</f>
        <v>264.9849304</v>
      </c>
      <c r="L11" s="1">
        <f>+Movimientos_Ltp_Pep!K13+83.843</f>
        <v>83.843000000000004</v>
      </c>
      <c r="M11" s="345">
        <f>K11+L11</f>
        <v>348.82793040000001</v>
      </c>
      <c r="N11" s="346">
        <f>+D46</f>
        <v>31.934999999999999</v>
      </c>
      <c r="O11" s="345">
        <f t="shared" si="11"/>
        <v>316.89293040000001</v>
      </c>
      <c r="P11" s="347">
        <f t="shared" si="12"/>
        <v>9.1549435171031812E-2</v>
      </c>
      <c r="Q11" s="336">
        <f t="shared" si="13"/>
        <v>299.44828840000002</v>
      </c>
      <c r="R11" s="240">
        <f t="shared" si="14"/>
        <v>83.843000000000004</v>
      </c>
      <c r="S11" s="241">
        <f>Q11+R11</f>
        <v>383.29128840000004</v>
      </c>
      <c r="T11" s="240">
        <f t="shared" si="15"/>
        <v>31.934999999999999</v>
      </c>
      <c r="U11" s="241">
        <f t="shared" si="16"/>
        <v>351.35628840000004</v>
      </c>
      <c r="V11" s="324">
        <f t="shared" si="17"/>
        <v>8.3317834155084841E-2</v>
      </c>
      <c r="W11" s="589">
        <f>Q11+Q12</f>
        <v>332.76286780000004</v>
      </c>
      <c r="X11" s="590">
        <f>R11+R12</f>
        <v>83.843000000000004</v>
      </c>
      <c r="Y11" s="589">
        <f>W11+X11</f>
        <v>416.60586780000006</v>
      </c>
      <c r="Z11" s="590">
        <f>T11+T12</f>
        <v>31.934999999999999</v>
      </c>
      <c r="AA11" s="589">
        <f>Y11-Z11</f>
        <v>384.67086780000005</v>
      </c>
      <c r="AB11" s="591">
        <f>Z11/Y11</f>
        <v>7.6655185316139213E-2</v>
      </c>
    </row>
    <row r="12" spans="2:47">
      <c r="B12" s="605"/>
      <c r="C12" s="588"/>
      <c r="D12" s="353" t="s">
        <v>9</v>
      </c>
      <c r="E12" s="344">
        <f>+Movimientos_Ltp_Pep!H14</f>
        <v>3.8292619999999999</v>
      </c>
      <c r="F12" s="1">
        <f>+Movimientos_Ltp_Pep!J14</f>
        <v>0</v>
      </c>
      <c r="G12" s="4">
        <f>E12+F12+I11</f>
        <v>38.292619999999999</v>
      </c>
      <c r="H12" s="2"/>
      <c r="I12" s="4">
        <f t="shared" si="9"/>
        <v>38.292619999999999</v>
      </c>
      <c r="J12" s="362">
        <f t="shared" si="10"/>
        <v>0</v>
      </c>
      <c r="K12" s="344">
        <f>+Movimientos_Ltp_Pep!I14</f>
        <v>29.4853174</v>
      </c>
      <c r="L12" s="1">
        <f>+Movimientos_Ltp_Pep!K14</f>
        <v>0</v>
      </c>
      <c r="M12" s="4">
        <f>O11+K12+L12</f>
        <v>346.3782478</v>
      </c>
      <c r="N12" s="282"/>
      <c r="O12" s="3">
        <f t="shared" si="11"/>
        <v>346.3782478</v>
      </c>
      <c r="P12" s="286">
        <f t="shared" si="12"/>
        <v>0</v>
      </c>
      <c r="Q12" s="7">
        <f t="shared" si="13"/>
        <v>33.3145794</v>
      </c>
      <c r="R12" s="56">
        <f t="shared" si="14"/>
        <v>0</v>
      </c>
      <c r="S12" s="7">
        <f>Q12+R12+U11</f>
        <v>384.67086780000005</v>
      </c>
      <c r="T12" s="56">
        <f t="shared" si="15"/>
        <v>0</v>
      </c>
      <c r="U12" s="6">
        <f t="shared" si="16"/>
        <v>384.67086780000005</v>
      </c>
      <c r="V12" s="323">
        <f t="shared" si="17"/>
        <v>0</v>
      </c>
      <c r="W12" s="589"/>
      <c r="X12" s="590"/>
      <c r="Y12" s="589"/>
      <c r="Z12" s="590"/>
      <c r="AA12" s="589"/>
      <c r="AB12" s="591"/>
    </row>
    <row r="13" spans="2:47">
      <c r="B13" s="605"/>
      <c r="C13" s="588" t="str">
        <f>+Movimientos_Ltp_Pep!B15</f>
        <v>GRIMAR S.A. PESQ.</v>
      </c>
      <c r="D13" s="354" t="s">
        <v>11</v>
      </c>
      <c r="E13" s="344">
        <f>+Movimientos_Ltp_Pep!H15</f>
        <v>1.5579000000000001E-2</v>
      </c>
      <c r="F13" s="1">
        <f>+Movimientos_Ltp_Pep!J15</f>
        <v>0</v>
      </c>
      <c r="G13" s="345">
        <f>E13+F13</f>
        <v>1.5579000000000001E-2</v>
      </c>
      <c r="H13" s="351"/>
      <c r="I13" s="345">
        <f t="shared" si="9"/>
        <v>1.5579000000000001E-2</v>
      </c>
      <c r="J13" s="363">
        <f t="shared" si="10"/>
        <v>0</v>
      </c>
      <c r="K13" s="344">
        <f>+Movimientos_Ltp_Pep!I15</f>
        <v>0.11978520000000001</v>
      </c>
      <c r="L13" s="1">
        <f>+Movimientos_Ltp_Pep!K15</f>
        <v>0</v>
      </c>
      <c r="M13" s="345">
        <f>K13+L13</f>
        <v>0.11978520000000001</v>
      </c>
      <c r="N13" s="346"/>
      <c r="O13" s="345">
        <f t="shared" si="11"/>
        <v>0.11978520000000001</v>
      </c>
      <c r="P13" s="347">
        <f t="shared" si="12"/>
        <v>0</v>
      </c>
      <c r="Q13" s="336">
        <f t="shared" si="13"/>
        <v>0.13536420000000002</v>
      </c>
      <c r="R13" s="240">
        <f t="shared" si="14"/>
        <v>0</v>
      </c>
      <c r="S13" s="241">
        <f>Q13+R13</f>
        <v>0.13536420000000002</v>
      </c>
      <c r="T13" s="240">
        <f t="shared" si="15"/>
        <v>0</v>
      </c>
      <c r="U13" s="241">
        <f t="shared" si="16"/>
        <v>0.13536420000000002</v>
      </c>
      <c r="V13" s="324">
        <f t="shared" si="17"/>
        <v>0</v>
      </c>
      <c r="W13" s="589">
        <f>Q13+Q14</f>
        <v>0.15042390000000003</v>
      </c>
      <c r="X13" s="590">
        <f>R13+R14</f>
        <v>0</v>
      </c>
      <c r="Y13" s="589">
        <f>W13+X13</f>
        <v>0.15042390000000003</v>
      </c>
      <c r="Z13" s="590">
        <f>T13+T14</f>
        <v>0</v>
      </c>
      <c r="AA13" s="589">
        <f>Y13-Z13</f>
        <v>0.15042390000000003</v>
      </c>
      <c r="AB13" s="591">
        <f>Z13/Y13</f>
        <v>0</v>
      </c>
    </row>
    <row r="14" spans="2:47">
      <c r="B14" s="605"/>
      <c r="C14" s="588"/>
      <c r="D14" s="353" t="s">
        <v>9</v>
      </c>
      <c r="E14" s="344">
        <f>+Movimientos_Ltp_Pep!H16</f>
        <v>1.7310000000000001E-3</v>
      </c>
      <c r="F14" s="1">
        <f>+Movimientos_Ltp_Pep!J16</f>
        <v>0</v>
      </c>
      <c r="G14" s="4">
        <f>E14+F14+I13</f>
        <v>1.7310000000000002E-2</v>
      </c>
      <c r="H14" s="2"/>
      <c r="I14" s="4">
        <f t="shared" si="9"/>
        <v>1.7310000000000002E-2</v>
      </c>
      <c r="J14" s="362">
        <f t="shared" si="10"/>
        <v>0</v>
      </c>
      <c r="K14" s="344">
        <f>+Movimientos_Ltp_Pep!I16</f>
        <v>1.3328700000000001E-2</v>
      </c>
      <c r="L14" s="1">
        <f>+Movimientos_Ltp_Pep!K16</f>
        <v>0</v>
      </c>
      <c r="M14" s="4">
        <f>O13+K14+L14</f>
        <v>0.13311390000000001</v>
      </c>
      <c r="N14" s="282"/>
      <c r="O14" s="3">
        <f t="shared" si="11"/>
        <v>0.13311390000000001</v>
      </c>
      <c r="P14" s="286">
        <f t="shared" si="12"/>
        <v>0</v>
      </c>
      <c r="Q14" s="7">
        <f t="shared" si="13"/>
        <v>1.5059700000000001E-2</v>
      </c>
      <c r="R14" s="56">
        <f t="shared" si="14"/>
        <v>0</v>
      </c>
      <c r="S14" s="7">
        <f>Q14+R14+U13</f>
        <v>0.15042390000000003</v>
      </c>
      <c r="T14" s="56">
        <f t="shared" si="15"/>
        <v>0</v>
      </c>
      <c r="U14" s="6">
        <f t="shared" si="16"/>
        <v>0.15042390000000003</v>
      </c>
      <c r="V14" s="323">
        <f t="shared" si="17"/>
        <v>0</v>
      </c>
      <c r="W14" s="589"/>
      <c r="X14" s="590"/>
      <c r="Y14" s="589"/>
      <c r="Z14" s="590"/>
      <c r="AA14" s="589"/>
      <c r="AB14" s="591"/>
    </row>
    <row r="15" spans="2:47">
      <c r="B15" s="605"/>
      <c r="C15" s="588" t="str">
        <f>+Movimientos_Ltp_Pep!B17</f>
        <v>ISLADAMAS S.A. PESQ.</v>
      </c>
      <c r="D15" s="354" t="s">
        <v>11</v>
      </c>
      <c r="E15" s="344">
        <f>+Movimientos_Ltp_Pep!H17</f>
        <v>7.5449070000000003</v>
      </c>
      <c r="F15" s="1">
        <f>+Movimientos_Ltp_Pep!J17</f>
        <v>0</v>
      </c>
      <c r="G15" s="345">
        <f>E15+F15</f>
        <v>7.5449070000000003</v>
      </c>
      <c r="H15" s="351"/>
      <c r="I15" s="345">
        <f t="shared" si="9"/>
        <v>7.5449070000000003</v>
      </c>
      <c r="J15" s="363">
        <f t="shared" si="10"/>
        <v>0</v>
      </c>
      <c r="K15" s="344">
        <f>+Movimientos_Ltp_Pep!I17</f>
        <v>58.011951599999996</v>
      </c>
      <c r="L15" s="1">
        <f>+Movimientos_Ltp_Pep!K17</f>
        <v>0</v>
      </c>
      <c r="M15" s="345">
        <f>K15+L15</f>
        <v>58.011951599999996</v>
      </c>
      <c r="N15" s="281">
        <f>+D47</f>
        <v>82.361999999999995</v>
      </c>
      <c r="O15" s="345">
        <f t="shared" si="11"/>
        <v>-24.350048399999999</v>
      </c>
      <c r="P15" s="347">
        <f t="shared" si="12"/>
        <v>1.4197419277995813</v>
      </c>
      <c r="Q15" s="336">
        <f t="shared" si="13"/>
        <v>65.556858599999998</v>
      </c>
      <c r="R15" s="240">
        <f t="shared" si="14"/>
        <v>0</v>
      </c>
      <c r="S15" s="241">
        <f>Q15+R15</f>
        <v>65.556858599999998</v>
      </c>
      <c r="T15" s="240">
        <f t="shared" si="15"/>
        <v>82.361999999999995</v>
      </c>
      <c r="U15" s="241">
        <f t="shared" si="16"/>
        <v>-16.805141399999997</v>
      </c>
      <c r="V15" s="324">
        <f t="shared" si="17"/>
        <v>1.2563445192292968</v>
      </c>
      <c r="W15" s="589">
        <f>Q15+Q16</f>
        <v>72.850268700000001</v>
      </c>
      <c r="X15" s="590">
        <f>R15+R16</f>
        <v>0</v>
      </c>
      <c r="Y15" s="589">
        <f>W15+X15</f>
        <v>72.850268700000001</v>
      </c>
      <c r="Z15" s="590">
        <f>T15+T16</f>
        <v>82.361999999999995</v>
      </c>
      <c r="AA15" s="589">
        <f>Y15-Z15</f>
        <v>-9.5117312999999939</v>
      </c>
      <c r="AB15" s="591">
        <f>Z15/Y15</f>
        <v>1.1305654937138205</v>
      </c>
    </row>
    <row r="16" spans="2:47">
      <c r="B16" s="605"/>
      <c r="C16" s="588"/>
      <c r="D16" s="353" t="s">
        <v>9</v>
      </c>
      <c r="E16" s="344">
        <f>+Movimientos_Ltp_Pep!H18</f>
        <v>0.83832299999999993</v>
      </c>
      <c r="F16" s="1">
        <f>+Movimientos_Ltp_Pep!J18</f>
        <v>0</v>
      </c>
      <c r="G16" s="4">
        <f>E16+F16+I15</f>
        <v>8.3832300000000011</v>
      </c>
      <c r="H16" s="2"/>
      <c r="I16" s="4">
        <f t="shared" si="9"/>
        <v>8.3832300000000011</v>
      </c>
      <c r="J16" s="362">
        <f t="shared" si="10"/>
        <v>0</v>
      </c>
      <c r="K16" s="344">
        <f>+Movimientos_Ltp_Pep!I18</f>
        <v>6.4550871000000001</v>
      </c>
      <c r="L16" s="1">
        <f>+Movimientos_Ltp_Pep!K18</f>
        <v>0</v>
      </c>
      <c r="M16" s="4">
        <f>O15+K16+L16</f>
        <v>-17.894961299999999</v>
      </c>
      <c r="N16" s="282"/>
      <c r="O16" s="3">
        <f t="shared" si="11"/>
        <v>-17.894961299999999</v>
      </c>
      <c r="P16" s="286">
        <f t="shared" si="12"/>
        <v>0</v>
      </c>
      <c r="Q16" s="7">
        <f t="shared" si="13"/>
        <v>7.2934101</v>
      </c>
      <c r="R16" s="56">
        <f t="shared" si="14"/>
        <v>0</v>
      </c>
      <c r="S16" s="7">
        <f>Q16+R16+U15</f>
        <v>-9.5117312999999974</v>
      </c>
      <c r="T16" s="56">
        <f t="shared" si="15"/>
        <v>0</v>
      </c>
      <c r="U16" s="6">
        <f t="shared" si="16"/>
        <v>-9.5117312999999974</v>
      </c>
      <c r="V16" s="323">
        <f t="shared" si="17"/>
        <v>0</v>
      </c>
      <c r="W16" s="589"/>
      <c r="X16" s="590"/>
      <c r="Y16" s="589"/>
      <c r="Z16" s="590"/>
      <c r="AA16" s="589"/>
      <c r="AB16" s="591"/>
    </row>
    <row r="17" spans="2:28">
      <c r="B17" s="605"/>
      <c r="C17" s="588" t="str">
        <f>+Movimientos_Ltp_Pep!B19</f>
        <v>MOROZIN BAYCIC MARIA ANA</v>
      </c>
      <c r="D17" s="354" t="s">
        <v>11</v>
      </c>
      <c r="E17" s="344">
        <f>+Movimientos_Ltp_Pep!H19</f>
        <v>9.0089999999999996E-3</v>
      </c>
      <c r="F17" s="1">
        <f>+Movimientos_Ltp_Pep!J19</f>
        <v>0</v>
      </c>
      <c r="G17" s="345">
        <f>E17+F17</f>
        <v>9.0089999999999996E-3</v>
      </c>
      <c r="H17" s="351"/>
      <c r="I17" s="345">
        <f t="shared" si="9"/>
        <v>9.0089999999999996E-3</v>
      </c>
      <c r="J17" s="363">
        <f t="shared" si="10"/>
        <v>0</v>
      </c>
      <c r="K17" s="344">
        <f>+Movimientos_Ltp_Pep!I19</f>
        <v>6.9269199999999989E-2</v>
      </c>
      <c r="L17" s="1">
        <f>+Movimientos_Ltp_Pep!K19</f>
        <v>0</v>
      </c>
      <c r="M17" s="345">
        <f>K17+L17</f>
        <v>6.9269199999999989E-2</v>
      </c>
      <c r="N17" s="346"/>
      <c r="O17" s="345">
        <f t="shared" si="11"/>
        <v>6.9269199999999989E-2</v>
      </c>
      <c r="P17" s="347">
        <f t="shared" si="12"/>
        <v>0</v>
      </c>
      <c r="Q17" s="336">
        <f t="shared" si="13"/>
        <v>7.8278199999999992E-2</v>
      </c>
      <c r="R17" s="240">
        <f t="shared" si="14"/>
        <v>0</v>
      </c>
      <c r="S17" s="241">
        <f>Q17+R17</f>
        <v>7.8278199999999992E-2</v>
      </c>
      <c r="T17" s="240">
        <f t="shared" si="15"/>
        <v>0</v>
      </c>
      <c r="U17" s="241">
        <f t="shared" si="16"/>
        <v>7.8278199999999992E-2</v>
      </c>
      <c r="V17" s="324">
        <f t="shared" si="17"/>
        <v>0</v>
      </c>
      <c r="W17" s="589">
        <f>Q17+Q18</f>
        <v>8.6986899999999992E-2</v>
      </c>
      <c r="X17" s="590">
        <f>R17+R18</f>
        <v>0</v>
      </c>
      <c r="Y17" s="589">
        <f>W17+X17</f>
        <v>8.6986899999999992E-2</v>
      </c>
      <c r="Z17" s="590">
        <f>T17+T18</f>
        <v>0</v>
      </c>
      <c r="AA17" s="589">
        <f>Y17-Z17</f>
        <v>8.6986899999999992E-2</v>
      </c>
      <c r="AB17" s="591">
        <f>Z17/Y17</f>
        <v>0</v>
      </c>
    </row>
    <row r="18" spans="2:28">
      <c r="B18" s="605"/>
      <c r="C18" s="588"/>
      <c r="D18" s="353" t="s">
        <v>9</v>
      </c>
      <c r="E18" s="344">
        <f>+Movimientos_Ltp_Pep!H20</f>
        <v>1.0009999999999999E-3</v>
      </c>
      <c r="F18" s="1">
        <f>+Movimientos_Ltp_Pep!J20</f>
        <v>0</v>
      </c>
      <c r="G18" s="4">
        <f>E18+F18+I17</f>
        <v>1.001E-2</v>
      </c>
      <c r="H18" s="2"/>
      <c r="I18" s="4">
        <f t="shared" si="9"/>
        <v>1.001E-2</v>
      </c>
      <c r="J18" s="362">
        <f t="shared" si="10"/>
        <v>0</v>
      </c>
      <c r="K18" s="344">
        <f>+Movimientos_Ltp_Pep!I20</f>
        <v>7.7076999999999996E-3</v>
      </c>
      <c r="L18" s="1">
        <f>+Movimientos_Ltp_Pep!K20</f>
        <v>0</v>
      </c>
      <c r="M18" s="4">
        <f>O17+K18+L18</f>
        <v>7.6976899999999987E-2</v>
      </c>
      <c r="N18" s="282"/>
      <c r="O18" s="3">
        <f t="shared" si="11"/>
        <v>7.6976899999999987E-2</v>
      </c>
      <c r="P18" s="286">
        <f t="shared" si="12"/>
        <v>0</v>
      </c>
      <c r="Q18" s="7">
        <f t="shared" si="13"/>
        <v>8.7086999999999998E-3</v>
      </c>
      <c r="R18" s="56">
        <f t="shared" si="14"/>
        <v>0</v>
      </c>
      <c r="S18" s="7">
        <f>Q18+R18+U17</f>
        <v>8.6986899999999992E-2</v>
      </c>
      <c r="T18" s="56">
        <f t="shared" si="15"/>
        <v>0</v>
      </c>
      <c r="U18" s="6">
        <f t="shared" si="16"/>
        <v>8.6986899999999992E-2</v>
      </c>
      <c r="V18" s="323">
        <f t="shared" si="17"/>
        <v>0</v>
      </c>
      <c r="W18" s="589"/>
      <c r="X18" s="590"/>
      <c r="Y18" s="589"/>
      <c r="Z18" s="590"/>
      <c r="AA18" s="589"/>
      <c r="AB18" s="591"/>
    </row>
    <row r="19" spans="2:28">
      <c r="B19" s="605"/>
      <c r="C19" s="588" t="str">
        <f>+Movimientos_Ltp_Pep!B21</f>
        <v>MOROZIN YURECIC MARIO</v>
      </c>
      <c r="D19" s="354" t="s">
        <v>11</v>
      </c>
      <c r="E19" s="344">
        <f>+Movimientos_Ltp_Pep!H21</f>
        <v>1.8090000000000001E-3</v>
      </c>
      <c r="F19" s="1">
        <f>+Movimientos_Ltp_Pep!J21</f>
        <v>0</v>
      </c>
      <c r="G19" s="345">
        <f>E19+F19</f>
        <v>1.8090000000000001E-3</v>
      </c>
      <c r="H19" s="351"/>
      <c r="I19" s="345">
        <f t="shared" si="9"/>
        <v>1.8090000000000001E-3</v>
      </c>
      <c r="J19" s="363">
        <f t="shared" si="10"/>
        <v>0</v>
      </c>
      <c r="K19" s="344">
        <f>+Movimientos_Ltp_Pep!I21</f>
        <v>1.39092E-2</v>
      </c>
      <c r="L19" s="1">
        <f>+Movimientos_Ltp_Pep!K21</f>
        <v>0</v>
      </c>
      <c r="M19" s="345">
        <f>K19+L19</f>
        <v>1.39092E-2</v>
      </c>
      <c r="N19" s="346"/>
      <c r="O19" s="345">
        <f t="shared" si="11"/>
        <v>1.39092E-2</v>
      </c>
      <c r="P19" s="347">
        <f t="shared" si="12"/>
        <v>0</v>
      </c>
      <c r="Q19" s="336">
        <f t="shared" si="13"/>
        <v>1.5718200000000002E-2</v>
      </c>
      <c r="R19" s="240">
        <f t="shared" si="14"/>
        <v>0</v>
      </c>
      <c r="S19" s="241">
        <f>Q19+R19</f>
        <v>1.5718200000000002E-2</v>
      </c>
      <c r="T19" s="240">
        <f t="shared" si="15"/>
        <v>0</v>
      </c>
      <c r="U19" s="241">
        <f t="shared" si="16"/>
        <v>1.5718200000000002E-2</v>
      </c>
      <c r="V19" s="324">
        <f t="shared" si="17"/>
        <v>0</v>
      </c>
      <c r="W19" s="589">
        <f>Q19+Q20</f>
        <v>1.74669E-2</v>
      </c>
      <c r="X19" s="590">
        <f>R19+R20</f>
        <v>0</v>
      </c>
      <c r="Y19" s="589">
        <f>W19+X19</f>
        <v>1.74669E-2</v>
      </c>
      <c r="Z19" s="590">
        <f>T19+T20</f>
        <v>0</v>
      </c>
      <c r="AA19" s="589">
        <f>Y19-Z19</f>
        <v>1.74669E-2</v>
      </c>
      <c r="AB19" s="591">
        <f>Z19/Y19</f>
        <v>0</v>
      </c>
    </row>
    <row r="20" spans="2:28">
      <c r="B20" s="605"/>
      <c r="C20" s="588"/>
      <c r="D20" s="353" t="s">
        <v>9</v>
      </c>
      <c r="E20" s="344">
        <f>+Movimientos_Ltp_Pep!H22</f>
        <v>2.0100000000000001E-4</v>
      </c>
      <c r="F20" s="1">
        <f>+Movimientos_Ltp_Pep!J22</f>
        <v>0</v>
      </c>
      <c r="G20" s="4">
        <f>E20+F20+I19</f>
        <v>2.0100000000000001E-3</v>
      </c>
      <c r="H20" s="2"/>
      <c r="I20" s="4">
        <f t="shared" si="9"/>
        <v>2.0100000000000001E-3</v>
      </c>
      <c r="J20" s="362">
        <f t="shared" si="10"/>
        <v>0</v>
      </c>
      <c r="K20" s="344">
        <f>+Movimientos_Ltp_Pep!I22</f>
        <v>1.5476999999999999E-3</v>
      </c>
      <c r="L20" s="1">
        <f>+Movimientos_Ltp_Pep!K22</f>
        <v>0</v>
      </c>
      <c r="M20" s="4">
        <f>O19+K20+L20</f>
        <v>1.5456899999999999E-2</v>
      </c>
      <c r="N20" s="282"/>
      <c r="O20" s="3">
        <f t="shared" si="11"/>
        <v>1.5456899999999999E-2</v>
      </c>
      <c r="P20" s="286">
        <f t="shared" si="12"/>
        <v>0</v>
      </c>
      <c r="Q20" s="7">
        <f t="shared" si="13"/>
        <v>1.7487E-3</v>
      </c>
      <c r="R20" s="56">
        <f t="shared" si="14"/>
        <v>0</v>
      </c>
      <c r="S20" s="7">
        <f>Q20+R20+U19</f>
        <v>1.74669E-2</v>
      </c>
      <c r="T20" s="56">
        <f t="shared" si="15"/>
        <v>0</v>
      </c>
      <c r="U20" s="6">
        <f t="shared" si="16"/>
        <v>1.74669E-2</v>
      </c>
      <c r="V20" s="323">
        <f t="shared" si="17"/>
        <v>0</v>
      </c>
      <c r="W20" s="589"/>
      <c r="X20" s="590"/>
      <c r="Y20" s="589"/>
      <c r="Z20" s="590"/>
      <c r="AA20" s="589"/>
      <c r="AB20" s="591"/>
    </row>
    <row r="21" spans="2:28">
      <c r="B21" s="605"/>
      <c r="C21" s="588" t="str">
        <f>+Movimientos_Ltp_Pep!B23</f>
        <v>QUINTERO S.A. PESQ.</v>
      </c>
      <c r="D21" s="354" t="s">
        <v>11</v>
      </c>
      <c r="E21" s="344">
        <f>+Movimientos_Ltp_Pep!H23</f>
        <v>5.9973390000000002</v>
      </c>
      <c r="F21" s="1">
        <f>+Movimientos_Ltp_Pep!J23</f>
        <v>0</v>
      </c>
      <c r="G21" s="3">
        <f>E21+F21</f>
        <v>5.9973390000000002</v>
      </c>
      <c r="H21" s="1"/>
      <c r="I21" s="3">
        <f t="shared" si="0"/>
        <v>5.9973390000000002</v>
      </c>
      <c r="J21" s="363">
        <f t="shared" si="1"/>
        <v>0</v>
      </c>
      <c r="K21" s="344">
        <f>+Movimientos_Ltp_Pep!I23</f>
        <v>46.112873200000003</v>
      </c>
      <c r="L21" s="1">
        <f>+Movimientos_Ltp_Pep!K23</f>
        <v>0</v>
      </c>
      <c r="M21" s="3">
        <f>K21+L21</f>
        <v>46.112873200000003</v>
      </c>
      <c r="N21" s="281">
        <f>+D48</f>
        <v>41.045000000000002</v>
      </c>
      <c r="O21" s="348">
        <f t="shared" si="2"/>
        <v>5.0678732000000011</v>
      </c>
      <c r="P21" s="347">
        <f t="shared" si="3"/>
        <v>0.89009851591724276</v>
      </c>
      <c r="Q21" s="6">
        <f t="shared" si="4"/>
        <v>52.110212200000007</v>
      </c>
      <c r="R21" s="55">
        <f t="shared" si="5"/>
        <v>0</v>
      </c>
      <c r="S21" s="6">
        <f>Q21+R21</f>
        <v>52.110212200000007</v>
      </c>
      <c r="T21" s="55">
        <f t="shared" si="6"/>
        <v>41.045000000000002</v>
      </c>
      <c r="U21" s="240">
        <f t="shared" si="7"/>
        <v>11.065212200000005</v>
      </c>
      <c r="V21" s="324">
        <f t="shared" si="8"/>
        <v>0.78765751024901787</v>
      </c>
      <c r="W21" s="589">
        <f>Q21+Q22</f>
        <v>57.907639900000007</v>
      </c>
      <c r="X21" s="590">
        <f>R21+R22</f>
        <v>0</v>
      </c>
      <c r="Y21" s="589">
        <f>W21+X21</f>
        <v>57.907639900000007</v>
      </c>
      <c r="Z21" s="590">
        <f>T21+T22</f>
        <v>41.045000000000002</v>
      </c>
      <c r="AA21" s="589">
        <f>Y21-Z21</f>
        <v>16.862639900000005</v>
      </c>
      <c r="AB21" s="591">
        <f>Z21/Y21</f>
        <v>0.70880111969474335</v>
      </c>
    </row>
    <row r="22" spans="2:28">
      <c r="B22" s="605"/>
      <c r="C22" s="588"/>
      <c r="D22" s="353" t="s">
        <v>9</v>
      </c>
      <c r="E22" s="344">
        <f>+Movimientos_Ltp_Pep!H24</f>
        <v>0.66637100000000005</v>
      </c>
      <c r="F22" s="1">
        <f>+Movimientos_Ltp_Pep!J24</f>
        <v>0</v>
      </c>
      <c r="G22" s="4">
        <f>E22+F22+I21</f>
        <v>6.66371</v>
      </c>
      <c r="H22" s="1"/>
      <c r="I22" s="3">
        <f t="shared" si="0"/>
        <v>6.66371</v>
      </c>
      <c r="J22" s="362">
        <f t="shared" si="1"/>
        <v>0</v>
      </c>
      <c r="K22" s="344">
        <f>+Movimientos_Ltp_Pep!I24</f>
        <v>5.1310567000000002</v>
      </c>
      <c r="L22" s="1">
        <f>+Movimientos_Ltp_Pep!K24</f>
        <v>0</v>
      </c>
      <c r="M22" s="4">
        <f>O21+K22+L22</f>
        <v>10.198929900000001</v>
      </c>
      <c r="N22" s="282"/>
      <c r="O22" s="5">
        <f t="shared" si="2"/>
        <v>10.198929900000001</v>
      </c>
      <c r="P22" s="286">
        <f t="shared" si="3"/>
        <v>0</v>
      </c>
      <c r="Q22" s="6">
        <f t="shared" si="4"/>
        <v>5.7974277000000001</v>
      </c>
      <c r="R22" s="55">
        <f t="shared" si="5"/>
        <v>0</v>
      </c>
      <c r="S22" s="7">
        <f>Q22+R22+U21</f>
        <v>16.862639900000005</v>
      </c>
      <c r="T22" s="55">
        <f t="shared" si="6"/>
        <v>0</v>
      </c>
      <c r="U22" s="56">
        <f t="shared" si="7"/>
        <v>16.862639900000005</v>
      </c>
      <c r="V22" s="323">
        <f t="shared" si="8"/>
        <v>0</v>
      </c>
      <c r="W22" s="589"/>
      <c r="X22" s="590"/>
      <c r="Y22" s="589"/>
      <c r="Z22" s="590"/>
      <c r="AA22" s="589"/>
      <c r="AB22" s="591"/>
    </row>
    <row r="23" spans="2:28">
      <c r="B23" s="605"/>
      <c r="C23" s="588" t="str">
        <f>+Movimientos_Ltp_Pep!B25</f>
        <v>RUBIO Y MAUAD LTDA.</v>
      </c>
      <c r="D23" s="354" t="s">
        <v>11</v>
      </c>
      <c r="E23" s="344">
        <f>+Movimientos_Ltp_Pep!H25</f>
        <v>8.7516540000000003</v>
      </c>
      <c r="F23" s="1">
        <f>+Movimientos_Ltp_Pep!J25</f>
        <v>0</v>
      </c>
      <c r="G23" s="345">
        <f>E23+F23</f>
        <v>8.7516540000000003</v>
      </c>
      <c r="H23" s="351"/>
      <c r="I23" s="345">
        <f t="shared" ref="I23:I24" si="18">G23-H23</f>
        <v>8.7516540000000003</v>
      </c>
      <c r="J23" s="363">
        <f t="shared" ref="J23:J24" si="19">H23/G23</f>
        <v>0</v>
      </c>
      <c r="K23" s="344">
        <f>+Movimientos_Ltp_Pep!I25</f>
        <v>67.290495199999995</v>
      </c>
      <c r="L23" s="1">
        <f>+Movimientos_Ltp_Pep!K25</f>
        <v>0</v>
      </c>
      <c r="M23" s="345">
        <f>K23+L23</f>
        <v>67.290495199999995</v>
      </c>
      <c r="N23" s="346"/>
      <c r="O23" s="345">
        <f t="shared" ref="O23:O24" si="20">M23-N23</f>
        <v>67.290495199999995</v>
      </c>
      <c r="P23" s="347">
        <f t="shared" ref="P23:P24" si="21">N23/M23</f>
        <v>0</v>
      </c>
      <c r="Q23" s="336">
        <f t="shared" ref="Q23:Q24" si="22">+E23+K23</f>
        <v>76.042149199999997</v>
      </c>
      <c r="R23" s="240">
        <f t="shared" ref="R23:R24" si="23">F23+L23</f>
        <v>0</v>
      </c>
      <c r="S23" s="241">
        <f>Q23+R23</f>
        <v>76.042149199999997</v>
      </c>
      <c r="T23" s="240">
        <f t="shared" ref="T23:T24" si="24">H23+N23</f>
        <v>0</v>
      </c>
      <c r="U23" s="241">
        <f t="shared" ref="U23:U24" si="25">S23-T23</f>
        <v>76.042149199999997</v>
      </c>
      <c r="V23" s="324">
        <f t="shared" ref="V23:V24" si="26">T23/S23</f>
        <v>0</v>
      </c>
      <c r="W23" s="589">
        <f>Q23+Q24</f>
        <v>84.502081399999994</v>
      </c>
      <c r="X23" s="590">
        <f>R23+R24</f>
        <v>0</v>
      </c>
      <c r="Y23" s="589">
        <f>W23+X23</f>
        <v>84.502081399999994</v>
      </c>
      <c r="Z23" s="590">
        <f>T23+T24</f>
        <v>0</v>
      </c>
      <c r="AA23" s="589">
        <f>Y23-Z23</f>
        <v>84.502081399999994</v>
      </c>
      <c r="AB23" s="591">
        <f>Z23/Y23</f>
        <v>0</v>
      </c>
    </row>
    <row r="24" spans="2:28" ht="18.75" customHeight="1">
      <c r="B24" s="605"/>
      <c r="C24" s="588"/>
      <c r="D24" s="353" t="s">
        <v>9</v>
      </c>
      <c r="E24" s="344">
        <f>+Movimientos_Ltp_Pep!H26</f>
        <v>0.97240599999999999</v>
      </c>
      <c r="F24" s="1">
        <f>+Movimientos_Ltp_Pep!J26</f>
        <v>0</v>
      </c>
      <c r="G24" s="4">
        <f>E24+F24+I23</f>
        <v>9.7240599999999997</v>
      </c>
      <c r="H24" s="2"/>
      <c r="I24" s="4">
        <f t="shared" si="18"/>
        <v>9.7240599999999997</v>
      </c>
      <c r="J24" s="362">
        <f t="shared" si="19"/>
        <v>0</v>
      </c>
      <c r="K24" s="344">
        <f>+Movimientos_Ltp_Pep!I26</f>
        <v>7.4875261999999996</v>
      </c>
      <c r="L24" s="1">
        <f>+Movimientos_Ltp_Pep!K26</f>
        <v>0</v>
      </c>
      <c r="M24" s="4">
        <f>O23+K24+L24</f>
        <v>74.7780214</v>
      </c>
      <c r="N24" s="282"/>
      <c r="O24" s="3">
        <f t="shared" si="20"/>
        <v>74.7780214</v>
      </c>
      <c r="P24" s="286">
        <f t="shared" si="21"/>
        <v>0</v>
      </c>
      <c r="Q24" s="7">
        <f t="shared" si="22"/>
        <v>8.459932199999999</v>
      </c>
      <c r="R24" s="56">
        <f t="shared" si="23"/>
        <v>0</v>
      </c>
      <c r="S24" s="7">
        <f>Q24+R24+U23</f>
        <v>84.502081399999994</v>
      </c>
      <c r="T24" s="56">
        <f t="shared" si="24"/>
        <v>0</v>
      </c>
      <c r="U24" s="6">
        <f t="shared" si="25"/>
        <v>84.502081399999994</v>
      </c>
      <c r="V24" s="323">
        <f t="shared" si="26"/>
        <v>0</v>
      </c>
      <c r="W24" s="589"/>
      <c r="X24" s="590"/>
      <c r="Y24" s="589"/>
      <c r="Z24" s="590"/>
      <c r="AA24" s="589"/>
      <c r="AB24" s="591"/>
    </row>
    <row r="25" spans="2:28" hidden="1">
      <c r="B25" s="605"/>
      <c r="C25" s="588" t="str">
        <f>+Movimientos_Ltp_Pep!B27</f>
        <v>SUNRISE S.A. PESQ.</v>
      </c>
      <c r="D25" s="354" t="s">
        <v>11</v>
      </c>
      <c r="E25" s="344">
        <f>+Movimientos_Ltp_Pep!H27</f>
        <v>0</v>
      </c>
      <c r="F25" s="1">
        <f>+Movimientos_Ltp_Pep!J27</f>
        <v>0</v>
      </c>
      <c r="G25" s="337">
        <f>E25+F25</f>
        <v>0</v>
      </c>
      <c r="H25" s="351"/>
      <c r="I25" s="337">
        <f t="shared" si="0"/>
        <v>0</v>
      </c>
      <c r="J25" s="363" t="str">
        <f>IF(G25&gt;0,H25/G25,"0%")</f>
        <v>0%</v>
      </c>
      <c r="K25" s="344">
        <f>+Movimientos_Ltp_Pep!I27</f>
        <v>0</v>
      </c>
      <c r="L25" s="1">
        <f>+Movimientos_Ltp_Pep!K27</f>
        <v>0</v>
      </c>
      <c r="M25" s="337">
        <f>K25+L25</f>
        <v>0</v>
      </c>
      <c r="N25" s="346"/>
      <c r="O25" s="337">
        <f t="shared" si="2"/>
        <v>0</v>
      </c>
      <c r="P25" s="347" t="str">
        <f t="shared" ref="P25:P26" si="27">IF(M25&gt;0,N25/M25,"0%")</f>
        <v>0%</v>
      </c>
      <c r="Q25" s="337">
        <f t="shared" si="4"/>
        <v>0</v>
      </c>
      <c r="R25" s="243">
        <f t="shared" si="5"/>
        <v>0</v>
      </c>
      <c r="S25" s="242">
        <f>Q25+R25</f>
        <v>0</v>
      </c>
      <c r="T25" s="243">
        <f t="shared" si="6"/>
        <v>0</v>
      </c>
      <c r="U25" s="242">
        <f t="shared" si="7"/>
        <v>0</v>
      </c>
      <c r="V25" s="325" t="str">
        <f t="shared" ref="V25:V26" si="28">IF(S25&gt;0,T25/S25,"0%")</f>
        <v>0%</v>
      </c>
      <c r="W25" s="592">
        <f>Q25+Q26</f>
        <v>0</v>
      </c>
      <c r="X25" s="592">
        <f>R25+R26</f>
        <v>0</v>
      </c>
      <c r="Y25" s="592">
        <f>W25+X25</f>
        <v>0</v>
      </c>
      <c r="Z25" s="592">
        <f>T25+T26</f>
        <v>0</v>
      </c>
      <c r="AA25" s="592">
        <f>Y25-Z25</f>
        <v>0</v>
      </c>
      <c r="AB25" s="591" t="str">
        <f t="shared" ref="AB25" si="29">IF(Y25&gt;0,Z25/Y25,"0%")</f>
        <v>0%</v>
      </c>
    </row>
    <row r="26" spans="2:28" hidden="1">
      <c r="B26" s="605"/>
      <c r="C26" s="588"/>
      <c r="D26" s="353" t="s">
        <v>9</v>
      </c>
      <c r="E26" s="344">
        <f>+Movimientos_Ltp_Pep!H28</f>
        <v>0</v>
      </c>
      <c r="F26" s="1">
        <f>+Movimientos_Ltp_Pep!J28</f>
        <v>0</v>
      </c>
      <c r="G26" s="115">
        <f>E26+F26+I25</f>
        <v>0</v>
      </c>
      <c r="H26" s="2"/>
      <c r="I26" s="115">
        <f t="shared" si="0"/>
        <v>0</v>
      </c>
      <c r="J26" s="362" t="str">
        <f>IF(G26&gt;0,H26/G26,"0%")</f>
        <v>0%</v>
      </c>
      <c r="K26" s="344">
        <f>+Movimientos_Ltp_Pep!I28</f>
        <v>0</v>
      </c>
      <c r="L26" s="1">
        <f>+Movimientos_Ltp_Pep!K28</f>
        <v>0</v>
      </c>
      <c r="M26" s="115">
        <f>O25+K26+L26</f>
        <v>0</v>
      </c>
      <c r="N26" s="282"/>
      <c r="O26" s="116">
        <f t="shared" si="2"/>
        <v>0</v>
      </c>
      <c r="P26" s="286" t="str">
        <f t="shared" si="27"/>
        <v>0%</v>
      </c>
      <c r="Q26" s="115">
        <f t="shared" si="4"/>
        <v>0</v>
      </c>
      <c r="R26" s="114">
        <f t="shared" si="5"/>
        <v>0</v>
      </c>
      <c r="S26" s="115">
        <f>Q26+R26+U25</f>
        <v>0</v>
      </c>
      <c r="T26" s="114">
        <f t="shared" si="6"/>
        <v>0</v>
      </c>
      <c r="U26" s="116">
        <f t="shared" si="7"/>
        <v>0</v>
      </c>
      <c r="V26" s="326" t="str">
        <f t="shared" si="28"/>
        <v>0%</v>
      </c>
      <c r="W26" s="592"/>
      <c r="X26" s="592"/>
      <c r="Y26" s="592"/>
      <c r="Z26" s="592"/>
      <c r="AA26" s="592"/>
      <c r="AB26" s="591"/>
    </row>
    <row r="27" spans="2:28" ht="15.6" customHeight="1">
      <c r="B27" s="605"/>
      <c r="C27" s="588" t="str">
        <f>+Movimientos_Ltp_Pep!B29</f>
        <v>ENFEMAR LTDA. SOC. PESQ.</v>
      </c>
      <c r="D27" s="354" t="s">
        <v>11</v>
      </c>
      <c r="E27" s="344">
        <f>+Movimientos_Ltp_Pep!H29</f>
        <v>7.2909000000000002E-2</v>
      </c>
      <c r="F27" s="1">
        <f>+Movimientos_Ltp_Pep!J29</f>
        <v>0</v>
      </c>
      <c r="G27" s="345">
        <f>E27+F27</f>
        <v>7.2909000000000002E-2</v>
      </c>
      <c r="H27" s="351"/>
      <c r="I27" s="345">
        <f t="shared" ref="I27:I30" si="30">G27-H27</f>
        <v>7.2909000000000002E-2</v>
      </c>
      <c r="J27" s="363">
        <f t="shared" ref="J27:J30" si="31">H27/G27</f>
        <v>0</v>
      </c>
      <c r="K27" s="344">
        <f>+Movimientos_Ltp_Pep!I29</f>
        <v>0.56058920000000001</v>
      </c>
      <c r="L27" s="1">
        <f>+Movimientos_Ltp_Pep!K29</f>
        <v>0</v>
      </c>
      <c r="M27" s="345">
        <f>K27+L27</f>
        <v>0.56058920000000001</v>
      </c>
      <c r="N27" s="346"/>
      <c r="O27" s="345">
        <f t="shared" ref="O27:O30" si="32">M27-N27</f>
        <v>0.56058920000000001</v>
      </c>
      <c r="P27" s="347">
        <f t="shared" ref="P27:P30" si="33">N27/M27</f>
        <v>0</v>
      </c>
      <c r="Q27" s="336">
        <f t="shared" ref="Q27:Q30" si="34">+E27+K27</f>
        <v>0.63349820000000001</v>
      </c>
      <c r="R27" s="240">
        <f t="shared" ref="R27:R30" si="35">F27+L27</f>
        <v>0</v>
      </c>
      <c r="S27" s="241">
        <f>Q27+R27</f>
        <v>0.63349820000000001</v>
      </c>
      <c r="T27" s="240">
        <f t="shared" ref="T27:T30" si="36">H27+N27</f>
        <v>0</v>
      </c>
      <c r="U27" s="241">
        <f t="shared" ref="U27:U30" si="37">S27-T27</f>
        <v>0.63349820000000001</v>
      </c>
      <c r="V27" s="324">
        <f t="shared" ref="V27:V30" si="38">T27/S27</f>
        <v>0</v>
      </c>
      <c r="W27" s="589">
        <f>Q27+Q28</f>
        <v>0.70397690000000002</v>
      </c>
      <c r="X27" s="590">
        <f>R27+R28</f>
        <v>0</v>
      </c>
      <c r="Y27" s="589">
        <f>W27+X27</f>
        <v>0.70397690000000002</v>
      </c>
      <c r="Z27" s="590">
        <f>T27+T28</f>
        <v>0</v>
      </c>
      <c r="AA27" s="589">
        <f>Y27-Z27</f>
        <v>0.70397690000000002</v>
      </c>
      <c r="AB27" s="591">
        <f>Z27/Y27</f>
        <v>0</v>
      </c>
    </row>
    <row r="28" spans="2:28">
      <c r="B28" s="605"/>
      <c r="C28" s="588"/>
      <c r="D28" s="353" t="s">
        <v>9</v>
      </c>
      <c r="E28" s="344">
        <f>+Movimientos_Ltp_Pep!H30</f>
        <v>8.1010000000000006E-3</v>
      </c>
      <c r="F28" s="1">
        <f>+Movimientos_Ltp_Pep!J30</f>
        <v>0</v>
      </c>
      <c r="G28" s="4">
        <f>E28+F28+I27</f>
        <v>8.1009999999999999E-2</v>
      </c>
      <c r="H28" s="2"/>
      <c r="I28" s="4">
        <f t="shared" si="30"/>
        <v>8.1009999999999999E-2</v>
      </c>
      <c r="J28" s="362">
        <f t="shared" si="31"/>
        <v>0</v>
      </c>
      <c r="K28" s="344">
        <f>+Movimientos_Ltp_Pep!I30</f>
        <v>6.2377700000000001E-2</v>
      </c>
      <c r="L28" s="1">
        <f>+Movimientos_Ltp_Pep!K30</f>
        <v>0</v>
      </c>
      <c r="M28" s="4">
        <f>O27+K28+L28</f>
        <v>0.62296689999999999</v>
      </c>
      <c r="N28" s="282"/>
      <c r="O28" s="3">
        <f t="shared" si="32"/>
        <v>0.62296689999999999</v>
      </c>
      <c r="P28" s="286">
        <f t="shared" si="33"/>
        <v>0</v>
      </c>
      <c r="Q28" s="7">
        <f t="shared" si="34"/>
        <v>7.0478700000000005E-2</v>
      </c>
      <c r="R28" s="56">
        <f t="shared" si="35"/>
        <v>0</v>
      </c>
      <c r="S28" s="7">
        <f>Q28+R28+U27</f>
        <v>0.70397690000000002</v>
      </c>
      <c r="T28" s="56">
        <f t="shared" si="36"/>
        <v>0</v>
      </c>
      <c r="U28" s="6">
        <f t="shared" si="37"/>
        <v>0.70397690000000002</v>
      </c>
      <c r="V28" s="323">
        <f t="shared" si="38"/>
        <v>0</v>
      </c>
      <c r="W28" s="589"/>
      <c r="X28" s="590"/>
      <c r="Y28" s="589"/>
      <c r="Z28" s="590"/>
      <c r="AA28" s="589"/>
      <c r="AB28" s="591"/>
    </row>
    <row r="29" spans="2:28" hidden="1">
      <c r="B29" s="605"/>
      <c r="C29" s="588" t="str">
        <f>+Movimientos_Ltp_Pep!B31</f>
        <v>ALIMENTOS ALSAN LTDA</v>
      </c>
      <c r="D29" s="355" t="s">
        <v>11</v>
      </c>
      <c r="E29" s="344">
        <f>+Movimientos_Ltp_Pep!H31</f>
        <v>0</v>
      </c>
      <c r="F29" s="1">
        <f>+Movimientos_Ltp_Pep!J31</f>
        <v>0</v>
      </c>
      <c r="G29" s="337">
        <f>E29+F29</f>
        <v>0</v>
      </c>
      <c r="H29" s="351"/>
      <c r="I29" s="337">
        <f t="shared" si="30"/>
        <v>0</v>
      </c>
      <c r="J29" s="363" t="e">
        <f t="shared" si="31"/>
        <v>#DIV/0!</v>
      </c>
      <c r="K29" s="344">
        <f>+Movimientos_Ltp_Pep!I31</f>
        <v>0</v>
      </c>
      <c r="L29" s="1">
        <f>+Movimientos_Ltp_Pep!K31</f>
        <v>0</v>
      </c>
      <c r="M29" s="337">
        <f>K29+L29</f>
        <v>0</v>
      </c>
      <c r="N29" s="346"/>
      <c r="O29" s="337">
        <f t="shared" si="32"/>
        <v>0</v>
      </c>
      <c r="P29" s="349" t="e">
        <f t="shared" si="33"/>
        <v>#DIV/0!</v>
      </c>
      <c r="Q29" s="337">
        <f t="shared" si="34"/>
        <v>0</v>
      </c>
      <c r="R29" s="243">
        <f t="shared" si="35"/>
        <v>0</v>
      </c>
      <c r="S29" s="242">
        <f>Q29+R29</f>
        <v>0</v>
      </c>
      <c r="T29" s="243">
        <f t="shared" si="36"/>
        <v>0</v>
      </c>
      <c r="U29" s="242">
        <f t="shared" si="37"/>
        <v>0</v>
      </c>
      <c r="V29" s="327" t="e">
        <f t="shared" si="38"/>
        <v>#DIV/0!</v>
      </c>
      <c r="W29" s="592">
        <f>Q29+Q30</f>
        <v>0</v>
      </c>
      <c r="X29" s="592">
        <f>R29+R30</f>
        <v>0</v>
      </c>
      <c r="Y29" s="592">
        <f>W29+X29</f>
        <v>0</v>
      </c>
      <c r="Z29" s="592">
        <f>T29+T30</f>
        <v>0</v>
      </c>
      <c r="AA29" s="592">
        <f>Y29-Z29</f>
        <v>0</v>
      </c>
      <c r="AB29" s="593" t="e">
        <f>Z29/Y29</f>
        <v>#DIV/0!</v>
      </c>
    </row>
    <row r="30" spans="2:28" hidden="1">
      <c r="B30" s="605"/>
      <c r="C30" s="588"/>
      <c r="D30" s="356" t="s">
        <v>9</v>
      </c>
      <c r="E30" s="344">
        <f>+Movimientos_Ltp_Pep!H32</f>
        <v>0</v>
      </c>
      <c r="F30" s="1">
        <f>+Movimientos_Ltp_Pep!J32</f>
        <v>0</v>
      </c>
      <c r="G30" s="116">
        <f>E30+F30+I29</f>
        <v>0</v>
      </c>
      <c r="H30" s="1"/>
      <c r="I30" s="116">
        <f t="shared" si="30"/>
        <v>0</v>
      </c>
      <c r="J30" s="362" t="e">
        <f t="shared" si="31"/>
        <v>#DIV/0!</v>
      </c>
      <c r="K30" s="344">
        <f>+Movimientos_Ltp_Pep!I32</f>
        <v>0</v>
      </c>
      <c r="L30" s="1">
        <f>+Movimientos_Ltp_Pep!K32</f>
        <v>0</v>
      </c>
      <c r="M30" s="116">
        <f>O29+K30+L30</f>
        <v>0</v>
      </c>
      <c r="N30" s="283"/>
      <c r="O30" s="116">
        <f t="shared" si="32"/>
        <v>0</v>
      </c>
      <c r="P30" s="287" t="e">
        <f t="shared" si="33"/>
        <v>#DIV/0!</v>
      </c>
      <c r="Q30" s="116">
        <f t="shared" si="34"/>
        <v>0</v>
      </c>
      <c r="R30" s="147">
        <f t="shared" si="35"/>
        <v>0</v>
      </c>
      <c r="S30" s="116">
        <f>Q30+R30+U29</f>
        <v>0</v>
      </c>
      <c r="T30" s="147">
        <f t="shared" si="36"/>
        <v>0</v>
      </c>
      <c r="U30" s="116">
        <f t="shared" si="37"/>
        <v>0</v>
      </c>
      <c r="V30" s="328" t="e">
        <f t="shared" si="38"/>
        <v>#DIV/0!</v>
      </c>
      <c r="W30" s="592"/>
      <c r="X30" s="592"/>
      <c r="Y30" s="592"/>
      <c r="Z30" s="592"/>
      <c r="AA30" s="592"/>
      <c r="AB30" s="593"/>
    </row>
    <row r="31" spans="2:28" ht="14.4" hidden="1" customHeight="1">
      <c r="B31" s="605"/>
      <c r="C31" s="588" t="str">
        <f>+Movimientos_Ltp_Pep!B33</f>
        <v>SOC. DISTRIBUIDORA DE PRODUCTOS DEL MAR LTDA.</v>
      </c>
      <c r="D31" s="354" t="s">
        <v>11</v>
      </c>
      <c r="E31" s="344">
        <f>+Movimientos_Ltp_Pep!H33</f>
        <v>0</v>
      </c>
      <c r="F31" s="1">
        <f>+Movimientos_Ltp_Pep!J33</f>
        <v>0</v>
      </c>
      <c r="G31" s="345">
        <f>E31+F31</f>
        <v>0</v>
      </c>
      <c r="H31" s="351"/>
      <c r="I31" s="345">
        <f t="shared" si="0"/>
        <v>0</v>
      </c>
      <c r="J31" s="363" t="str">
        <f>IF(G26&gt;0,H26/G26,"0%")</f>
        <v>0%</v>
      </c>
      <c r="K31" s="344">
        <f>+Movimientos_Ltp_Pep!I33</f>
        <v>0</v>
      </c>
      <c r="L31" s="1">
        <f>+Movimientos_Ltp_Pep!K33</f>
        <v>0</v>
      </c>
      <c r="M31" s="345">
        <f>K31+L31</f>
        <v>0</v>
      </c>
      <c r="N31" s="346"/>
      <c r="O31" s="345">
        <f t="shared" si="2"/>
        <v>0</v>
      </c>
      <c r="P31" s="347" t="str">
        <f t="shared" ref="P31:P32" si="39">IF(M31&gt;0,N31/M31,"0%")</f>
        <v>0%</v>
      </c>
      <c r="Q31" s="336">
        <f t="shared" si="4"/>
        <v>0</v>
      </c>
      <c r="R31" s="240">
        <f t="shared" si="5"/>
        <v>0</v>
      </c>
      <c r="S31" s="241">
        <f>Q31+R31</f>
        <v>0</v>
      </c>
      <c r="T31" s="240">
        <f t="shared" si="6"/>
        <v>0</v>
      </c>
      <c r="U31" s="241">
        <f t="shared" si="7"/>
        <v>0</v>
      </c>
      <c r="V31" s="324">
        <v>0</v>
      </c>
      <c r="W31" s="589">
        <f>Q31+Q32</f>
        <v>0</v>
      </c>
      <c r="X31" s="590">
        <f>R31+R32</f>
        <v>0</v>
      </c>
      <c r="Y31" s="589">
        <f>W31+X31</f>
        <v>0</v>
      </c>
      <c r="Z31" s="590">
        <f>T31+T32</f>
        <v>0</v>
      </c>
      <c r="AA31" s="589">
        <f>Y31-Z31</f>
        <v>0</v>
      </c>
      <c r="AB31" s="591" t="str">
        <f t="shared" ref="AB31" si="40">IF(Y31&gt;0,Z31/Y31,"0%")</f>
        <v>0%</v>
      </c>
    </row>
    <row r="32" spans="2:28" ht="18.75" hidden="1" customHeight="1">
      <c r="B32" s="605"/>
      <c r="C32" s="588"/>
      <c r="D32" s="353" t="s">
        <v>9</v>
      </c>
      <c r="E32" s="344">
        <f>+Movimientos_Ltp_Pep!H34</f>
        <v>0</v>
      </c>
      <c r="F32" s="1">
        <f>+Movimientos_Ltp_Pep!J34</f>
        <v>0</v>
      </c>
      <c r="G32" s="4">
        <f>E32+F32+I31</f>
        <v>0</v>
      </c>
      <c r="H32" s="2"/>
      <c r="I32" s="4">
        <f t="shared" si="0"/>
        <v>0</v>
      </c>
      <c r="J32" s="362" t="str">
        <f>IF(G32&gt;0,H32/G32,"0%")</f>
        <v>0%</v>
      </c>
      <c r="K32" s="344">
        <f>+Movimientos_Ltp_Pep!I34</f>
        <v>0</v>
      </c>
      <c r="L32" s="1">
        <f>+Movimientos_Ltp_Pep!K34</f>
        <v>0</v>
      </c>
      <c r="M32" s="4">
        <f>O31+K32+L32</f>
        <v>0</v>
      </c>
      <c r="N32" s="282"/>
      <c r="O32" s="3">
        <f t="shared" si="2"/>
        <v>0</v>
      </c>
      <c r="P32" s="286" t="str">
        <f t="shared" si="39"/>
        <v>0%</v>
      </c>
      <c r="Q32" s="7">
        <f t="shared" si="4"/>
        <v>0</v>
      </c>
      <c r="R32" s="56">
        <f t="shared" si="5"/>
        <v>0</v>
      </c>
      <c r="S32" s="7">
        <f>Q32+R32+U31</f>
        <v>0</v>
      </c>
      <c r="T32" s="56">
        <f t="shared" si="6"/>
        <v>0</v>
      </c>
      <c r="U32" s="6">
        <f t="shared" si="7"/>
        <v>0</v>
      </c>
      <c r="V32" s="323">
        <v>0</v>
      </c>
      <c r="W32" s="589"/>
      <c r="X32" s="590"/>
      <c r="Y32" s="589"/>
      <c r="Z32" s="590"/>
      <c r="AA32" s="589"/>
      <c r="AB32" s="591"/>
    </row>
    <row r="33" spans="2:33" ht="15.6" hidden="1" customHeight="1">
      <c r="B33" s="605"/>
      <c r="C33" s="588" t="str">
        <f>+Movimientos_Ltp_Pep!B35</f>
        <v>DA VENEZIA RETAMALES ANTONIO</v>
      </c>
      <c r="D33" s="354" t="s">
        <v>11</v>
      </c>
      <c r="E33" s="344">
        <f>+Movimientos_Ltp_Pep!H35</f>
        <v>0</v>
      </c>
      <c r="F33" s="1">
        <f>+Movimientos_Ltp_Pep!J35</f>
        <v>0</v>
      </c>
      <c r="G33" s="337">
        <f>E33+F33</f>
        <v>0</v>
      </c>
      <c r="H33" s="351"/>
      <c r="I33" s="337">
        <f t="shared" si="0"/>
        <v>0</v>
      </c>
      <c r="J33" s="363" t="str">
        <f t="shared" ref="J33:J34" si="41">IF(G33&gt;0,H33/G33,"0%")</f>
        <v>0%</v>
      </c>
      <c r="K33" s="344">
        <f>+Movimientos_Ltp_Pep!I35</f>
        <v>0</v>
      </c>
      <c r="L33" s="1">
        <f>+Movimientos_Ltp_Pep!K35</f>
        <v>0</v>
      </c>
      <c r="M33" s="337">
        <f>K33+L33</f>
        <v>0</v>
      </c>
      <c r="N33" s="346"/>
      <c r="O33" s="337">
        <f t="shared" si="2"/>
        <v>0</v>
      </c>
      <c r="P33" s="347" t="str">
        <f t="shared" ref="P33:P34" si="42">IF(M33&gt;0,N33/M33,"0%")</f>
        <v>0%</v>
      </c>
      <c r="Q33" s="337">
        <f t="shared" si="4"/>
        <v>0</v>
      </c>
      <c r="R33" s="243">
        <f t="shared" si="5"/>
        <v>0</v>
      </c>
      <c r="S33" s="242">
        <f>Q33+R33</f>
        <v>0</v>
      </c>
      <c r="T33" s="243">
        <f t="shared" si="6"/>
        <v>0</v>
      </c>
      <c r="U33" s="242">
        <f t="shared" si="7"/>
        <v>0</v>
      </c>
      <c r="V33" s="325" t="str">
        <f t="shared" ref="V33:V34" si="43">IF(S33&gt;0,T33/S33,"0%")</f>
        <v>0%</v>
      </c>
      <c r="W33" s="592">
        <f>Q33+Q34</f>
        <v>0</v>
      </c>
      <c r="X33" s="592">
        <f>R33+R34</f>
        <v>0</v>
      </c>
      <c r="Y33" s="592">
        <f>W33+X33</f>
        <v>0</v>
      </c>
      <c r="Z33" s="592">
        <f>T33+T34</f>
        <v>0</v>
      </c>
      <c r="AA33" s="592">
        <f>Y33-Z33</f>
        <v>0</v>
      </c>
      <c r="AB33" s="591" t="str">
        <f t="shared" ref="AB33" si="44">IF(Y33&gt;0,Z33/Y33,"0%")</f>
        <v>0%</v>
      </c>
    </row>
    <row r="34" spans="2:33" hidden="1">
      <c r="B34" s="605"/>
      <c r="C34" s="621"/>
      <c r="D34" s="352" t="s">
        <v>9</v>
      </c>
      <c r="E34" s="344">
        <f>+Movimientos_Ltp_Pep!H36</f>
        <v>0</v>
      </c>
      <c r="F34" s="1">
        <f>+Movimientos_Ltp_Pep!J36</f>
        <v>0</v>
      </c>
      <c r="G34" s="116">
        <f>E34+F34+I33</f>
        <v>0</v>
      </c>
      <c r="H34" s="1"/>
      <c r="I34" s="116">
        <f t="shared" si="0"/>
        <v>0</v>
      </c>
      <c r="J34" s="361" t="str">
        <f t="shared" si="41"/>
        <v>0%</v>
      </c>
      <c r="K34" s="344">
        <f>+Movimientos_Ltp_Pep!I36</f>
        <v>0</v>
      </c>
      <c r="L34" s="1">
        <f>+Movimientos_Ltp_Pep!K36</f>
        <v>0</v>
      </c>
      <c r="M34" s="116">
        <f>O33+K34+L34</f>
        <v>0</v>
      </c>
      <c r="N34" s="283"/>
      <c r="O34" s="116">
        <f t="shared" si="2"/>
        <v>0</v>
      </c>
      <c r="P34" s="285" t="str">
        <f t="shared" si="42"/>
        <v>0%</v>
      </c>
      <c r="Q34" s="116">
        <f t="shared" si="4"/>
        <v>0</v>
      </c>
      <c r="R34" s="147">
        <f t="shared" si="5"/>
        <v>0</v>
      </c>
      <c r="S34" s="116">
        <f>Q34+R34+U33</f>
        <v>0</v>
      </c>
      <c r="T34" s="147">
        <f t="shared" si="6"/>
        <v>0</v>
      </c>
      <c r="U34" s="116">
        <f t="shared" si="7"/>
        <v>0</v>
      </c>
      <c r="V34" s="329" t="str">
        <f t="shared" si="43"/>
        <v>0%</v>
      </c>
      <c r="W34" s="592"/>
      <c r="X34" s="592"/>
      <c r="Y34" s="592"/>
      <c r="Z34" s="592"/>
      <c r="AA34" s="592"/>
      <c r="AB34" s="591"/>
    </row>
    <row r="35" spans="2:33">
      <c r="B35" s="605"/>
      <c r="C35" s="588" t="str">
        <f>+Movimientos_Ltp_Pep!B37</f>
        <v>NICANOR GONZALEZ VEGA</v>
      </c>
      <c r="D35" s="354" t="s">
        <v>11</v>
      </c>
      <c r="E35" s="350">
        <f>+Movimientos_Ltp_Pep!H37</f>
        <v>1.5111270000000001</v>
      </c>
      <c r="F35" s="351">
        <f>+Movimientos_Ltp_Pep!J37</f>
        <v>0</v>
      </c>
      <c r="G35" s="345">
        <f>E35+F35</f>
        <v>1.5111270000000001</v>
      </c>
      <c r="H35" s="351"/>
      <c r="I35" s="345">
        <f t="shared" si="0"/>
        <v>1.5111270000000001</v>
      </c>
      <c r="J35" s="363">
        <f t="shared" si="1"/>
        <v>0</v>
      </c>
      <c r="K35" s="350">
        <f>+Movimientos_Ltp_Pep!I37</f>
        <v>11.618887600000001</v>
      </c>
      <c r="L35" s="351">
        <f>+Movimientos_Ltp_Pep!K37</f>
        <v>0</v>
      </c>
      <c r="M35" s="345">
        <f>K35+L35</f>
        <v>11.618887600000001</v>
      </c>
      <c r="N35" s="346"/>
      <c r="O35" s="345">
        <f t="shared" si="2"/>
        <v>11.618887600000001</v>
      </c>
      <c r="P35" s="347">
        <f t="shared" si="3"/>
        <v>0</v>
      </c>
      <c r="Q35" s="336">
        <f t="shared" si="4"/>
        <v>13.130014600000001</v>
      </c>
      <c r="R35" s="240">
        <f t="shared" si="5"/>
        <v>0</v>
      </c>
      <c r="S35" s="241">
        <f>Q35+R35</f>
        <v>13.130014600000001</v>
      </c>
      <c r="T35" s="240">
        <f t="shared" si="6"/>
        <v>0</v>
      </c>
      <c r="U35" s="241">
        <f t="shared" si="7"/>
        <v>13.130014600000001</v>
      </c>
      <c r="V35" s="324">
        <f t="shared" si="8"/>
        <v>0</v>
      </c>
      <c r="W35" s="589">
        <f>Q35+Q36</f>
        <v>14.5907707</v>
      </c>
      <c r="X35" s="590">
        <f>R35+R36</f>
        <v>0</v>
      </c>
      <c r="Y35" s="589">
        <f>W35+X35</f>
        <v>14.5907707</v>
      </c>
      <c r="Z35" s="590">
        <f>T35+T36</f>
        <v>0</v>
      </c>
      <c r="AA35" s="589">
        <f>Y35-Z35</f>
        <v>14.5907707</v>
      </c>
      <c r="AB35" s="591">
        <f>Z35/Y35</f>
        <v>0</v>
      </c>
    </row>
    <row r="36" spans="2:33">
      <c r="B36" s="605"/>
      <c r="C36" s="621"/>
      <c r="D36" s="352" t="s">
        <v>9</v>
      </c>
      <c r="E36" s="344">
        <f>+Movimientos_Ltp_Pep!H38</f>
        <v>0.16790300000000002</v>
      </c>
      <c r="F36" s="1">
        <f>+Movimientos_Ltp_Pep!J38</f>
        <v>0</v>
      </c>
      <c r="G36" s="3">
        <f>E36+F36+I35</f>
        <v>1.67903</v>
      </c>
      <c r="H36" s="1"/>
      <c r="I36" s="3">
        <f t="shared" si="0"/>
        <v>1.67903</v>
      </c>
      <c r="J36" s="361">
        <f t="shared" si="1"/>
        <v>0</v>
      </c>
      <c r="K36" s="344">
        <f>+Movimientos_Ltp_Pep!I38</f>
        <v>1.2928531000000001</v>
      </c>
      <c r="L36" s="1">
        <f>+Movimientos_Ltp_Pep!K38</f>
        <v>0</v>
      </c>
      <c r="M36" s="3">
        <f>O35+K36+L36</f>
        <v>12.911740700000001</v>
      </c>
      <c r="N36" s="283"/>
      <c r="O36" s="3">
        <f t="shared" si="2"/>
        <v>12.911740700000001</v>
      </c>
      <c r="P36" s="285">
        <f t="shared" si="3"/>
        <v>0</v>
      </c>
      <c r="Q36" s="6">
        <f t="shared" si="4"/>
        <v>1.4607561000000002</v>
      </c>
      <c r="R36" s="55">
        <f t="shared" si="5"/>
        <v>0</v>
      </c>
      <c r="S36" s="6">
        <f>Q36+R36+U35</f>
        <v>14.5907707</v>
      </c>
      <c r="T36" s="55">
        <f t="shared" si="6"/>
        <v>0</v>
      </c>
      <c r="U36" s="6">
        <f t="shared" si="7"/>
        <v>14.5907707</v>
      </c>
      <c r="V36" s="322">
        <f t="shared" si="8"/>
        <v>0</v>
      </c>
      <c r="W36" s="589"/>
      <c r="X36" s="590"/>
      <c r="Y36" s="589"/>
      <c r="Z36" s="590"/>
      <c r="AA36" s="589"/>
      <c r="AB36" s="591"/>
    </row>
    <row r="37" spans="2:33" s="203" customFormat="1">
      <c r="B37" s="605"/>
      <c r="C37" s="622" t="s">
        <v>107</v>
      </c>
      <c r="D37" s="357" t="s">
        <v>11</v>
      </c>
      <c r="E37" s="342">
        <f t="shared" ref="E37:H38" si="45">+E7+E9+E11+E13+E15+E17+E19+E21+E23+E25+E27+E29+E31+E33+E35</f>
        <v>89.999990999999994</v>
      </c>
      <c r="F37" s="342">
        <f t="shared" si="45"/>
        <v>0</v>
      </c>
      <c r="G37" s="342">
        <f t="shared" si="45"/>
        <v>89.999990999999994</v>
      </c>
      <c r="H37" s="343">
        <f t="shared" si="45"/>
        <v>0</v>
      </c>
      <c r="I37" s="342">
        <f>G37-H37</f>
        <v>89.999990999999994</v>
      </c>
      <c r="J37" s="364">
        <f t="shared" si="1"/>
        <v>0</v>
      </c>
      <c r="K37" s="342">
        <f>+K7+K9+K11+K13+K15+K17+K19+K21+K23+K25+K27+K29+K31+K33+K35</f>
        <v>691.9999307999999</v>
      </c>
      <c r="L37" s="342">
        <f>+L7+L9+L11+L13+L15+L17+L19+L21+L23+L25+L27+L29+L31+L33+L35</f>
        <v>83.843000000000004</v>
      </c>
      <c r="M37" s="342">
        <f>+K37+L37</f>
        <v>775.84293079999986</v>
      </c>
      <c r="N37" s="343">
        <f>+N7+N9+N11+N13+N15+N17+N19+N21+N23+N25+N27+N29+N31+N33+N35</f>
        <v>304.40899999999999</v>
      </c>
      <c r="O37" s="342">
        <f>M37-N37</f>
        <v>471.43393079999987</v>
      </c>
      <c r="P37" s="347">
        <f t="shared" si="3"/>
        <v>0.39235905608640759</v>
      </c>
      <c r="Q37" s="338">
        <f>+Q7+Q9+Q11+Q13+Q15+Q17+Q19+Q21+Q23+Q25+Q27+Q29+Q31+Q33+Q35</f>
        <v>781.99992180000015</v>
      </c>
      <c r="R37" s="237">
        <f>+R7+R9+R11+R13+R15+R17+R19+R21+R23+R25+R27+R29+R31+R33+R35</f>
        <v>83.843000000000004</v>
      </c>
      <c r="S37" s="237">
        <f>+Q37+R37</f>
        <v>865.84292180000011</v>
      </c>
      <c r="T37" s="237">
        <f>+T7+T9+T11+T13+T15+T17+T19+T21+T23+T25+T27+T29+T31+T33+T35</f>
        <v>304.40899999999999</v>
      </c>
      <c r="U37" s="236">
        <f t="shared" si="7"/>
        <v>561.43392180000012</v>
      </c>
      <c r="V37" s="330">
        <f t="shared" si="8"/>
        <v>0.35157531734181574</v>
      </c>
      <c r="W37" s="589">
        <f>SUM(W7:W36)</f>
        <v>868.99991310000019</v>
      </c>
      <c r="X37" s="589">
        <f>SUM(X7:X36)</f>
        <v>83.843000000000004</v>
      </c>
      <c r="Y37" s="589">
        <f>+W37+X37</f>
        <v>952.84291310000015</v>
      </c>
      <c r="Z37" s="589">
        <f>SUM(Z7:Z36)</f>
        <v>304.40899999999999</v>
      </c>
      <c r="AA37" s="619">
        <f>Y37-Z37</f>
        <v>648.43391310000015</v>
      </c>
      <c r="AB37" s="620">
        <f>Z37/Y37</f>
        <v>0.31947448610351631</v>
      </c>
      <c r="AG37" s="207"/>
    </row>
    <row r="38" spans="2:33" s="203" customFormat="1">
      <c r="B38" s="606"/>
      <c r="C38" s="623"/>
      <c r="D38" s="244" t="s">
        <v>9</v>
      </c>
      <c r="E38" s="342">
        <f t="shared" si="45"/>
        <v>9.9999990000000007</v>
      </c>
      <c r="F38" s="342">
        <f t="shared" si="45"/>
        <v>0</v>
      </c>
      <c r="G38" s="342">
        <f t="shared" si="45"/>
        <v>99.999989999999983</v>
      </c>
      <c r="H38" s="342">
        <f t="shared" si="45"/>
        <v>0</v>
      </c>
      <c r="I38" s="342">
        <f>G38-H38</f>
        <v>99.999989999999983</v>
      </c>
      <c r="J38" s="364">
        <f t="shared" ref="J38" si="46">H38/G38</f>
        <v>0</v>
      </c>
      <c r="K38" s="342">
        <f>+K8+K10+K12+K14+K16+K18+K20+K22+K24+K26+K28+K30+K32+K34+K36</f>
        <v>76.999992300000017</v>
      </c>
      <c r="L38" s="342">
        <f>+L8+L10+L12+L14+L16+L18+L20+L22+L24+L26+L28+L30+L32+L34+L36</f>
        <v>0</v>
      </c>
      <c r="M38" s="342">
        <f>+K38+L38+O37</f>
        <v>548.4339230999999</v>
      </c>
      <c r="N38" s="343">
        <f>+N8+N10+N12+N14+N16+N18+N20+N22+N24+N26+N28+N30+N32+N34+N36</f>
        <v>0</v>
      </c>
      <c r="O38" s="342">
        <f>M38-N38</f>
        <v>548.4339230999999</v>
      </c>
      <c r="P38" s="341">
        <f t="shared" si="3"/>
        <v>0</v>
      </c>
      <c r="Q38" s="338">
        <f>+Q8+Q10+Q12+Q14+Q16+Q18+Q20+Q22+Q24+Q26+Q28+Q30+Q32+Q34+Q36</f>
        <v>86.999991299999976</v>
      </c>
      <c r="R38" s="237">
        <f>+R8+R10+R12+R14+R16+R18+R20+R22+R24+R26+R28+R30+R32+R34+R36</f>
        <v>0</v>
      </c>
      <c r="S38" s="237">
        <f>+Q38+R38+U37</f>
        <v>648.43391310000015</v>
      </c>
      <c r="T38" s="238">
        <f>+T8+T10+T12+T14+T16+T18+T20+T22+T24+T26+T28+T30+T32+T34+T36</f>
        <v>0</v>
      </c>
      <c r="U38" s="236">
        <f t="shared" si="7"/>
        <v>648.43391310000015</v>
      </c>
      <c r="V38" s="331">
        <f t="shared" si="8"/>
        <v>0</v>
      </c>
      <c r="W38" s="589"/>
      <c r="X38" s="589"/>
      <c r="Y38" s="589"/>
      <c r="Z38" s="589"/>
      <c r="AA38" s="619"/>
      <c r="AB38" s="620"/>
      <c r="AG38" s="207"/>
    </row>
    <row r="39" spans="2:33">
      <c r="W39" s="320">
        <f>+W37-Movimientos_Ltp_Pep!L39</f>
        <v>0</v>
      </c>
    </row>
    <row r="40" spans="2:33">
      <c r="N40" s="206"/>
    </row>
    <row r="44" spans="2:33">
      <c r="C44" s="233"/>
      <c r="D44" s="200">
        <v>4</v>
      </c>
    </row>
    <row r="45" spans="2:33">
      <c r="C45" s="279" t="s">
        <v>87</v>
      </c>
      <c r="D45" s="245">
        <v>149.06699999999998</v>
      </c>
    </row>
    <row r="46" spans="2:33">
      <c r="C46" s="280" t="s">
        <v>89</v>
      </c>
      <c r="D46" s="245">
        <v>31.934999999999999</v>
      </c>
    </row>
    <row r="47" spans="2:33">
      <c r="C47" s="279" t="s">
        <v>155</v>
      </c>
      <c r="D47" s="245">
        <v>82.361999999999995</v>
      </c>
    </row>
    <row r="48" spans="2:33">
      <c r="C48" s="279" t="s">
        <v>156</v>
      </c>
      <c r="D48" s="245">
        <v>41.045000000000002</v>
      </c>
    </row>
    <row r="49" spans="3:4">
      <c r="C49" s="201" t="s">
        <v>154</v>
      </c>
      <c r="D49" s="200">
        <f>SUM(D45:D48)</f>
        <v>304.40899999999999</v>
      </c>
    </row>
  </sheetData>
  <mergeCells count="122">
    <mergeCell ref="C35:C36"/>
    <mergeCell ref="Z29:Z30"/>
    <mergeCell ref="W35:W36"/>
    <mergeCell ref="X35:X36"/>
    <mergeCell ref="Y35:Y36"/>
    <mergeCell ref="Z35:Z36"/>
    <mergeCell ref="AA35:AA36"/>
    <mergeCell ref="AB35:AB36"/>
    <mergeCell ref="C37:C38"/>
    <mergeCell ref="AA33:AA34"/>
    <mergeCell ref="AB33:AB34"/>
    <mergeCell ref="B7:B38"/>
    <mergeCell ref="B2:AB2"/>
    <mergeCell ref="B3:AB3"/>
    <mergeCell ref="D5:D6"/>
    <mergeCell ref="C5:C6"/>
    <mergeCell ref="B5:B6"/>
    <mergeCell ref="W37:W38"/>
    <mergeCell ref="X37:X38"/>
    <mergeCell ref="Y37:Y38"/>
    <mergeCell ref="Z37:Z38"/>
    <mergeCell ref="AA37:AA38"/>
    <mergeCell ref="AB37:AB38"/>
    <mergeCell ref="C33:C34"/>
    <mergeCell ref="Z31:Z32"/>
    <mergeCell ref="AA31:AA32"/>
    <mergeCell ref="AB31:AB32"/>
    <mergeCell ref="C31:C32"/>
    <mergeCell ref="W31:W32"/>
    <mergeCell ref="X31:X32"/>
    <mergeCell ref="Y31:Y32"/>
    <mergeCell ref="W33:W34"/>
    <mergeCell ref="X33:X34"/>
    <mergeCell ref="Y33:Y34"/>
    <mergeCell ref="Z33:Z34"/>
    <mergeCell ref="E5:J5"/>
    <mergeCell ref="K5:P5"/>
    <mergeCell ref="W21:W22"/>
    <mergeCell ref="X21:X22"/>
    <mergeCell ref="Y21:Y22"/>
    <mergeCell ref="W5:AB5"/>
    <mergeCell ref="C7:C8"/>
    <mergeCell ref="C23:C24"/>
    <mergeCell ref="C19:C20"/>
    <mergeCell ref="Z7:Z8"/>
    <mergeCell ref="AA7:AA8"/>
    <mergeCell ref="AB7:AB8"/>
    <mergeCell ref="W23:W24"/>
    <mergeCell ref="X23:X24"/>
    <mergeCell ref="Y23:Y24"/>
    <mergeCell ref="Q5:V5"/>
    <mergeCell ref="Z23:Z24"/>
    <mergeCell ref="AA23:AA24"/>
    <mergeCell ref="AB23:AB24"/>
    <mergeCell ref="W7:W8"/>
    <mergeCell ref="X7:X8"/>
    <mergeCell ref="Y7:Y8"/>
    <mergeCell ref="Z19:Z20"/>
    <mergeCell ref="AA19:AA20"/>
    <mergeCell ref="C9:C10"/>
    <mergeCell ref="W9:W10"/>
    <mergeCell ref="X9:X10"/>
    <mergeCell ref="Y9:Y10"/>
    <mergeCell ref="Z9:Z10"/>
    <mergeCell ref="AA9:AA10"/>
    <mergeCell ref="AB9:AB10"/>
    <mergeCell ref="C21:C22"/>
    <mergeCell ref="C25:C26"/>
    <mergeCell ref="AA21:AA22"/>
    <mergeCell ref="AB21:AB22"/>
    <mergeCell ref="AB25:AB26"/>
    <mergeCell ref="Z21:Z22"/>
    <mergeCell ref="W25:W26"/>
    <mergeCell ref="X25:X26"/>
    <mergeCell ref="Y25:Y26"/>
    <mergeCell ref="Z25:Z26"/>
    <mergeCell ref="AA25:AA26"/>
    <mergeCell ref="C11:C12"/>
    <mergeCell ref="W11:W12"/>
    <mergeCell ref="X11:X12"/>
    <mergeCell ref="Y11:Y12"/>
    <mergeCell ref="Z11:Z12"/>
    <mergeCell ref="AA11:AA12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17:C18"/>
    <mergeCell ref="W17:W18"/>
    <mergeCell ref="X17:X18"/>
    <mergeCell ref="Y17:Y18"/>
    <mergeCell ref="Z17:Z18"/>
    <mergeCell ref="AA17:AA18"/>
    <mergeCell ref="AB17:AB18"/>
    <mergeCell ref="C29:C30"/>
    <mergeCell ref="W19:W20"/>
    <mergeCell ref="X19:X20"/>
    <mergeCell ref="Y19:Y20"/>
    <mergeCell ref="AB19:AB20"/>
    <mergeCell ref="C27:C28"/>
    <mergeCell ref="W27:W28"/>
    <mergeCell ref="X27:X28"/>
    <mergeCell ref="Y27:Y28"/>
    <mergeCell ref="Z27:Z28"/>
    <mergeCell ref="AA27:AA28"/>
    <mergeCell ref="AB27:AB28"/>
    <mergeCell ref="AA29:AA30"/>
    <mergeCell ref="AB29:AB30"/>
    <mergeCell ref="W29:W30"/>
    <mergeCell ref="X29:X30"/>
    <mergeCell ref="Y29:Y30"/>
  </mergeCells>
  <conditionalFormatting sqref="Z7:Z11 Z13:Z38">
    <cfRule type="dataBar" priority="31">
      <dataBar>
        <cfvo type="min" val="0"/>
        <cfvo type="max" val="0"/>
        <color rgb="FFFFB628"/>
      </dataBar>
    </cfRule>
  </conditionalFormatting>
  <conditionalFormatting sqref="E7:I38 K7:O38">
    <cfRule type="cellIs" dxfId="34" priority="30" operator="lessThan">
      <formula>0</formula>
    </cfRule>
  </conditionalFormatting>
  <conditionalFormatting sqref="Q7:U36 AA13 AA21:AA36 AA7 AA9 AA15 AA19 AA17 AA11 W7:Z11 W13:Z36">
    <cfRule type="cellIs" dxfId="33" priority="28" operator="lessThan">
      <formula>0</formula>
    </cfRule>
  </conditionalFormatting>
  <conditionalFormatting sqref="P7:P8">
    <cfRule type="cellIs" dxfId="32" priority="21" operator="greaterThan">
      <formula>0.8</formula>
    </cfRule>
  </conditionalFormatting>
  <conditionalFormatting sqref="P7:P8">
    <cfRule type="cellIs" dxfId="31" priority="20" operator="greaterThan">
      <formula>100</formula>
    </cfRule>
  </conditionalFormatting>
  <conditionalFormatting sqref="P9:P36">
    <cfRule type="cellIs" dxfId="30" priority="19" operator="greaterThan">
      <formula>0.8</formula>
    </cfRule>
  </conditionalFormatting>
  <conditionalFormatting sqref="P9:P36">
    <cfRule type="cellIs" dxfId="29" priority="18" operator="greaterThan">
      <formula>100</formula>
    </cfRule>
  </conditionalFormatting>
  <conditionalFormatting sqref="AB7">
    <cfRule type="cellIs" dxfId="28" priority="17" operator="lessThan">
      <formula>0</formula>
    </cfRule>
  </conditionalFormatting>
  <conditionalFormatting sqref="AB7">
    <cfRule type="cellIs" dxfId="27" priority="16" operator="greaterThan">
      <formula>0.8</formula>
    </cfRule>
  </conditionalFormatting>
  <conditionalFormatting sqref="AB7">
    <cfRule type="cellIs" dxfId="26" priority="15" operator="greaterThan">
      <formula>100</formula>
    </cfRule>
  </conditionalFormatting>
  <conditionalFormatting sqref="P7">
    <cfRule type="cellIs" dxfId="25" priority="14" operator="greaterThan">
      <formula>0.8</formula>
    </cfRule>
  </conditionalFormatting>
  <conditionalFormatting sqref="P7">
    <cfRule type="cellIs" dxfId="24" priority="13" operator="greaterThan">
      <formula>100</formula>
    </cfRule>
  </conditionalFormatting>
  <conditionalFormatting sqref="AB9 AB11 AB13 AB15 AB17 AB19 AB21 AB23 AB25 AB27 AB29 AB31 AB33 AB35">
    <cfRule type="cellIs" dxfId="23" priority="12" operator="lessThan">
      <formula>0</formula>
    </cfRule>
  </conditionalFormatting>
  <conditionalFormatting sqref="AB9 AB11 AB13 AB15 AB17 AB19 AB21 AB23 AB25 AB27 AB29 AB31 AB33 AB35">
    <cfRule type="cellIs" dxfId="22" priority="11" operator="greaterThan">
      <formula>0.8</formula>
    </cfRule>
  </conditionalFormatting>
  <conditionalFormatting sqref="AB9 AB11 AB13 AB15 AB17 AB19 AB21 AB23 AB25 AB27 AB29 AB31 AB33 AB35">
    <cfRule type="cellIs" dxfId="21" priority="10" operator="greaterThan">
      <formula>100</formula>
    </cfRule>
  </conditionalFormatting>
  <conditionalFormatting sqref="J7:J36">
    <cfRule type="cellIs" dxfId="20" priority="9" operator="greaterThan">
      <formula>0.8</formula>
    </cfRule>
  </conditionalFormatting>
  <conditionalFormatting sqref="J7:J36">
    <cfRule type="cellIs" dxfId="19" priority="8" operator="greaterThan">
      <formula>100</formula>
    </cfRule>
  </conditionalFormatting>
  <conditionalFormatting sqref="P37:P38">
    <cfRule type="cellIs" dxfId="18" priority="7" operator="greaterThan">
      <formula>0.8</formula>
    </cfRule>
  </conditionalFormatting>
  <conditionalFormatting sqref="P37:P38">
    <cfRule type="cellIs" dxfId="17" priority="6" operator="greaterThan">
      <formula>100</formula>
    </cfRule>
  </conditionalFormatting>
  <conditionalFormatting sqref="V37">
    <cfRule type="cellIs" dxfId="16" priority="5" operator="greaterThan">
      <formula>0.8</formula>
    </cfRule>
  </conditionalFormatting>
  <conditionalFormatting sqref="V37">
    <cfRule type="cellIs" dxfId="15" priority="4" operator="greaterThan">
      <formula>100</formula>
    </cfRule>
  </conditionalFormatting>
  <conditionalFormatting sqref="V38">
    <cfRule type="cellIs" dxfId="14" priority="3" operator="greaterThan">
      <formula>0.8</formula>
    </cfRule>
  </conditionalFormatting>
  <conditionalFormatting sqref="V38">
    <cfRule type="cellIs" dxfId="13" priority="2" operator="greaterThan">
      <formula>100</formula>
    </cfRule>
  </conditionalFormatting>
  <conditionalFormatting sqref="AB7:AB36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ignoredErrors>
    <ignoredError sqref="G8 M8 S7:S8 Y7:Y8 M21:M26 S36:S38 M31:M36 Y25:Y26 Y31:Y36 Y21:Y22 Y9:Y20 Y23:Y24 Y27:Y30 G31:G36 G25:G26 G21:G22 G9:G20 G23:G24 G27:G30 G37:G38 M39 S31:S35 S21:S26 S9:S20 S27:S30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CC"/>
  </sheetPr>
  <dimension ref="B2:AE61"/>
  <sheetViews>
    <sheetView showGridLines="0" zoomScale="59" zoomScaleNormal="59" workbookViewId="0">
      <pane xSplit="4" ySplit="7" topLeftCell="N8" activePane="bottomRight" state="frozen"/>
      <selection pane="topRight" activeCell="F1" sqref="F1"/>
      <selection pane="bottomLeft" activeCell="A8" sqref="A8"/>
      <selection pane="bottomRight" activeCell="C34" sqref="C34"/>
    </sheetView>
  </sheetViews>
  <sheetFormatPr baseColWidth="10" defaultColWidth="11.5546875" defaultRowHeight="14.4"/>
  <cols>
    <col min="1" max="1" width="2.77734375" style="208" customWidth="1"/>
    <col min="2" max="2" width="11.88671875" style="208" customWidth="1"/>
    <col min="3" max="3" width="39" style="208" customWidth="1"/>
    <col min="4" max="4" width="12.109375" style="208" customWidth="1"/>
    <col min="5" max="5" width="11.88671875" style="208" customWidth="1"/>
    <col min="6" max="6" width="13.5546875" style="208" customWidth="1"/>
    <col min="7" max="7" width="14.44140625" style="208" customWidth="1"/>
    <col min="8" max="8" width="12.88671875" style="208" customWidth="1"/>
    <col min="9" max="9" width="11.5546875" style="208" customWidth="1"/>
    <col min="10" max="10" width="13.109375" style="208" customWidth="1"/>
    <col min="11" max="11" width="9.6640625" style="208" customWidth="1"/>
    <col min="12" max="12" width="11.109375" style="208" customWidth="1"/>
    <col min="13" max="13" width="13" style="208" customWidth="1"/>
    <col min="14" max="14" width="12.88671875" style="208" customWidth="1"/>
    <col min="15" max="15" width="11" style="208" customWidth="1"/>
    <col min="16" max="16" width="12.44140625" style="208" customWidth="1"/>
    <col min="17" max="17" width="10.109375" style="208" customWidth="1"/>
    <col min="18" max="18" width="13.5546875" style="208" customWidth="1"/>
    <col min="19" max="19" width="11.5546875" style="208" customWidth="1"/>
    <col min="20" max="20" width="12.44140625" style="208" customWidth="1"/>
    <col min="21" max="21" width="15.88671875" style="208" customWidth="1"/>
    <col min="22" max="22" width="11.5546875" style="208" customWidth="1"/>
    <col min="23" max="23" width="13.109375" style="208" customWidth="1"/>
    <col min="24" max="24" width="12.77734375" style="208" customWidth="1"/>
    <col min="25" max="25" width="14.6640625" style="208" customWidth="1"/>
    <col min="26" max="26" width="13.44140625" style="208" customWidth="1"/>
    <col min="27" max="27" width="15.21875" style="208" customWidth="1"/>
    <col min="28" max="28" width="12.21875" style="208" customWidth="1"/>
    <col min="29" max="29" width="12.44140625" style="208" customWidth="1"/>
    <col min="30" max="16384" width="11.5546875" style="208"/>
  </cols>
  <sheetData>
    <row r="2" spans="2:31" ht="24" customHeight="1">
      <c r="B2" s="632" t="s">
        <v>128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3"/>
      <c r="AA2" s="633"/>
      <c r="AB2" s="633"/>
      <c r="AC2" s="634"/>
    </row>
    <row r="3" spans="2:31" ht="26.4" customHeight="1">
      <c r="B3" s="635">
        <f>+'Resumen anual'!B4</f>
        <v>43607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7"/>
    </row>
    <row r="6" spans="2:31" ht="25.2" customHeight="1">
      <c r="B6" s="640" t="s">
        <v>73</v>
      </c>
      <c r="C6" s="640" t="s">
        <v>65</v>
      </c>
      <c r="D6" s="639" t="s">
        <v>26</v>
      </c>
      <c r="E6" s="644" t="s">
        <v>119</v>
      </c>
      <c r="F6" s="638" t="s">
        <v>80</v>
      </c>
      <c r="G6" s="638"/>
      <c r="H6" s="638"/>
      <c r="I6" s="638"/>
      <c r="J6" s="638"/>
      <c r="K6" s="638"/>
      <c r="L6" s="645" t="s">
        <v>79</v>
      </c>
      <c r="M6" s="645"/>
      <c r="N6" s="645"/>
      <c r="O6" s="645"/>
      <c r="P6" s="645"/>
      <c r="Q6" s="645"/>
      <c r="R6" s="641" t="s">
        <v>62</v>
      </c>
      <c r="S6" s="638"/>
      <c r="T6" s="638"/>
      <c r="U6" s="638"/>
      <c r="V6" s="638"/>
      <c r="W6" s="642"/>
      <c r="X6" s="643" t="s">
        <v>141</v>
      </c>
      <c r="Y6" s="643"/>
      <c r="Z6" s="643"/>
      <c r="AA6" s="643"/>
      <c r="AB6" s="643"/>
      <c r="AC6" s="643"/>
    </row>
    <row r="7" spans="2:31" ht="36.6" customHeight="1">
      <c r="B7" s="640"/>
      <c r="C7" s="640"/>
      <c r="D7" s="639"/>
      <c r="E7" s="644"/>
      <c r="F7" s="402" t="s">
        <v>50</v>
      </c>
      <c r="G7" s="365" t="s">
        <v>3</v>
      </c>
      <c r="H7" s="365" t="s">
        <v>4</v>
      </c>
      <c r="I7" s="366" t="s">
        <v>5</v>
      </c>
      <c r="J7" s="366" t="s">
        <v>22</v>
      </c>
      <c r="K7" s="366" t="s">
        <v>23</v>
      </c>
      <c r="L7" s="367" t="s">
        <v>24</v>
      </c>
      <c r="M7" s="367" t="s">
        <v>3</v>
      </c>
      <c r="N7" s="368" t="s">
        <v>4</v>
      </c>
      <c r="O7" s="369" t="s">
        <v>5</v>
      </c>
      <c r="P7" s="369" t="s">
        <v>22</v>
      </c>
      <c r="Q7" s="369" t="s">
        <v>23</v>
      </c>
      <c r="R7" s="370" t="s">
        <v>54</v>
      </c>
      <c r="S7" s="365" t="s">
        <v>64</v>
      </c>
      <c r="T7" s="365" t="s">
        <v>4</v>
      </c>
      <c r="U7" s="366" t="s">
        <v>63</v>
      </c>
      <c r="V7" s="366" t="s">
        <v>22</v>
      </c>
      <c r="W7" s="321" t="s">
        <v>25</v>
      </c>
      <c r="X7" s="372" t="s">
        <v>142</v>
      </c>
      <c r="Y7" s="371" t="s">
        <v>138</v>
      </c>
      <c r="Z7" s="371" t="s">
        <v>4</v>
      </c>
      <c r="AA7" s="372" t="s">
        <v>139</v>
      </c>
      <c r="AB7" s="372" t="s">
        <v>140</v>
      </c>
      <c r="AC7" s="372" t="s">
        <v>25</v>
      </c>
    </row>
    <row r="8" spans="2:31" ht="15" customHeight="1">
      <c r="B8" s="652" t="s">
        <v>61</v>
      </c>
      <c r="C8" s="401" t="str">
        <f>+Movimientos_Ltp_Pep!B53</f>
        <v>CAMANCHACA PESCA SUR</v>
      </c>
      <c r="D8" s="112" t="s">
        <v>20</v>
      </c>
      <c r="E8" s="646">
        <f>+Movimientos_Ltp_Pep!E53/100</f>
        <v>0.33277095899999998</v>
      </c>
      <c r="F8" s="49">
        <f>+Movimientos_Ltp_Pep!H53</f>
        <v>264.22014144599996</v>
      </c>
      <c r="G8" s="155">
        <f>+Movimientos_Ltp_Pep!J53</f>
        <v>-152.55852720920001</v>
      </c>
      <c r="H8" s="47">
        <f>F8+G8</f>
        <v>111.66161423679995</v>
      </c>
      <c r="I8" s="135">
        <f>+D48+E48</f>
        <v>0</v>
      </c>
      <c r="J8" s="48">
        <f>H8-I8</f>
        <v>111.66161423679995</v>
      </c>
      <c r="K8" s="396">
        <f>(I8/H8)</f>
        <v>0</v>
      </c>
      <c r="L8" s="50">
        <f>+Movimientos_Ltp_Pep!I53</f>
        <v>322.78783023</v>
      </c>
      <c r="M8" s="155">
        <f>+Movimientos_Ltp_Pep!K53</f>
        <v>334.05620639999995</v>
      </c>
      <c r="N8" s="158">
        <f>L8+M8</f>
        <v>656.84403662999989</v>
      </c>
      <c r="O8" s="135">
        <f>+F48+G48</f>
        <v>246.875</v>
      </c>
      <c r="P8" s="50">
        <f t="shared" ref="P8:P13" si="0">N8-O8</f>
        <v>409.96903662999989</v>
      </c>
      <c r="Q8" s="391">
        <f>O8/N8</f>
        <v>0.37585025703607727</v>
      </c>
      <c r="R8" s="276">
        <f>+F8+L8</f>
        <v>587.0079716759999</v>
      </c>
      <c r="S8" s="155">
        <f>G8+M8</f>
        <v>181.49767919079994</v>
      </c>
      <c r="T8" s="47">
        <f>R8+S8</f>
        <v>768.5056508667999</v>
      </c>
      <c r="U8" s="46">
        <f>I8+O8</f>
        <v>246.875</v>
      </c>
      <c r="V8" s="47">
        <f t="shared" ref="V8:V15" si="1">T8-U8</f>
        <v>521.6306508667999</v>
      </c>
      <c r="W8" s="138">
        <f t="shared" ref="W8:W23" si="2">U8/T8</f>
        <v>0.32124031843038359</v>
      </c>
      <c r="X8" s="627">
        <f>R8+R9</f>
        <v>652.23107963999985</v>
      </c>
      <c r="Y8" s="631">
        <f t="shared" ref="Y8" si="3">S8+S9</f>
        <v>181.49767919079994</v>
      </c>
      <c r="Z8" s="627">
        <f>X8+Y8</f>
        <v>833.72875883079973</v>
      </c>
      <c r="AA8" s="629">
        <f>U8+U9</f>
        <v>246.875</v>
      </c>
      <c r="AB8" s="627">
        <f>Z8-AA8</f>
        <v>586.85375883079973</v>
      </c>
      <c r="AC8" s="630">
        <f t="shared" ref="AC8" si="4">AA8/Z8</f>
        <v>0.2961094929077549</v>
      </c>
      <c r="AD8" s="209"/>
      <c r="AE8" s="209"/>
    </row>
    <row r="9" spans="2:31">
      <c r="B9" s="652"/>
      <c r="C9" s="400"/>
      <c r="D9" s="113" t="s">
        <v>9</v>
      </c>
      <c r="E9" s="647"/>
      <c r="F9" s="49">
        <f>+Movimientos_Ltp_Pep!H54</f>
        <v>29.283844391999999</v>
      </c>
      <c r="G9" s="288">
        <f>+Movimientos_Ltp_Pep!J54</f>
        <v>0</v>
      </c>
      <c r="H9" s="148">
        <f>F9+G9+J8</f>
        <v>140.94545862879994</v>
      </c>
      <c r="I9" s="136"/>
      <c r="J9" s="51">
        <f t="shared" ref="J9" si="5">H9-I9</f>
        <v>140.94545862879994</v>
      </c>
      <c r="K9" s="403">
        <f>I9/H9</f>
        <v>0</v>
      </c>
      <c r="L9" s="50">
        <f>+Movimientos_Ltp_Pep!I54</f>
        <v>35.939263571999994</v>
      </c>
      <c r="M9" s="288">
        <f>+Movimientos_Ltp_Pep!K54</f>
        <v>0</v>
      </c>
      <c r="N9" s="159">
        <f>L9+M9+P8</f>
        <v>445.90830020199991</v>
      </c>
      <c r="O9" s="136"/>
      <c r="P9" s="53">
        <f t="shared" si="0"/>
        <v>445.90830020199991</v>
      </c>
      <c r="Q9" s="392">
        <f t="shared" ref="Q9:Q29" si="6">O9/N9</f>
        <v>0</v>
      </c>
      <c r="R9" s="277">
        <f t="shared" ref="R9:R31" si="7">+F9+L9</f>
        <v>65.223107963999993</v>
      </c>
      <c r="S9" s="288">
        <f t="shared" ref="S9:S31" si="8">G9+M9</f>
        <v>0</v>
      </c>
      <c r="T9" s="148">
        <f>R9+S9+V8</f>
        <v>586.85375883079985</v>
      </c>
      <c r="U9" s="160">
        <f>I9+O9</f>
        <v>0</v>
      </c>
      <c r="V9" s="148">
        <f t="shared" si="1"/>
        <v>586.85375883079985</v>
      </c>
      <c r="W9" s="275">
        <f t="shared" si="2"/>
        <v>0</v>
      </c>
      <c r="X9" s="628"/>
      <c r="Y9" s="626"/>
      <c r="Z9" s="628"/>
      <c r="AA9" s="590"/>
      <c r="AB9" s="628"/>
      <c r="AC9" s="624"/>
      <c r="AD9" s="209"/>
      <c r="AE9" s="209"/>
    </row>
    <row r="10" spans="2:31">
      <c r="B10" s="652"/>
      <c r="C10" s="399" t="str">
        <f>+Movimientos_Ltp_Pep!B55</f>
        <v>QUINTERO S.A. PESQ.</v>
      </c>
      <c r="D10" s="373" t="s">
        <v>20</v>
      </c>
      <c r="E10" s="646">
        <f>+Movimientos_Ltp_Pep!E55/100</f>
        <v>2.1082E-2</v>
      </c>
      <c r="F10" s="49">
        <f>+Movimientos_Ltp_Pep!H55</f>
        <v>16.739108000000002</v>
      </c>
      <c r="G10" s="155">
        <f>+Movimientos_Ltp_Pep!J55</f>
        <v>0</v>
      </c>
      <c r="H10" s="375">
        <f t="shared" ref="H10" si="9">F10+G10</f>
        <v>16.739108000000002</v>
      </c>
      <c r="I10" s="135">
        <f>+D50+E50</f>
        <v>15.81</v>
      </c>
      <c r="J10" s="376">
        <f>H10-I10</f>
        <v>0.92910800000000116</v>
      </c>
      <c r="K10" s="396">
        <f t="shared" ref="K10:K29" si="10">I10/H10</f>
        <v>0.94449477236182466</v>
      </c>
      <c r="L10" s="50">
        <f>+Movimientos_Ltp_Pep!I55</f>
        <v>20.449539999999999</v>
      </c>
      <c r="M10" s="155">
        <f>+Movimientos_Ltp_Pep!K55</f>
        <v>0</v>
      </c>
      <c r="N10" s="377">
        <f t="shared" ref="N10" si="11">L10+M10</f>
        <v>20.449539999999999</v>
      </c>
      <c r="O10" s="135">
        <f>+F50+G50</f>
        <v>11.497999999999999</v>
      </c>
      <c r="P10" s="378">
        <f t="shared" si="0"/>
        <v>8.9515399999999996</v>
      </c>
      <c r="Q10" s="391">
        <f t="shared" si="6"/>
        <v>0.5622620362120615</v>
      </c>
      <c r="R10" s="379">
        <f t="shared" si="7"/>
        <v>37.188648000000001</v>
      </c>
      <c r="S10" s="374">
        <f t="shared" si="8"/>
        <v>0</v>
      </c>
      <c r="T10" s="375">
        <f t="shared" ref="T10" si="12">R10+S10</f>
        <v>37.188648000000001</v>
      </c>
      <c r="U10" s="380">
        <f t="shared" ref="U10:U31" si="13">I10+O10</f>
        <v>27.308</v>
      </c>
      <c r="V10" s="375">
        <f t="shared" si="1"/>
        <v>9.8806480000000008</v>
      </c>
      <c r="W10" s="381">
        <f t="shared" si="2"/>
        <v>0.73431010452436984</v>
      </c>
      <c r="X10" s="625">
        <f t="shared" ref="X10:Y10" si="14">R10+R11</f>
        <v>41.320720000000001</v>
      </c>
      <c r="Y10" s="626">
        <f t="shared" si="14"/>
        <v>0</v>
      </c>
      <c r="Z10" s="625">
        <f t="shared" ref="Z10" si="15">X10+Y10</f>
        <v>41.320720000000001</v>
      </c>
      <c r="AA10" s="590">
        <f t="shared" ref="AA10" si="16">U10+U11</f>
        <v>27.308</v>
      </c>
      <c r="AB10" s="625">
        <f t="shared" ref="AB10" si="17">Z10-AA10</f>
        <v>14.012720000000002</v>
      </c>
      <c r="AC10" s="624">
        <f t="shared" ref="AC10" si="18">AA10/Z10</f>
        <v>0.6608790940719329</v>
      </c>
      <c r="AD10" s="209"/>
      <c r="AE10" s="209"/>
    </row>
    <row r="11" spans="2:31">
      <c r="B11" s="652"/>
      <c r="C11" s="400"/>
      <c r="D11" s="113" t="s">
        <v>9</v>
      </c>
      <c r="E11" s="647"/>
      <c r="F11" s="49">
        <f>+Movimientos_Ltp_Pep!H56</f>
        <v>1.855216</v>
      </c>
      <c r="G11" s="288">
        <f>+Movimientos_Ltp_Pep!J56</f>
        <v>0</v>
      </c>
      <c r="H11" s="148">
        <f>F11+G11+J10</f>
        <v>2.7843240000000011</v>
      </c>
      <c r="I11" s="136"/>
      <c r="J11" s="51">
        <f t="shared" ref="J11" si="19">H11-I11</f>
        <v>2.7843240000000011</v>
      </c>
      <c r="K11" s="403">
        <f t="shared" si="10"/>
        <v>0</v>
      </c>
      <c r="L11" s="50">
        <f>+Movimientos_Ltp_Pep!I56</f>
        <v>2.276856</v>
      </c>
      <c r="M11" s="288">
        <f>+Movimientos_Ltp_Pep!K56</f>
        <v>0</v>
      </c>
      <c r="N11" s="52">
        <f t="shared" ref="N11" si="20">L11+M11+P10</f>
        <v>11.228396</v>
      </c>
      <c r="O11" s="136"/>
      <c r="P11" s="53">
        <f t="shared" si="0"/>
        <v>11.228396</v>
      </c>
      <c r="Q11" s="392">
        <f t="shared" si="6"/>
        <v>0</v>
      </c>
      <c r="R11" s="277">
        <f t="shared" si="7"/>
        <v>4.132072</v>
      </c>
      <c r="S11" s="288">
        <f t="shared" si="8"/>
        <v>0</v>
      </c>
      <c r="T11" s="148">
        <f>R11+S11+V10</f>
        <v>14.012720000000002</v>
      </c>
      <c r="U11" s="160">
        <f t="shared" si="13"/>
        <v>0</v>
      </c>
      <c r="V11" s="148">
        <f t="shared" si="1"/>
        <v>14.012720000000002</v>
      </c>
      <c r="W11" s="275">
        <f t="shared" si="2"/>
        <v>0</v>
      </c>
      <c r="X11" s="625"/>
      <c r="Y11" s="626"/>
      <c r="Z11" s="625"/>
      <c r="AA11" s="590"/>
      <c r="AB11" s="625"/>
      <c r="AC11" s="624"/>
      <c r="AD11" s="209"/>
      <c r="AE11" s="209"/>
    </row>
    <row r="12" spans="2:31">
      <c r="B12" s="652"/>
      <c r="C12" s="399" t="str">
        <f>+Movimientos_Ltp_Pep!B57</f>
        <v>BRACPESCA S.A.</v>
      </c>
      <c r="D12" s="373" t="s">
        <v>20</v>
      </c>
      <c r="E12" s="646">
        <f>+Movimientos_Ltp_Pep!E57/100</f>
        <v>0.2255634</v>
      </c>
      <c r="F12" s="49">
        <f>+Movimientos_Ltp_Pep!H57</f>
        <v>179.0973396</v>
      </c>
      <c r="G12" s="155">
        <f>+Movimientos_Ltp_Pep!J57</f>
        <v>200.0000072</v>
      </c>
      <c r="H12" s="375">
        <f>F12+G12</f>
        <v>379.09734679999997</v>
      </c>
      <c r="I12" s="135">
        <f>+D47+E47</f>
        <v>284.577</v>
      </c>
      <c r="J12" s="376">
        <f>H12-I12</f>
        <v>94.52034679999997</v>
      </c>
      <c r="K12" s="396">
        <f t="shared" si="10"/>
        <v>0.75066998596045043</v>
      </c>
      <c r="L12" s="50">
        <f>+Movimientos_Ltp_Pep!I57</f>
        <v>218.79649799999999</v>
      </c>
      <c r="M12" s="155">
        <f>+Movimientos_Ltp_Pep!K57</f>
        <v>-225.58588640000002</v>
      </c>
      <c r="N12" s="377">
        <f t="shared" ref="N12" si="21">L12+M12</f>
        <v>-6.7893884000000355</v>
      </c>
      <c r="O12" s="135">
        <f>+F47+G47</f>
        <v>0</v>
      </c>
      <c r="P12" s="378">
        <f t="shared" si="0"/>
        <v>-6.7893884000000355</v>
      </c>
      <c r="Q12" s="391">
        <f t="shared" si="6"/>
        <v>0</v>
      </c>
      <c r="R12" s="379">
        <f t="shared" si="7"/>
        <v>397.89383759999998</v>
      </c>
      <c r="S12" s="374">
        <f t="shared" si="8"/>
        <v>-25.585879200000022</v>
      </c>
      <c r="T12" s="375">
        <f t="shared" ref="T12" si="22">R12+S12</f>
        <v>372.30795839999996</v>
      </c>
      <c r="U12" s="380">
        <f t="shared" si="13"/>
        <v>284.577</v>
      </c>
      <c r="V12" s="375">
        <f t="shared" si="1"/>
        <v>87.730958399999963</v>
      </c>
      <c r="W12" s="381">
        <f t="shared" si="2"/>
        <v>0.76435916444809482</v>
      </c>
      <c r="X12" s="625">
        <f t="shared" ref="X12" si="23">R12+R13</f>
        <v>442.104264</v>
      </c>
      <c r="Y12" s="626">
        <f>S12+S13</f>
        <v>-25.585879200000022</v>
      </c>
      <c r="Z12" s="625">
        <f>X12+Y12</f>
        <v>416.51838479999998</v>
      </c>
      <c r="AA12" s="590">
        <f t="shared" ref="AA12" si="24">U12+U13</f>
        <v>284.577</v>
      </c>
      <c r="AB12" s="625">
        <f t="shared" ref="AB12" si="25">Z12-AA12</f>
        <v>131.94138479999998</v>
      </c>
      <c r="AC12" s="624">
        <f t="shared" ref="AC12" si="26">AA12/Z12</f>
        <v>0.68322794475601745</v>
      </c>
      <c r="AD12" s="220"/>
      <c r="AE12" s="209"/>
    </row>
    <row r="13" spans="2:31">
      <c r="B13" s="652"/>
      <c r="C13" s="400"/>
      <c r="D13" s="113" t="s">
        <v>9</v>
      </c>
      <c r="E13" s="647"/>
      <c r="F13" s="49">
        <f>+Movimientos_Ltp_Pep!H58</f>
        <v>19.849579200000001</v>
      </c>
      <c r="G13" s="288">
        <f>+Movimientos_Ltp_Pep!J58</f>
        <v>0</v>
      </c>
      <c r="H13" s="148">
        <f t="shared" ref="H13" si="27">F13+G13+J12</f>
        <v>114.36992599999996</v>
      </c>
      <c r="I13" s="136"/>
      <c r="J13" s="51">
        <f t="shared" ref="J13:J31" si="28">H13-I13</f>
        <v>114.36992599999996</v>
      </c>
      <c r="K13" s="403">
        <f t="shared" si="10"/>
        <v>0</v>
      </c>
      <c r="L13" s="50">
        <f>+Movimientos_Ltp_Pep!I58</f>
        <v>24.360847199999998</v>
      </c>
      <c r="M13" s="288">
        <f>+Movimientos_Ltp_Pep!K58</f>
        <v>0</v>
      </c>
      <c r="N13" s="52">
        <f t="shared" ref="N13" si="29">L13+M13+P12</f>
        <v>17.571458799999963</v>
      </c>
      <c r="O13" s="136"/>
      <c r="P13" s="53">
        <f t="shared" si="0"/>
        <v>17.571458799999963</v>
      </c>
      <c r="Q13" s="392">
        <f t="shared" si="6"/>
        <v>0</v>
      </c>
      <c r="R13" s="277">
        <f t="shared" si="7"/>
        <v>44.210426400000003</v>
      </c>
      <c r="S13" s="288">
        <f t="shared" si="8"/>
        <v>0</v>
      </c>
      <c r="T13" s="148">
        <f>R13+S13+V12</f>
        <v>131.94138479999998</v>
      </c>
      <c r="U13" s="160">
        <f t="shared" si="13"/>
        <v>0</v>
      </c>
      <c r="V13" s="148">
        <f t="shared" si="1"/>
        <v>131.94138479999998</v>
      </c>
      <c r="W13" s="275">
        <f t="shared" si="2"/>
        <v>0</v>
      </c>
      <c r="X13" s="625"/>
      <c r="Y13" s="626"/>
      <c r="Z13" s="625"/>
      <c r="AA13" s="590"/>
      <c r="AB13" s="625"/>
      <c r="AC13" s="624"/>
      <c r="AD13" s="209"/>
      <c r="AE13" s="209"/>
    </row>
    <row r="14" spans="2:31">
      <c r="B14" s="652"/>
      <c r="C14" s="399" t="str">
        <f>+Movimientos_Ltp_Pep!B59</f>
        <v>ISLADAMAS S.A. PESQ.</v>
      </c>
      <c r="D14" s="373" t="s">
        <v>20</v>
      </c>
      <c r="E14" s="646">
        <f>+Movimientos_Ltp_Pep!E59/100</f>
        <v>0.16074620000000001</v>
      </c>
      <c r="F14" s="49">
        <f>+Movimientos_Ltp_Pep!H59</f>
        <v>127.63248280000001</v>
      </c>
      <c r="G14" s="155">
        <f>+Movimientos_Ltp_Pep!J59</f>
        <v>29.547000000000001</v>
      </c>
      <c r="H14" s="375">
        <f t="shared" ref="H14" si="30">F14+G14</f>
        <v>157.17948280000002</v>
      </c>
      <c r="I14" s="135">
        <f>+D49+E49</f>
        <v>136.94400000000002</v>
      </c>
      <c r="J14" s="376">
        <f t="shared" si="28"/>
        <v>20.2354828</v>
      </c>
      <c r="K14" s="396">
        <f t="shared" si="10"/>
        <v>0.87125875184518675</v>
      </c>
      <c r="L14" s="50">
        <f>+Movimientos_Ltp_Pep!I59</f>
        <v>155.92381399999999</v>
      </c>
      <c r="M14" s="155">
        <f>+Movimientos_Ltp_Pep!K59</f>
        <v>36.113</v>
      </c>
      <c r="N14" s="377">
        <f>L14+M14</f>
        <v>192.03681399999999</v>
      </c>
      <c r="O14" s="135">
        <f>+F49+G49</f>
        <v>21.204000000000001</v>
      </c>
      <c r="P14" s="378">
        <f>N14-O14</f>
        <v>170.83281399999998</v>
      </c>
      <c r="Q14" s="391">
        <f t="shared" si="6"/>
        <v>0.11041632881911903</v>
      </c>
      <c r="R14" s="379">
        <f t="shared" si="7"/>
        <v>283.55629679999998</v>
      </c>
      <c r="S14" s="374">
        <f t="shared" si="8"/>
        <v>65.66</v>
      </c>
      <c r="T14" s="375">
        <f t="shared" ref="T14" si="31">R14+S14</f>
        <v>349.21629680000001</v>
      </c>
      <c r="U14" s="380">
        <f t="shared" si="13"/>
        <v>158.14800000000002</v>
      </c>
      <c r="V14" s="375">
        <f t="shared" si="1"/>
        <v>191.06829679999998</v>
      </c>
      <c r="W14" s="381">
        <f t="shared" si="2"/>
        <v>0.45286546317903692</v>
      </c>
      <c r="X14" s="625">
        <f t="shared" ref="X14:Y14" si="32">R14+R15</f>
        <v>315.06255199999998</v>
      </c>
      <c r="Y14" s="626">
        <f t="shared" si="32"/>
        <v>65.66</v>
      </c>
      <c r="Z14" s="625">
        <f t="shared" ref="Z14" si="33">X14+Y14</f>
        <v>380.72255199999995</v>
      </c>
      <c r="AA14" s="590">
        <f t="shared" ref="AA14" si="34">U14+U15</f>
        <v>158.14800000000002</v>
      </c>
      <c r="AB14" s="625">
        <f t="shared" ref="AB14" si="35">Z14-AA14</f>
        <v>222.57455199999993</v>
      </c>
      <c r="AC14" s="624">
        <f t="shared" ref="AC14" si="36">AA14/Z14</f>
        <v>0.41538910466223194</v>
      </c>
      <c r="AD14" s="209"/>
      <c r="AE14" s="209"/>
    </row>
    <row r="15" spans="2:31">
      <c r="B15" s="652"/>
      <c r="C15" s="400"/>
      <c r="D15" s="113" t="s">
        <v>9</v>
      </c>
      <c r="E15" s="647"/>
      <c r="F15" s="49">
        <f>+Movimientos_Ltp_Pep!H60</f>
        <v>14.145665600000001</v>
      </c>
      <c r="G15" s="288">
        <f>+Movimientos_Ltp_Pep!J60</f>
        <v>0</v>
      </c>
      <c r="H15" s="148">
        <f t="shared" ref="H15" si="37">F15+G15+J14</f>
        <v>34.381148400000001</v>
      </c>
      <c r="I15" s="136"/>
      <c r="J15" s="51">
        <f t="shared" si="28"/>
        <v>34.381148400000001</v>
      </c>
      <c r="K15" s="403">
        <f t="shared" si="10"/>
        <v>0</v>
      </c>
      <c r="L15" s="50">
        <f>+Movimientos_Ltp_Pep!I60</f>
        <v>17.360589600000001</v>
      </c>
      <c r="M15" s="288">
        <f>+Movimientos_Ltp_Pep!K60</f>
        <v>0</v>
      </c>
      <c r="N15" s="52">
        <f>L15+M15+P14</f>
        <v>188.19340359999998</v>
      </c>
      <c r="O15" s="136"/>
      <c r="P15" s="53">
        <f t="shared" ref="P15:P31" si="38">N15-O15</f>
        <v>188.19340359999998</v>
      </c>
      <c r="Q15" s="392">
        <f t="shared" si="6"/>
        <v>0</v>
      </c>
      <c r="R15" s="277">
        <f t="shared" si="7"/>
        <v>31.506255200000002</v>
      </c>
      <c r="S15" s="288">
        <f t="shared" si="8"/>
        <v>0</v>
      </c>
      <c r="T15" s="148">
        <f>R15+S15+V14</f>
        <v>222.57455199999998</v>
      </c>
      <c r="U15" s="160">
        <f t="shared" si="13"/>
        <v>0</v>
      </c>
      <c r="V15" s="148">
        <f t="shared" si="1"/>
        <v>222.57455199999998</v>
      </c>
      <c r="W15" s="275">
        <f t="shared" si="2"/>
        <v>0</v>
      </c>
      <c r="X15" s="625"/>
      <c r="Y15" s="626"/>
      <c r="Z15" s="625"/>
      <c r="AA15" s="590"/>
      <c r="AB15" s="625"/>
      <c r="AC15" s="624"/>
      <c r="AD15" s="209"/>
      <c r="AE15" s="209"/>
    </row>
    <row r="16" spans="2:31">
      <c r="B16" s="652"/>
      <c r="C16" s="399" t="str">
        <f>+Movimientos_Ltp_Pep!B61</f>
        <v>ANTARTIC SEAFOOD S.A.</v>
      </c>
      <c r="D16" s="373" t="s">
        <v>20</v>
      </c>
      <c r="E16" s="646">
        <f>+Movimientos_Ltp_Pep!E61/100</f>
        <v>8.2399999999999987E-2</v>
      </c>
      <c r="F16" s="49">
        <f>+Movimientos_Ltp_Pep!H61</f>
        <v>65.425599999999989</v>
      </c>
      <c r="G16" s="155">
        <f>+Movimientos_Ltp_Pep!J61</f>
        <v>40.000000009200001</v>
      </c>
      <c r="H16" s="375">
        <f t="shared" ref="H16" si="39">F16+G16</f>
        <v>105.4256000092</v>
      </c>
      <c r="I16" s="135">
        <f>+D46+E46</f>
        <v>48.623999999999995</v>
      </c>
      <c r="J16" s="376">
        <f t="shared" si="28"/>
        <v>56.801600009200001</v>
      </c>
      <c r="K16" s="396">
        <f t="shared" si="10"/>
        <v>0.46121625104108305</v>
      </c>
      <c r="L16" s="50">
        <f>+Movimientos_Ltp_Pep!I61</f>
        <v>79.927999999999983</v>
      </c>
      <c r="M16" s="155">
        <f>+Movimientos_Ltp_Pep!K61</f>
        <v>-81.731999999999999</v>
      </c>
      <c r="N16" s="377">
        <f t="shared" ref="N16" si="40">L16+M16</f>
        <v>-1.8040000000000163</v>
      </c>
      <c r="O16" s="135">
        <f>+F46+G46</f>
        <v>0</v>
      </c>
      <c r="P16" s="378">
        <f t="shared" si="38"/>
        <v>-1.8040000000000163</v>
      </c>
      <c r="Q16" s="391">
        <f t="shared" si="6"/>
        <v>0</v>
      </c>
      <c r="R16" s="379">
        <f t="shared" si="7"/>
        <v>145.35359999999997</v>
      </c>
      <c r="S16" s="374">
        <f t="shared" si="8"/>
        <v>-41.731999990799999</v>
      </c>
      <c r="T16" s="375">
        <f>R16+S16</f>
        <v>103.62160000919997</v>
      </c>
      <c r="U16" s="380">
        <f>I16+O16</f>
        <v>48.623999999999995</v>
      </c>
      <c r="V16" s="375">
        <f>T16-U16</f>
        <v>54.997600009199971</v>
      </c>
      <c r="W16" s="381">
        <f t="shared" si="2"/>
        <v>0.4692457942714931</v>
      </c>
      <c r="X16" s="625">
        <f t="shared" ref="X16:Y16" si="41">R16+R17</f>
        <v>161.50399999999996</v>
      </c>
      <c r="Y16" s="626">
        <f t="shared" si="41"/>
        <v>-41.731999990799999</v>
      </c>
      <c r="Z16" s="625">
        <f t="shared" ref="Z16" si="42">X16+Y16</f>
        <v>119.77200000919996</v>
      </c>
      <c r="AA16" s="590">
        <f t="shared" ref="AA16" si="43">U16+U17</f>
        <v>48.623999999999995</v>
      </c>
      <c r="AB16" s="625">
        <f t="shared" ref="AB16" si="44">Z16-AA16</f>
        <v>71.148000009199961</v>
      </c>
      <c r="AC16" s="624">
        <f t="shared" ref="AC16" si="45">AA16/Z16</f>
        <v>0.40597134552537384</v>
      </c>
      <c r="AD16" s="209"/>
      <c r="AE16" s="209"/>
    </row>
    <row r="17" spans="2:31">
      <c r="B17" s="652"/>
      <c r="C17" s="400"/>
      <c r="D17" s="113" t="s">
        <v>9</v>
      </c>
      <c r="E17" s="647"/>
      <c r="F17" s="49">
        <f>+Movimientos_Ltp_Pep!H62</f>
        <v>7.251199999999999</v>
      </c>
      <c r="G17" s="288">
        <f>+Movimientos_Ltp_Pep!J62</f>
        <v>0</v>
      </c>
      <c r="H17" s="148">
        <f t="shared" ref="H17" si="46">F17+G17+J16</f>
        <v>64.052800009199998</v>
      </c>
      <c r="I17" s="136"/>
      <c r="J17" s="51">
        <f t="shared" si="28"/>
        <v>64.052800009199998</v>
      </c>
      <c r="K17" s="403">
        <f t="shared" si="10"/>
        <v>0</v>
      </c>
      <c r="L17" s="50">
        <f>+Movimientos_Ltp_Pep!I62</f>
        <v>8.8991999999999987</v>
      </c>
      <c r="M17" s="288">
        <f>+Movimientos_Ltp_Pep!K62</f>
        <v>0</v>
      </c>
      <c r="N17" s="52">
        <f t="shared" ref="N17" si="47">L17+M17+P16</f>
        <v>7.0951999999999824</v>
      </c>
      <c r="O17" s="136"/>
      <c r="P17" s="53">
        <f t="shared" si="38"/>
        <v>7.0951999999999824</v>
      </c>
      <c r="Q17" s="392">
        <f t="shared" si="6"/>
        <v>0</v>
      </c>
      <c r="R17" s="277">
        <f t="shared" si="7"/>
        <v>16.150399999999998</v>
      </c>
      <c r="S17" s="288">
        <f t="shared" si="8"/>
        <v>0</v>
      </c>
      <c r="T17" s="148">
        <f>R17+S17+V16</f>
        <v>71.148000009199961</v>
      </c>
      <c r="U17" s="160">
        <f t="shared" si="13"/>
        <v>0</v>
      </c>
      <c r="V17" s="148">
        <f t="shared" ref="V17:V31" si="48">T17-U17</f>
        <v>71.148000009199961</v>
      </c>
      <c r="W17" s="275">
        <f t="shared" si="2"/>
        <v>0</v>
      </c>
      <c r="X17" s="625"/>
      <c r="Y17" s="626"/>
      <c r="Z17" s="625"/>
      <c r="AA17" s="590"/>
      <c r="AB17" s="625"/>
      <c r="AC17" s="624"/>
      <c r="AD17" s="209"/>
      <c r="AE17" s="209"/>
    </row>
    <row r="18" spans="2:31" ht="14.4" customHeight="1">
      <c r="B18" s="652"/>
      <c r="C18" s="399" t="str">
        <f>+Movimientos_Ltp_Pep!B63</f>
        <v>RUBIO Y MAUAD</v>
      </c>
      <c r="D18" s="373" t="s">
        <v>20</v>
      </c>
      <c r="E18" s="646">
        <f>+Movimientos_Ltp_Pep!E63/100</f>
        <v>0</v>
      </c>
      <c r="F18" s="49">
        <f>+Movimientos_Ltp_Pep!H63</f>
        <v>0</v>
      </c>
      <c r="G18" s="155">
        <f>+Movimientos_Ltp_Pep!J63</f>
        <v>0</v>
      </c>
      <c r="H18" s="375">
        <f>F18+G18</f>
        <v>0</v>
      </c>
      <c r="I18" s="135"/>
      <c r="J18" s="376">
        <f t="shared" ref="J18:J19" si="49">H18-I18</f>
        <v>0</v>
      </c>
      <c r="K18" s="404">
        <v>0</v>
      </c>
      <c r="L18" s="50">
        <f>+Movimientos_Ltp_Pep!I63</f>
        <v>0</v>
      </c>
      <c r="M18" s="155">
        <f>+Movimientos_Ltp_Pep!K63</f>
        <v>0</v>
      </c>
      <c r="N18" s="377">
        <f t="shared" ref="N18" si="50">L18+M18</f>
        <v>0</v>
      </c>
      <c r="O18" s="135">
        <f>+F38+G38</f>
        <v>0</v>
      </c>
      <c r="P18" s="378">
        <f t="shared" ref="P18:P19" si="51">N18-O18</f>
        <v>0</v>
      </c>
      <c r="Q18" s="396">
        <v>0</v>
      </c>
      <c r="R18" s="379">
        <f t="shared" ref="R18:R19" si="52">+F18+L18</f>
        <v>0</v>
      </c>
      <c r="S18" s="374">
        <f t="shared" ref="S18:S19" si="53">G18+M18</f>
        <v>0</v>
      </c>
      <c r="T18" s="375">
        <f t="shared" ref="T18" si="54">R18+S18</f>
        <v>0</v>
      </c>
      <c r="U18" s="380">
        <f t="shared" ref="U18:U19" si="55">I18+O18</f>
        <v>0</v>
      </c>
      <c r="V18" s="375">
        <f t="shared" ref="V18:V19" si="56">T18-U18</f>
        <v>0</v>
      </c>
      <c r="W18" s="381">
        <v>0</v>
      </c>
      <c r="X18" s="625">
        <f>R18+R19</f>
        <v>0</v>
      </c>
      <c r="Y18" s="626">
        <f>S18+S19</f>
        <v>0</v>
      </c>
      <c r="Z18" s="625">
        <f>X18+Y18</f>
        <v>0</v>
      </c>
      <c r="AA18" s="590">
        <f>U18+U19</f>
        <v>0</v>
      </c>
      <c r="AB18" s="625">
        <f t="shared" ref="AB18" si="57">Z18-AA18</f>
        <v>0</v>
      </c>
      <c r="AC18" s="624" t="str">
        <f>IF(Z18&gt;0,AA18/Z18,"0%")</f>
        <v>0%</v>
      </c>
      <c r="AD18" s="209"/>
      <c r="AE18" s="209"/>
    </row>
    <row r="19" spans="2:31">
      <c r="B19" s="652"/>
      <c r="C19" s="400"/>
      <c r="D19" s="113" t="s">
        <v>9</v>
      </c>
      <c r="E19" s="647"/>
      <c r="F19" s="49">
        <f>+Movimientos_Ltp_Pep!H64</f>
        <v>0</v>
      </c>
      <c r="G19" s="288">
        <f>+Movimientos_Ltp_Pep!J64</f>
        <v>0</v>
      </c>
      <c r="H19" s="47">
        <f>F19+G19+J18</f>
        <v>0</v>
      </c>
      <c r="I19" s="136"/>
      <c r="J19" s="48">
        <f t="shared" si="49"/>
        <v>0</v>
      </c>
      <c r="K19" s="396">
        <v>0</v>
      </c>
      <c r="L19" s="50">
        <f>+Movimientos_Ltp_Pep!I64</f>
        <v>0</v>
      </c>
      <c r="M19" s="288">
        <f>+Movimientos_Ltp_Pep!K64</f>
        <v>0</v>
      </c>
      <c r="N19" s="52">
        <f>L19+M19+P18</f>
        <v>0</v>
      </c>
      <c r="O19" s="136"/>
      <c r="P19" s="53">
        <f t="shared" si="51"/>
        <v>0</v>
      </c>
      <c r="Q19" s="392">
        <v>0</v>
      </c>
      <c r="R19" s="277">
        <f t="shared" si="52"/>
        <v>0</v>
      </c>
      <c r="S19" s="288">
        <f t="shared" si="53"/>
        <v>0</v>
      </c>
      <c r="T19" s="148">
        <f>R19+S19+V18</f>
        <v>0</v>
      </c>
      <c r="U19" s="160">
        <f t="shared" si="55"/>
        <v>0</v>
      </c>
      <c r="V19" s="148">
        <f t="shared" si="56"/>
        <v>0</v>
      </c>
      <c r="W19" s="275">
        <v>0</v>
      </c>
      <c r="X19" s="625"/>
      <c r="Y19" s="626"/>
      <c r="Z19" s="625"/>
      <c r="AA19" s="590"/>
      <c r="AB19" s="625"/>
      <c r="AC19" s="624"/>
      <c r="AD19" s="209"/>
      <c r="AE19" s="209"/>
    </row>
    <row r="20" spans="2:31">
      <c r="B20" s="652"/>
      <c r="C20" s="399" t="str">
        <f>+Movimientos_Ltp_Pep!B65</f>
        <v>ANTONIO CRUZ CORDOVA NAKOUZI E.I.R.L</v>
      </c>
      <c r="D20" s="373" t="s">
        <v>20</v>
      </c>
      <c r="E20" s="646">
        <f>+Movimientos_Ltp_Pep!E65/100</f>
        <v>1.3669999999999999E-4</v>
      </c>
      <c r="F20" s="49">
        <f>+Movimientos_Ltp_Pep!H65</f>
        <v>0.10853979999999999</v>
      </c>
      <c r="G20" s="155">
        <f>+Movimientos_Ltp_Pep!J65</f>
        <v>0</v>
      </c>
      <c r="H20" s="375">
        <f t="shared" ref="H20" si="58">F20+G20</f>
        <v>0.10853979999999999</v>
      </c>
      <c r="I20" s="135"/>
      <c r="J20" s="376">
        <f t="shared" si="28"/>
        <v>0.10853979999999999</v>
      </c>
      <c r="K20" s="396">
        <f t="shared" si="10"/>
        <v>0</v>
      </c>
      <c r="L20" s="50">
        <f>+Movimientos_Ltp_Pep!I65</f>
        <v>0.13259899999999999</v>
      </c>
      <c r="M20" s="155">
        <f>+Movimientos_Ltp_Pep!K65</f>
        <v>0</v>
      </c>
      <c r="N20" s="377">
        <f t="shared" ref="N20" si="59">L20+M20</f>
        <v>0.13259899999999999</v>
      </c>
      <c r="O20" s="135"/>
      <c r="P20" s="378">
        <f t="shared" si="38"/>
        <v>0.13259899999999999</v>
      </c>
      <c r="Q20" s="391">
        <f t="shared" si="6"/>
        <v>0</v>
      </c>
      <c r="R20" s="379">
        <f t="shared" si="7"/>
        <v>0.24113879999999999</v>
      </c>
      <c r="S20" s="374">
        <f t="shared" si="8"/>
        <v>0</v>
      </c>
      <c r="T20" s="375">
        <f t="shared" ref="T20:T22" si="60">R20+S20</f>
        <v>0.24113879999999999</v>
      </c>
      <c r="U20" s="380">
        <f t="shared" si="13"/>
        <v>0</v>
      </c>
      <c r="V20" s="375">
        <f t="shared" si="48"/>
        <v>0.24113879999999999</v>
      </c>
      <c r="W20" s="381">
        <f t="shared" si="2"/>
        <v>0</v>
      </c>
      <c r="X20" s="625">
        <f t="shared" ref="X20:Y20" si="61">R20+R21</f>
        <v>0.267932</v>
      </c>
      <c r="Y20" s="626">
        <f t="shared" si="61"/>
        <v>0</v>
      </c>
      <c r="Z20" s="625">
        <f t="shared" ref="Z20" si="62">X20+Y20</f>
        <v>0.267932</v>
      </c>
      <c r="AA20" s="590">
        <f t="shared" ref="AA20" si="63">U20+U21</f>
        <v>0</v>
      </c>
      <c r="AB20" s="625">
        <f t="shared" ref="AB20" si="64">Z20-AA20</f>
        <v>0.267932</v>
      </c>
      <c r="AC20" s="624">
        <f t="shared" ref="AC20" si="65">AA20/Z20</f>
        <v>0</v>
      </c>
      <c r="AD20" s="209"/>
      <c r="AE20" s="209"/>
    </row>
    <row r="21" spans="2:31">
      <c r="B21" s="652"/>
      <c r="C21" s="400"/>
      <c r="D21" s="113" t="s">
        <v>9</v>
      </c>
      <c r="E21" s="647"/>
      <c r="F21" s="49">
        <f>+Movimientos_Ltp_Pep!H66</f>
        <v>1.20296E-2</v>
      </c>
      <c r="G21" s="288">
        <f>+Movimientos_Ltp_Pep!J66</f>
        <v>0</v>
      </c>
      <c r="H21" s="148">
        <f t="shared" ref="H21" si="66">F21+G21+J20</f>
        <v>0.12056939999999999</v>
      </c>
      <c r="I21" s="136"/>
      <c r="J21" s="51">
        <f t="shared" si="28"/>
        <v>0.12056939999999999</v>
      </c>
      <c r="K21" s="403">
        <f t="shared" si="10"/>
        <v>0</v>
      </c>
      <c r="L21" s="50">
        <f>+Movimientos_Ltp_Pep!I66</f>
        <v>1.4763599999999998E-2</v>
      </c>
      <c r="M21" s="288">
        <f>+Movimientos_Ltp_Pep!K66</f>
        <v>0</v>
      </c>
      <c r="N21" s="52">
        <f t="shared" ref="N21" si="67">L21+M21+P20</f>
        <v>0.14736259999999998</v>
      </c>
      <c r="O21" s="136"/>
      <c r="P21" s="53">
        <f t="shared" si="38"/>
        <v>0.14736259999999998</v>
      </c>
      <c r="Q21" s="392">
        <f t="shared" si="6"/>
        <v>0</v>
      </c>
      <c r="R21" s="277">
        <f t="shared" si="7"/>
        <v>2.6793199999999996E-2</v>
      </c>
      <c r="S21" s="288">
        <f t="shared" si="8"/>
        <v>0</v>
      </c>
      <c r="T21" s="148">
        <f>R21+S21+V20</f>
        <v>0.267932</v>
      </c>
      <c r="U21" s="160">
        <f t="shared" si="13"/>
        <v>0</v>
      </c>
      <c r="V21" s="148">
        <f t="shared" si="48"/>
        <v>0.267932</v>
      </c>
      <c r="W21" s="275">
        <f t="shared" si="2"/>
        <v>0</v>
      </c>
      <c r="X21" s="625"/>
      <c r="Y21" s="626"/>
      <c r="Z21" s="625"/>
      <c r="AA21" s="590"/>
      <c r="AB21" s="625"/>
      <c r="AC21" s="624"/>
      <c r="AD21" s="209"/>
      <c r="AE21" s="209"/>
    </row>
    <row r="22" spans="2:31">
      <c r="B22" s="652"/>
      <c r="C22" s="399" t="str">
        <f>+Movimientos_Ltp_Pep!B67</f>
        <v>ENFEMAR LTDA. SOC. PESQ.</v>
      </c>
      <c r="D22" s="373" t="s">
        <v>20</v>
      </c>
      <c r="E22" s="646">
        <f>+Movimientos_Ltp_Pep!E67/100</f>
        <v>5.4599999999999999E-5</v>
      </c>
      <c r="F22" s="49">
        <f>+Movimientos_Ltp_Pep!H67</f>
        <v>4.3352399999999999E-2</v>
      </c>
      <c r="G22" s="155">
        <f>+Movimientos_Ltp_Pep!J67</f>
        <v>0</v>
      </c>
      <c r="H22" s="375">
        <f t="shared" ref="H22" si="68">F22+G22</f>
        <v>4.3352399999999999E-2</v>
      </c>
      <c r="I22" s="135"/>
      <c r="J22" s="376">
        <f t="shared" si="28"/>
        <v>4.3352399999999999E-2</v>
      </c>
      <c r="K22" s="396">
        <f t="shared" si="10"/>
        <v>0</v>
      </c>
      <c r="L22" s="50">
        <f>+Movimientos_Ltp_Pep!I67</f>
        <v>5.2962000000000002E-2</v>
      </c>
      <c r="M22" s="155">
        <f>+Movimientos_Ltp_Pep!K67</f>
        <v>0</v>
      </c>
      <c r="N22" s="377">
        <f t="shared" ref="N22" si="69">L22+M22</f>
        <v>5.2962000000000002E-2</v>
      </c>
      <c r="O22" s="135"/>
      <c r="P22" s="378">
        <f t="shared" si="38"/>
        <v>5.2962000000000002E-2</v>
      </c>
      <c r="Q22" s="391">
        <f t="shared" si="6"/>
        <v>0</v>
      </c>
      <c r="R22" s="379">
        <f t="shared" si="7"/>
        <v>9.6314399999999994E-2</v>
      </c>
      <c r="S22" s="374">
        <f t="shared" si="8"/>
        <v>0</v>
      </c>
      <c r="T22" s="375">
        <f t="shared" si="60"/>
        <v>9.6314399999999994E-2</v>
      </c>
      <c r="U22" s="380">
        <f t="shared" si="13"/>
        <v>0</v>
      </c>
      <c r="V22" s="375">
        <f t="shared" si="48"/>
        <v>9.6314399999999994E-2</v>
      </c>
      <c r="W22" s="381">
        <f t="shared" si="2"/>
        <v>0</v>
      </c>
      <c r="X22" s="625">
        <f t="shared" ref="X22:Y22" si="70">R22+R23</f>
        <v>0.107016</v>
      </c>
      <c r="Y22" s="626">
        <f t="shared" si="70"/>
        <v>0</v>
      </c>
      <c r="Z22" s="625">
        <f t="shared" ref="Z22" si="71">X22+Y22</f>
        <v>0.107016</v>
      </c>
      <c r="AA22" s="590">
        <f t="shared" ref="AA22" si="72">U22+U23</f>
        <v>0</v>
      </c>
      <c r="AB22" s="625">
        <f t="shared" ref="AB22" si="73">Z22-AA22</f>
        <v>0.107016</v>
      </c>
      <c r="AC22" s="624">
        <f t="shared" ref="AC22" si="74">AA22/Z22</f>
        <v>0</v>
      </c>
      <c r="AD22" s="209"/>
      <c r="AE22" s="209"/>
    </row>
    <row r="23" spans="2:31">
      <c r="B23" s="652"/>
      <c r="C23" s="400"/>
      <c r="D23" s="113" t="s">
        <v>9</v>
      </c>
      <c r="E23" s="647"/>
      <c r="F23" s="49">
        <f>+Movimientos_Ltp_Pep!H68</f>
        <v>4.8047999999999997E-3</v>
      </c>
      <c r="G23" s="288">
        <f>+Movimientos_Ltp_Pep!J68</f>
        <v>0</v>
      </c>
      <c r="H23" s="148">
        <f t="shared" ref="H23" si="75">F23+G23+J22</f>
        <v>4.8157199999999997E-2</v>
      </c>
      <c r="I23" s="136"/>
      <c r="J23" s="51">
        <f t="shared" si="28"/>
        <v>4.8157199999999997E-2</v>
      </c>
      <c r="K23" s="403">
        <f t="shared" si="10"/>
        <v>0</v>
      </c>
      <c r="L23" s="50">
        <f>+Movimientos_Ltp_Pep!I68</f>
        <v>5.8967999999999998E-3</v>
      </c>
      <c r="M23" s="288">
        <f>+Movimientos_Ltp_Pep!K68</f>
        <v>0</v>
      </c>
      <c r="N23" s="52">
        <f t="shared" ref="N23" si="76">L23+M23+P22</f>
        <v>5.8858800000000003E-2</v>
      </c>
      <c r="O23" s="136"/>
      <c r="P23" s="53">
        <f t="shared" si="38"/>
        <v>5.8858800000000003E-2</v>
      </c>
      <c r="Q23" s="392">
        <f t="shared" si="6"/>
        <v>0</v>
      </c>
      <c r="R23" s="277">
        <f t="shared" si="7"/>
        <v>1.0701599999999999E-2</v>
      </c>
      <c r="S23" s="288">
        <f t="shared" si="8"/>
        <v>0</v>
      </c>
      <c r="T23" s="148">
        <f>R23+S23+V22</f>
        <v>0.107016</v>
      </c>
      <c r="U23" s="160">
        <f t="shared" si="13"/>
        <v>0</v>
      </c>
      <c r="V23" s="148">
        <f t="shared" si="48"/>
        <v>0.107016</v>
      </c>
      <c r="W23" s="275">
        <f t="shared" si="2"/>
        <v>0</v>
      </c>
      <c r="X23" s="625"/>
      <c r="Y23" s="626"/>
      <c r="Z23" s="625"/>
      <c r="AA23" s="590"/>
      <c r="AB23" s="625"/>
      <c r="AC23" s="624"/>
      <c r="AD23" s="209"/>
      <c r="AE23" s="209"/>
    </row>
    <row r="24" spans="2:31">
      <c r="B24" s="652"/>
      <c r="C24" s="399" t="str">
        <f>+Movimientos_Ltp_Pep!B69</f>
        <v>PACIFICBLU SpA.</v>
      </c>
      <c r="D24" s="112" t="s">
        <v>20</v>
      </c>
      <c r="E24" s="646">
        <f>+Movimientos_Ltp_Pep!E69/100</f>
        <v>0.17622903999999998</v>
      </c>
      <c r="F24" s="49">
        <f>+Movimientos_Ltp_Pep!H69</f>
        <v>139.92585775999999</v>
      </c>
      <c r="G24" s="155">
        <f>+Movimientos_Ltp_Pep!J69</f>
        <v>-116.98847999999998</v>
      </c>
      <c r="H24" s="47">
        <f>F24+G24</f>
        <v>22.937377760000004</v>
      </c>
      <c r="I24" s="135"/>
      <c r="J24" s="48">
        <f t="shared" ref="J24:J25" si="77">H24-I24</f>
        <v>22.937377760000004</v>
      </c>
      <c r="K24" s="396">
        <v>0</v>
      </c>
      <c r="L24" s="50">
        <f>+Movimientos_Ltp_Pep!I69</f>
        <v>170.94216879999999</v>
      </c>
      <c r="M24" s="155">
        <f>+Movimientos_Ltp_Pep!K69</f>
        <v>-142.98591999999996</v>
      </c>
      <c r="N24" s="49">
        <f t="shared" ref="N24" si="78">L24+M24</f>
        <v>27.956248800000026</v>
      </c>
      <c r="O24" s="135"/>
      <c r="P24" s="139">
        <f t="shared" ref="P24:P25" si="79">N24-O24</f>
        <v>27.956248800000026</v>
      </c>
      <c r="Q24" s="393">
        <v>0</v>
      </c>
      <c r="R24" s="278">
        <f t="shared" ref="R24:R25" si="80">+F24+L24</f>
        <v>310.86802655999998</v>
      </c>
      <c r="S24" s="374">
        <f t="shared" ref="S24:S25" si="81">G24+M24</f>
        <v>-259.97439999999995</v>
      </c>
      <c r="T24" s="140">
        <f t="shared" ref="T24" si="82">R24+S24</f>
        <v>50.89362656000003</v>
      </c>
      <c r="U24" s="161">
        <f t="shared" ref="U24:U25" si="83">I24+O24</f>
        <v>0</v>
      </c>
      <c r="V24" s="140">
        <f t="shared" ref="V24:V25" si="84">T24-U24</f>
        <v>50.89362656000003</v>
      </c>
      <c r="W24" s="381">
        <v>0</v>
      </c>
      <c r="X24" s="625">
        <f>R24+R25</f>
        <v>345.40891839999995</v>
      </c>
      <c r="Y24" s="626">
        <f>S24+S25</f>
        <v>-259.97439999999995</v>
      </c>
      <c r="Z24" s="625">
        <f t="shared" ref="Z24" si="85">X24+Y24</f>
        <v>85.434518400000002</v>
      </c>
      <c r="AA24" s="590">
        <f>U24+U25</f>
        <v>0</v>
      </c>
      <c r="AB24" s="625">
        <f t="shared" ref="AB24" si="86">Z24-AA24</f>
        <v>85.434518400000002</v>
      </c>
      <c r="AC24" s="624">
        <v>0</v>
      </c>
      <c r="AD24" s="209"/>
      <c r="AE24" s="209"/>
    </row>
    <row r="25" spans="2:31">
      <c r="B25" s="652"/>
      <c r="C25" s="400"/>
      <c r="D25" s="112" t="s">
        <v>9</v>
      </c>
      <c r="E25" s="647"/>
      <c r="F25" s="49">
        <f>+Movimientos_Ltp_Pep!H70</f>
        <v>15.508155519999997</v>
      </c>
      <c r="G25" s="288">
        <f>+Movimientos_Ltp_Pep!J70</f>
        <v>0</v>
      </c>
      <c r="H25" s="47">
        <f>F25+G25+J24</f>
        <v>38.445533279999999</v>
      </c>
      <c r="I25" s="136"/>
      <c r="J25" s="48">
        <f t="shared" si="77"/>
        <v>38.445533279999999</v>
      </c>
      <c r="K25" s="396">
        <v>0</v>
      </c>
      <c r="L25" s="50">
        <f>+Movimientos_Ltp_Pep!I70</f>
        <v>19.032736319999998</v>
      </c>
      <c r="M25" s="288">
        <f>+Movimientos_Ltp_Pep!K70</f>
        <v>0</v>
      </c>
      <c r="N25" s="49">
        <f>L25+M25+P24</f>
        <v>46.988985120000024</v>
      </c>
      <c r="O25" s="136"/>
      <c r="P25" s="139">
        <f t="shared" si="79"/>
        <v>46.988985120000024</v>
      </c>
      <c r="Q25" s="393">
        <v>0</v>
      </c>
      <c r="R25" s="278">
        <f t="shared" si="80"/>
        <v>34.540891839999993</v>
      </c>
      <c r="S25" s="288">
        <f t="shared" si="81"/>
        <v>0</v>
      </c>
      <c r="T25" s="140">
        <f>R25+S25+V24</f>
        <v>85.43451840000003</v>
      </c>
      <c r="U25" s="161">
        <f t="shared" si="83"/>
        <v>0</v>
      </c>
      <c r="V25" s="140">
        <f t="shared" si="84"/>
        <v>85.43451840000003</v>
      </c>
      <c r="W25" s="275">
        <v>0</v>
      </c>
      <c r="X25" s="625"/>
      <c r="Y25" s="626"/>
      <c r="Z25" s="625"/>
      <c r="AA25" s="590"/>
      <c r="AB25" s="625"/>
      <c r="AC25" s="624"/>
      <c r="AD25" s="209"/>
      <c r="AE25" s="209"/>
    </row>
    <row r="26" spans="2:31">
      <c r="B26" s="652"/>
      <c r="C26" s="399" t="str">
        <f>+Movimientos_Ltp_Pep!B71</f>
        <v xml:space="preserve">ANTONIO DA VENEZIA RETAMALES </v>
      </c>
      <c r="D26" s="373" t="s">
        <v>20</v>
      </c>
      <c r="E26" s="646">
        <f>+Movimientos_Ltp_Pep!E71/100</f>
        <v>2.0100000000000001E-5</v>
      </c>
      <c r="F26" s="49">
        <f>+Movimientos_Ltp_Pep!H71</f>
        <v>1.5959400000000002E-2</v>
      </c>
      <c r="G26" s="155">
        <f>+Movimientos_Ltp_Pep!J71</f>
        <v>0</v>
      </c>
      <c r="H26" s="375">
        <f t="shared" ref="H26" si="87">F26+G26</f>
        <v>1.5959400000000002E-2</v>
      </c>
      <c r="I26" s="135"/>
      <c r="J26" s="376">
        <f t="shared" si="28"/>
        <v>1.5959400000000002E-2</v>
      </c>
      <c r="K26" s="404">
        <f t="shared" si="10"/>
        <v>0</v>
      </c>
      <c r="L26" s="50">
        <f>+Movimientos_Ltp_Pep!I71</f>
        <v>1.9497E-2</v>
      </c>
      <c r="M26" s="155">
        <f>+Movimientos_Ltp_Pep!K71</f>
        <v>0</v>
      </c>
      <c r="N26" s="377">
        <f t="shared" ref="N26" si="88">L26+M26</f>
        <v>1.9497E-2</v>
      </c>
      <c r="O26" s="135"/>
      <c r="P26" s="382">
        <f t="shared" si="38"/>
        <v>1.9497E-2</v>
      </c>
      <c r="Q26" s="394">
        <f t="shared" si="6"/>
        <v>0</v>
      </c>
      <c r="R26" s="383">
        <f t="shared" si="7"/>
        <v>3.5456399999999999E-2</v>
      </c>
      <c r="S26" s="374">
        <f t="shared" si="8"/>
        <v>0</v>
      </c>
      <c r="T26" s="375">
        <f t="shared" ref="T26" si="89">R26+S26</f>
        <v>3.5456399999999999E-2</v>
      </c>
      <c r="U26" s="380">
        <f t="shared" si="13"/>
        <v>0</v>
      </c>
      <c r="V26" s="375">
        <f t="shared" si="48"/>
        <v>3.5456399999999999E-2</v>
      </c>
      <c r="W26" s="381">
        <f t="shared" ref="W26:W29" si="90">U26/T26</f>
        <v>0</v>
      </c>
      <c r="X26" s="625">
        <f>R26+R27</f>
        <v>3.9396E-2</v>
      </c>
      <c r="Y26" s="626">
        <f>S26+S27</f>
        <v>0</v>
      </c>
      <c r="Z26" s="625">
        <f t="shared" ref="Z26" si="91">X26+Y26</f>
        <v>3.9396E-2</v>
      </c>
      <c r="AA26" s="590">
        <f>U26+U27</f>
        <v>0</v>
      </c>
      <c r="AB26" s="625">
        <f t="shared" ref="AB26" si="92">Z26-AA26</f>
        <v>3.9396E-2</v>
      </c>
      <c r="AC26" s="624">
        <f t="shared" ref="AC26" si="93">AA26/Z26</f>
        <v>0</v>
      </c>
      <c r="AD26" s="209"/>
      <c r="AE26" s="209"/>
    </row>
    <row r="27" spans="2:31">
      <c r="B27" s="652"/>
      <c r="C27" s="400"/>
      <c r="D27" s="113" t="s">
        <v>9</v>
      </c>
      <c r="E27" s="647"/>
      <c r="F27" s="49">
        <f>+Movimientos_Ltp_Pep!H72</f>
        <v>1.7688000000000001E-3</v>
      </c>
      <c r="G27" s="288">
        <f>+Movimientos_Ltp_Pep!J72</f>
        <v>0</v>
      </c>
      <c r="H27" s="148">
        <f>F27+G27+J26</f>
        <v>1.7728200000000003E-2</v>
      </c>
      <c r="I27" s="136"/>
      <c r="J27" s="51">
        <f t="shared" si="28"/>
        <v>1.7728200000000003E-2</v>
      </c>
      <c r="K27" s="403">
        <f t="shared" si="10"/>
        <v>0</v>
      </c>
      <c r="L27" s="50">
        <f>+Movimientos_Ltp_Pep!I72</f>
        <v>2.1708000000000001E-3</v>
      </c>
      <c r="M27" s="288">
        <f>+Movimientos_Ltp_Pep!K72</f>
        <v>0</v>
      </c>
      <c r="N27" s="52">
        <f>L27+M27+P26</f>
        <v>2.1667800000000001E-2</v>
      </c>
      <c r="O27" s="136"/>
      <c r="P27" s="53">
        <f t="shared" si="38"/>
        <v>2.1667800000000001E-2</v>
      </c>
      <c r="Q27" s="392">
        <f t="shared" si="6"/>
        <v>0</v>
      </c>
      <c r="R27" s="277">
        <f t="shared" si="7"/>
        <v>3.9395999999999997E-3</v>
      </c>
      <c r="S27" s="288">
        <f t="shared" si="8"/>
        <v>0</v>
      </c>
      <c r="T27" s="148">
        <f>R27+S27+V26</f>
        <v>3.9396E-2</v>
      </c>
      <c r="U27" s="160">
        <f t="shared" si="13"/>
        <v>0</v>
      </c>
      <c r="V27" s="148">
        <f t="shared" si="48"/>
        <v>3.9396E-2</v>
      </c>
      <c r="W27" s="275">
        <f t="shared" si="90"/>
        <v>0</v>
      </c>
      <c r="X27" s="625"/>
      <c r="Y27" s="626"/>
      <c r="Z27" s="625"/>
      <c r="AA27" s="590"/>
      <c r="AB27" s="625"/>
      <c r="AC27" s="624"/>
      <c r="AD27" s="209"/>
      <c r="AE27" s="209"/>
    </row>
    <row r="28" spans="2:31">
      <c r="B28" s="652"/>
      <c r="C28" s="399" t="str">
        <f>+Movimientos_Ltp_Pep!B73</f>
        <v>LANDES S.A. SOC. PESQ.</v>
      </c>
      <c r="D28" s="373" t="s">
        <v>20</v>
      </c>
      <c r="E28" s="646">
        <f>+Movimientos_Ltp_Pep!E73/100</f>
        <v>1E-3</v>
      </c>
      <c r="F28" s="49">
        <f>+Movimientos_Ltp_Pep!H73</f>
        <v>0.79400000000000004</v>
      </c>
      <c r="G28" s="155">
        <f>+Movimientos_Ltp_Pep!J73</f>
        <v>0</v>
      </c>
      <c r="H28" s="375">
        <f>F28+G28</f>
        <v>0.79400000000000004</v>
      </c>
      <c r="I28" s="135"/>
      <c r="J28" s="376">
        <f t="shared" si="28"/>
        <v>0.79400000000000004</v>
      </c>
      <c r="K28" s="404">
        <f t="shared" si="10"/>
        <v>0</v>
      </c>
      <c r="L28" s="50">
        <f>+Movimientos_Ltp_Pep!I73</f>
        <v>0.97</v>
      </c>
      <c r="M28" s="155">
        <f>+Movimientos_Ltp_Pep!K73</f>
        <v>0</v>
      </c>
      <c r="N28" s="377">
        <f t="shared" ref="N28" si="94">L28+M28</f>
        <v>0.97</v>
      </c>
      <c r="O28" s="135"/>
      <c r="P28" s="378">
        <f t="shared" si="38"/>
        <v>0.97</v>
      </c>
      <c r="Q28" s="395">
        <f t="shared" si="6"/>
        <v>0</v>
      </c>
      <c r="R28" s="379">
        <f t="shared" si="7"/>
        <v>1.764</v>
      </c>
      <c r="S28" s="374">
        <f t="shared" si="8"/>
        <v>0</v>
      </c>
      <c r="T28" s="375">
        <f t="shared" ref="T28" si="95">R28+S28</f>
        <v>1.764</v>
      </c>
      <c r="U28" s="380">
        <f t="shared" si="13"/>
        <v>0</v>
      </c>
      <c r="V28" s="375">
        <f t="shared" si="48"/>
        <v>1.764</v>
      </c>
      <c r="W28" s="381">
        <f t="shared" si="90"/>
        <v>0</v>
      </c>
      <c r="X28" s="625">
        <f>R28+R29</f>
        <v>1.96</v>
      </c>
      <c r="Y28" s="626">
        <f>S28+S29</f>
        <v>0</v>
      </c>
      <c r="Z28" s="625">
        <f t="shared" ref="Z28" si="96">X28+Y28</f>
        <v>1.96</v>
      </c>
      <c r="AA28" s="590">
        <f>U28+U29</f>
        <v>0</v>
      </c>
      <c r="AB28" s="625">
        <f t="shared" ref="AB28" si="97">Z28-AA28</f>
        <v>1.96</v>
      </c>
      <c r="AC28" s="624">
        <f t="shared" ref="AC28" si="98">AA28/Z28</f>
        <v>0</v>
      </c>
      <c r="AD28" s="209"/>
      <c r="AE28" s="209"/>
    </row>
    <row r="29" spans="2:31">
      <c r="B29" s="652"/>
      <c r="C29" s="400"/>
      <c r="D29" s="113" t="s">
        <v>9</v>
      </c>
      <c r="E29" s="647"/>
      <c r="F29" s="49">
        <f>+Movimientos_Ltp_Pep!H74</f>
        <v>8.7999999999999995E-2</v>
      </c>
      <c r="G29" s="288">
        <f>+Movimientos_Ltp_Pep!J74</f>
        <v>0</v>
      </c>
      <c r="H29" s="47">
        <f>F29+G29+J28</f>
        <v>0.88200000000000001</v>
      </c>
      <c r="I29" s="136"/>
      <c r="J29" s="48">
        <f t="shared" si="28"/>
        <v>0.88200000000000001</v>
      </c>
      <c r="K29" s="396">
        <f t="shared" si="10"/>
        <v>0</v>
      </c>
      <c r="L29" s="50">
        <f>+Movimientos_Ltp_Pep!I74</f>
        <v>0.108</v>
      </c>
      <c r="M29" s="288">
        <f>+Movimientos_Ltp_Pep!K74</f>
        <v>0</v>
      </c>
      <c r="N29" s="52">
        <f>L29+M29+P28</f>
        <v>1.0780000000000001</v>
      </c>
      <c r="O29" s="136"/>
      <c r="P29" s="53">
        <f t="shared" si="38"/>
        <v>1.0780000000000001</v>
      </c>
      <c r="Q29" s="392">
        <f t="shared" si="6"/>
        <v>0</v>
      </c>
      <c r="R29" s="277">
        <f t="shared" si="7"/>
        <v>0.19600000000000001</v>
      </c>
      <c r="S29" s="288">
        <f t="shared" si="8"/>
        <v>0</v>
      </c>
      <c r="T29" s="148">
        <f>R29+S29+V28</f>
        <v>1.96</v>
      </c>
      <c r="U29" s="160">
        <f t="shared" si="13"/>
        <v>0</v>
      </c>
      <c r="V29" s="148">
        <f t="shared" si="48"/>
        <v>1.96</v>
      </c>
      <c r="W29" s="275">
        <f t="shared" si="90"/>
        <v>0</v>
      </c>
      <c r="X29" s="625"/>
      <c r="Y29" s="626"/>
      <c r="Z29" s="625"/>
      <c r="AA29" s="590"/>
      <c r="AB29" s="625"/>
      <c r="AC29" s="624"/>
      <c r="AD29" s="209"/>
      <c r="AE29" s="209"/>
    </row>
    <row r="30" spans="2:31" ht="14.4" customHeight="1">
      <c r="B30" s="652"/>
      <c r="C30" s="399" t="str">
        <f>+Movimientos_Ltp_Pep!B75</f>
        <v>JORGE COFRE REYES</v>
      </c>
      <c r="D30" s="373" t="s">
        <v>20</v>
      </c>
      <c r="E30" s="646">
        <f>+Movimientos_Ltp_Pep!E75/100</f>
        <v>0</v>
      </c>
      <c r="F30" s="49">
        <f>+Movimientos_Ltp_Pep!H75</f>
        <v>0</v>
      </c>
      <c r="G30" s="155">
        <f>+Movimientos_Ltp_Pep!J75</f>
        <v>0</v>
      </c>
      <c r="H30" s="375">
        <f>F30+G30</f>
        <v>0</v>
      </c>
      <c r="I30" s="135"/>
      <c r="J30" s="376">
        <f t="shared" si="28"/>
        <v>0</v>
      </c>
      <c r="K30" s="404">
        <v>0</v>
      </c>
      <c r="L30" s="50">
        <f>+Movimientos_Ltp_Pep!I75</f>
        <v>0</v>
      </c>
      <c r="M30" s="155">
        <f>+Movimientos_Ltp_Pep!K75</f>
        <v>81.731999999999999</v>
      </c>
      <c r="N30" s="377">
        <f t="shared" ref="N30" si="99">L30+M30</f>
        <v>81.731999999999999</v>
      </c>
      <c r="O30" s="135">
        <f>+F51+G51</f>
        <v>51.953000000000003</v>
      </c>
      <c r="P30" s="378">
        <f t="shared" si="38"/>
        <v>29.778999999999996</v>
      </c>
      <c r="Q30" s="396">
        <v>0</v>
      </c>
      <c r="R30" s="379">
        <f t="shared" si="7"/>
        <v>0</v>
      </c>
      <c r="S30" s="374">
        <f t="shared" si="8"/>
        <v>81.731999999999999</v>
      </c>
      <c r="T30" s="375">
        <f t="shared" ref="T30" si="100">R30+S30</f>
        <v>81.731999999999999</v>
      </c>
      <c r="U30" s="380">
        <f t="shared" si="13"/>
        <v>51.953000000000003</v>
      </c>
      <c r="V30" s="375">
        <f t="shared" si="48"/>
        <v>29.778999999999996</v>
      </c>
      <c r="W30" s="381">
        <v>0</v>
      </c>
      <c r="X30" s="625">
        <f>R30+R31</f>
        <v>0</v>
      </c>
      <c r="Y30" s="626">
        <f>S30+S31</f>
        <v>81.731999999999999</v>
      </c>
      <c r="Z30" s="625">
        <f>X30+Y30</f>
        <v>81.731999999999999</v>
      </c>
      <c r="AA30" s="590">
        <f>U30+U31</f>
        <v>51.953000000000003</v>
      </c>
      <c r="AB30" s="625">
        <f t="shared" ref="AB30" si="101">Z30-AA30</f>
        <v>29.778999999999996</v>
      </c>
      <c r="AC30" s="624">
        <f>IF(Z30&gt;0,AA30/Z30,"0%")</f>
        <v>0.63565066314295504</v>
      </c>
      <c r="AD30" s="209"/>
      <c r="AE30" s="209"/>
    </row>
    <row r="31" spans="2:31">
      <c r="B31" s="652"/>
      <c r="C31" s="400"/>
      <c r="D31" s="113" t="s">
        <v>9</v>
      </c>
      <c r="E31" s="647"/>
      <c r="F31" s="49">
        <f>+Movimientos_Ltp_Pep!H76</f>
        <v>0</v>
      </c>
      <c r="G31" s="288">
        <f>+Movimientos_Ltp_Pep!J76</f>
        <v>0</v>
      </c>
      <c r="H31" s="47">
        <f>F31+G31+J30</f>
        <v>0</v>
      </c>
      <c r="I31" s="136"/>
      <c r="J31" s="48">
        <f t="shared" si="28"/>
        <v>0</v>
      </c>
      <c r="K31" s="396">
        <v>0</v>
      </c>
      <c r="L31" s="50">
        <f>+Movimientos_Ltp_Pep!I76</f>
        <v>0</v>
      </c>
      <c r="M31" s="288">
        <f>+Movimientos_Ltp_Pep!K76</f>
        <v>0</v>
      </c>
      <c r="N31" s="52">
        <f>L31+M31+P30</f>
        <v>29.778999999999996</v>
      </c>
      <c r="O31" s="136"/>
      <c r="P31" s="53">
        <f t="shared" si="38"/>
        <v>29.778999999999996</v>
      </c>
      <c r="Q31" s="392">
        <v>0</v>
      </c>
      <c r="R31" s="277">
        <f t="shared" si="7"/>
        <v>0</v>
      </c>
      <c r="S31" s="288">
        <f t="shared" si="8"/>
        <v>0</v>
      </c>
      <c r="T31" s="148">
        <f>R31+S31+V30</f>
        <v>29.778999999999996</v>
      </c>
      <c r="U31" s="160">
        <f t="shared" si="13"/>
        <v>0</v>
      </c>
      <c r="V31" s="148">
        <f t="shared" si="48"/>
        <v>29.778999999999996</v>
      </c>
      <c r="W31" s="275">
        <v>0</v>
      </c>
      <c r="X31" s="625"/>
      <c r="Y31" s="626"/>
      <c r="Z31" s="625"/>
      <c r="AA31" s="590"/>
      <c r="AB31" s="625"/>
      <c r="AC31" s="624"/>
      <c r="AD31" s="209"/>
      <c r="AE31" s="209"/>
    </row>
    <row r="32" spans="2:31">
      <c r="B32" s="652"/>
      <c r="C32" s="399" t="str">
        <f>+Movimientos_Ltp_Pep!B77</f>
        <v>CRISTIAN RODRIGO ANTONIO MARDONES PANTOJA</v>
      </c>
      <c r="D32" s="373" t="s">
        <v>20</v>
      </c>
      <c r="E32" s="646">
        <f>+Movimientos_Ltp_Pep!E77/100</f>
        <v>0</v>
      </c>
      <c r="F32" s="49">
        <f>+Movimientos_Ltp_Pep!H77</f>
        <v>0</v>
      </c>
      <c r="G32" s="155">
        <f>+Movimientos_Ltp_Pep!J77</f>
        <v>0</v>
      </c>
      <c r="H32" s="375">
        <f>F32+G32</f>
        <v>0</v>
      </c>
      <c r="I32" s="135"/>
      <c r="J32" s="376">
        <f t="shared" ref="J32:J35" si="102">H32-I32</f>
        <v>0</v>
      </c>
      <c r="K32" s="404">
        <v>0</v>
      </c>
      <c r="L32" s="50">
        <f>+Movimientos_Ltp_Pep!I77</f>
        <v>0</v>
      </c>
      <c r="M32" s="155">
        <f>+Movimientos_Ltp_Pep!K77</f>
        <v>0</v>
      </c>
      <c r="N32" s="377">
        <f t="shared" ref="N32" si="103">L32+M32</f>
        <v>0</v>
      </c>
      <c r="O32" s="135"/>
      <c r="P32" s="378">
        <f t="shared" ref="P32:P35" si="104">N32-O32</f>
        <v>0</v>
      </c>
      <c r="Q32" s="396">
        <v>0</v>
      </c>
      <c r="R32" s="379">
        <f t="shared" ref="R32:R35" si="105">+F32+L32</f>
        <v>0</v>
      </c>
      <c r="S32" s="374">
        <f t="shared" ref="S32:S35" si="106">G32+M32</f>
        <v>0</v>
      </c>
      <c r="T32" s="375">
        <f t="shared" ref="T32" si="107">R32+S32</f>
        <v>0</v>
      </c>
      <c r="U32" s="380">
        <f t="shared" ref="U32:U35" si="108">I32+O32</f>
        <v>0</v>
      </c>
      <c r="V32" s="375">
        <f t="shared" ref="V32:V35" si="109">T32-U32</f>
        <v>0</v>
      </c>
      <c r="W32" s="381">
        <v>0</v>
      </c>
      <c r="X32" s="625">
        <f>R32+R33</f>
        <v>0</v>
      </c>
      <c r="Y32" s="626">
        <f>S32+S33</f>
        <v>0</v>
      </c>
      <c r="Z32" s="625">
        <f t="shared" ref="Z32" si="110">X32+Y32</f>
        <v>0</v>
      </c>
      <c r="AA32" s="590">
        <f>U32+U33</f>
        <v>0</v>
      </c>
      <c r="AB32" s="625">
        <f t="shared" ref="AB32" si="111">Z32-AA32</f>
        <v>0</v>
      </c>
      <c r="AC32" s="624">
        <v>0</v>
      </c>
      <c r="AD32" s="209"/>
      <c r="AE32" s="209"/>
    </row>
    <row r="33" spans="2:31">
      <c r="B33" s="652"/>
      <c r="C33" s="400"/>
      <c r="D33" s="113" t="s">
        <v>9</v>
      </c>
      <c r="E33" s="647"/>
      <c r="F33" s="49">
        <f>+Movimientos_Ltp_Pep!H78</f>
        <v>0</v>
      </c>
      <c r="G33" s="288">
        <f>+Movimientos_Ltp_Pep!J78</f>
        <v>0</v>
      </c>
      <c r="H33" s="47">
        <f>F33+G33+J32</f>
        <v>0</v>
      </c>
      <c r="I33" s="136"/>
      <c r="J33" s="48">
        <f t="shared" si="102"/>
        <v>0</v>
      </c>
      <c r="K33" s="396">
        <v>0</v>
      </c>
      <c r="L33" s="50">
        <f>+Movimientos_Ltp_Pep!I78</f>
        <v>0</v>
      </c>
      <c r="M33" s="288">
        <f>+Movimientos_Ltp_Pep!K78</f>
        <v>0</v>
      </c>
      <c r="N33" s="52">
        <f>L33+M33+P32</f>
        <v>0</v>
      </c>
      <c r="O33" s="136"/>
      <c r="P33" s="53">
        <f t="shared" si="104"/>
        <v>0</v>
      </c>
      <c r="Q33" s="392">
        <v>0</v>
      </c>
      <c r="R33" s="277">
        <f t="shared" si="105"/>
        <v>0</v>
      </c>
      <c r="S33" s="288">
        <f t="shared" si="106"/>
        <v>0</v>
      </c>
      <c r="T33" s="148">
        <f>R33+S33+V32</f>
        <v>0</v>
      </c>
      <c r="U33" s="160">
        <f t="shared" si="108"/>
        <v>0</v>
      </c>
      <c r="V33" s="148">
        <f t="shared" si="109"/>
        <v>0</v>
      </c>
      <c r="W33" s="275">
        <v>0</v>
      </c>
      <c r="X33" s="625"/>
      <c r="Y33" s="626"/>
      <c r="Z33" s="625"/>
      <c r="AA33" s="590"/>
      <c r="AB33" s="625"/>
      <c r="AC33" s="624"/>
      <c r="AD33" s="209"/>
      <c r="AE33" s="209"/>
    </row>
    <row r="34" spans="2:31">
      <c r="B34" s="652"/>
      <c r="C34" s="399" t="str">
        <f>+Movimientos_Ltp_Pep!B79</f>
        <v>PESQUERA CMK LTDA.</v>
      </c>
      <c r="D34" s="373" t="s">
        <v>20</v>
      </c>
      <c r="E34" s="646">
        <f>+Movimientos_Ltp_Pep!E79/100</f>
        <v>0</v>
      </c>
      <c r="F34" s="49">
        <f>+Movimientos_Ltp_Pep!H79</f>
        <v>0</v>
      </c>
      <c r="G34" s="155">
        <f>+Movimientos_Ltp_Pep!J79</f>
        <v>19.600000000000001</v>
      </c>
      <c r="H34" s="375">
        <f>F34+G34</f>
        <v>19.600000000000001</v>
      </c>
      <c r="I34" s="135"/>
      <c r="J34" s="376">
        <f t="shared" si="102"/>
        <v>19.600000000000001</v>
      </c>
      <c r="K34" s="404">
        <v>0</v>
      </c>
      <c r="L34" s="50">
        <f>+Movimientos_Ltp_Pep!I79</f>
        <v>0</v>
      </c>
      <c r="M34" s="155">
        <f>+Movimientos_Ltp_Pep!K79</f>
        <v>0</v>
      </c>
      <c r="N34" s="377">
        <f t="shared" ref="N34" si="112">L34+M34</f>
        <v>0</v>
      </c>
      <c r="O34" s="135"/>
      <c r="P34" s="378">
        <f t="shared" si="104"/>
        <v>0</v>
      </c>
      <c r="Q34" s="396">
        <v>0</v>
      </c>
      <c r="R34" s="379">
        <f t="shared" si="105"/>
        <v>0</v>
      </c>
      <c r="S34" s="374">
        <f t="shared" si="106"/>
        <v>19.600000000000001</v>
      </c>
      <c r="T34" s="375">
        <f t="shared" ref="T34" si="113">R34+S34</f>
        <v>19.600000000000001</v>
      </c>
      <c r="U34" s="380">
        <f t="shared" si="108"/>
        <v>0</v>
      </c>
      <c r="V34" s="375">
        <f t="shared" si="109"/>
        <v>19.600000000000001</v>
      </c>
      <c r="W34" s="381">
        <v>0</v>
      </c>
      <c r="X34" s="625">
        <f>R34+R35</f>
        <v>0</v>
      </c>
      <c r="Y34" s="626">
        <f>S34+S35</f>
        <v>19.600000000000001</v>
      </c>
      <c r="Z34" s="625">
        <f>X34+Y34</f>
        <v>19.600000000000001</v>
      </c>
      <c r="AA34" s="590">
        <f>U34+U35</f>
        <v>0</v>
      </c>
      <c r="AB34" s="625">
        <f t="shared" ref="AB34" si="114">Z34-AA34</f>
        <v>19.600000000000001</v>
      </c>
      <c r="AC34" s="624">
        <f>IF(Z34&gt;0,AA34/Z34,"0%")</f>
        <v>0</v>
      </c>
      <c r="AD34" s="209"/>
      <c r="AE34" s="209"/>
    </row>
    <row r="35" spans="2:31">
      <c r="B35" s="653"/>
      <c r="C35" s="400"/>
      <c r="D35" s="113" t="s">
        <v>9</v>
      </c>
      <c r="E35" s="647"/>
      <c r="F35" s="49">
        <f>+Movimientos_Ltp_Pep!H80</f>
        <v>0</v>
      </c>
      <c r="G35" s="288">
        <f>+Movimientos_Ltp_Pep!J80</f>
        <v>0</v>
      </c>
      <c r="H35" s="47">
        <f>F35+G35+J34</f>
        <v>19.600000000000001</v>
      </c>
      <c r="I35" s="136"/>
      <c r="J35" s="48">
        <f t="shared" si="102"/>
        <v>19.600000000000001</v>
      </c>
      <c r="K35" s="396">
        <v>0</v>
      </c>
      <c r="L35" s="50">
        <f>+Movimientos_Ltp_Pep!I80</f>
        <v>0</v>
      </c>
      <c r="M35" s="288">
        <f>+Movimientos_Ltp_Pep!K80</f>
        <v>0</v>
      </c>
      <c r="N35" s="52">
        <f>L35+M35+P34</f>
        <v>0</v>
      </c>
      <c r="O35" s="136"/>
      <c r="P35" s="53">
        <f t="shared" si="104"/>
        <v>0</v>
      </c>
      <c r="Q35" s="392">
        <v>0</v>
      </c>
      <c r="R35" s="277">
        <f t="shared" si="105"/>
        <v>0</v>
      </c>
      <c r="S35" s="155">
        <f t="shared" si="106"/>
        <v>0</v>
      </c>
      <c r="T35" s="148">
        <f>R35+S35+V34</f>
        <v>19.600000000000001</v>
      </c>
      <c r="U35" s="160">
        <f t="shared" si="108"/>
        <v>0</v>
      </c>
      <c r="V35" s="148">
        <f t="shared" si="109"/>
        <v>19.600000000000001</v>
      </c>
      <c r="W35" s="275">
        <v>0</v>
      </c>
      <c r="X35" s="625"/>
      <c r="Y35" s="626"/>
      <c r="Z35" s="625"/>
      <c r="AA35" s="590"/>
      <c r="AB35" s="625"/>
      <c r="AC35" s="624"/>
      <c r="AD35" s="209"/>
      <c r="AE35" s="209"/>
    </row>
    <row r="36" spans="2:31">
      <c r="B36" s="210"/>
      <c r="C36" s="648" t="s">
        <v>115</v>
      </c>
      <c r="D36" s="373" t="s">
        <v>20</v>
      </c>
      <c r="E36" s="654">
        <f>SUM(E8:E35)</f>
        <v>1.0000029989999999</v>
      </c>
      <c r="F36" s="405">
        <f t="shared" ref="F36:I37" si="115">+F8+F10+F12+F14+F16+F18+F20+F22+F24+F26+F28+F30+F32+F34</f>
        <v>794.002381206</v>
      </c>
      <c r="G36" s="405">
        <f t="shared" si="115"/>
        <v>19.600000000000001</v>
      </c>
      <c r="H36" s="405">
        <f t="shared" si="115"/>
        <v>813.60238120600002</v>
      </c>
      <c r="I36" s="405">
        <f t="shared" si="115"/>
        <v>485.95500000000004</v>
      </c>
      <c r="J36" s="384">
        <f>H36-I36</f>
        <v>327.64738120599998</v>
      </c>
      <c r="K36" s="406">
        <f>I36/H36</f>
        <v>0.59728807489436131</v>
      </c>
      <c r="L36" s="405">
        <f>+L8+L10+L12+L14+L16+L18+L20+L22+L24+L26+L28+L30+L32+L34</f>
        <v>970.00290903000007</v>
      </c>
      <c r="M36" s="405">
        <f>+M8+M10+M12+M14+M16+M18+M20+M22+M24+M26+M28+M30+M32+M34</f>
        <v>1.5973999999999648</v>
      </c>
      <c r="N36" s="386">
        <f>+L36+M36</f>
        <v>971.60030903000006</v>
      </c>
      <c r="O36" s="405">
        <f>+O8+O10+O12+O14+O16+O18+O20+O22+O24+O26+O28+O30+O32+O34</f>
        <v>331.53</v>
      </c>
      <c r="P36" s="386">
        <f>N36-O36</f>
        <v>640.07030903000009</v>
      </c>
      <c r="Q36" s="397">
        <f>O36/N36</f>
        <v>0.34122055841149729</v>
      </c>
      <c r="R36" s="405">
        <f>+R8+R10+R12+R14+R16+R18+R20+R22+R24+R26+R28+R30+R32+R34</f>
        <v>1764.0052902359996</v>
      </c>
      <c r="S36" s="405">
        <f>+S8+S10+S12+S14+S16+S18+S20+S22+S24+S26+S28+S30+S32+S34</f>
        <v>21.197399999999966</v>
      </c>
      <c r="T36" s="386">
        <f>+R36+S36</f>
        <v>1785.2026902359996</v>
      </c>
      <c r="U36" s="405">
        <f>+U8+U10+U12+U14+U16+U18+U20+U22+U24+U26+U28+U30+U32+U34</f>
        <v>817.48500000000001</v>
      </c>
      <c r="V36" s="386">
        <f>T36-U36</f>
        <v>967.71769023599961</v>
      </c>
      <c r="W36" s="387">
        <f>U36/T36</f>
        <v>0.45792279188865126</v>
      </c>
      <c r="X36" s="656">
        <f>SUM(X8:X35)</f>
        <v>1960.0058780399995</v>
      </c>
      <c r="Y36" s="657">
        <f>SUM(Y8:Y35)</f>
        <v>21.197399999999966</v>
      </c>
      <c r="Z36" s="657">
        <f>+X36+Y36</f>
        <v>1981.2032780399995</v>
      </c>
      <c r="AA36" s="657">
        <f>SUM(AA8:AA35)</f>
        <v>817.48500000000001</v>
      </c>
      <c r="AB36" s="628">
        <f>+Z36-AA36</f>
        <v>1163.7182780399994</v>
      </c>
      <c r="AC36" s="624">
        <f>AA36/Z36</f>
        <v>0.412620455993156</v>
      </c>
    </row>
    <row r="37" spans="2:31" ht="21" customHeight="1">
      <c r="C37" s="649"/>
      <c r="D37" s="113" t="s">
        <v>9</v>
      </c>
      <c r="E37" s="655"/>
      <c r="F37" s="405">
        <f t="shared" si="115"/>
        <v>88.000263911999994</v>
      </c>
      <c r="G37" s="405">
        <f t="shared" si="115"/>
        <v>0</v>
      </c>
      <c r="H37" s="405">
        <f t="shared" si="115"/>
        <v>415.64764511800001</v>
      </c>
      <c r="I37" s="405">
        <f t="shared" si="115"/>
        <v>0</v>
      </c>
      <c r="J37" s="384">
        <f>H37-I37</f>
        <v>415.64764511800001</v>
      </c>
      <c r="K37" s="390">
        <f>I37/H37</f>
        <v>0</v>
      </c>
      <c r="L37" s="405">
        <f>+L9+L11+L13+L15+L17+L19+L21+L23+L25+L27+L29+L31+L33+L35</f>
        <v>108.00032389199998</v>
      </c>
      <c r="M37" s="405">
        <f>+M9+M11+M13+M15+M17+M19+M21+M23+M25+M27+M29+M31+M33+M35</f>
        <v>0</v>
      </c>
      <c r="N37" s="388">
        <f>L37+M37+P36</f>
        <v>748.07063292200007</v>
      </c>
      <c r="O37" s="405">
        <f>+O9+O11+O13+O15+O17+O19+O21+O23+O25+O27+O29+O31+O33+O35</f>
        <v>0</v>
      </c>
      <c r="P37" s="385">
        <f>N37-O37</f>
        <v>748.07063292200007</v>
      </c>
      <c r="Q37" s="398">
        <f>O37/N37</f>
        <v>0</v>
      </c>
      <c r="R37" s="405">
        <f>+R9+R11+R13+R15+R17+R19+R21+R23+R25+R27+R29+R31+R33+R35</f>
        <v>196.00058780399996</v>
      </c>
      <c r="S37" s="405">
        <f>+S9+S11+S13+S15+S17+S19+S21+S23+S25+S27+S29+S31+S33+S35</f>
        <v>0</v>
      </c>
      <c r="T37" s="388">
        <f>R37+S37+V36</f>
        <v>1163.7182780399996</v>
      </c>
      <c r="U37" s="405">
        <f>+U9+U11+U13+U15+U17+U19+U21+U23+U25+U27+U29+U31+U33+U35</f>
        <v>0</v>
      </c>
      <c r="V37" s="385">
        <f>T37-U37</f>
        <v>1163.7182780399996</v>
      </c>
      <c r="W37" s="389">
        <f>U37/T37</f>
        <v>0</v>
      </c>
      <c r="X37" s="656"/>
      <c r="Y37" s="657"/>
      <c r="Z37" s="657"/>
      <c r="AA37" s="657"/>
      <c r="AB37" s="628"/>
      <c r="AC37" s="624"/>
    </row>
    <row r="38" spans="2:31">
      <c r="C38" s="211"/>
      <c r="D38" s="211"/>
      <c r="E38" s="211"/>
      <c r="F38" s="211"/>
      <c r="G38" s="211"/>
      <c r="H38" s="211"/>
      <c r="I38" s="212"/>
      <c r="J38" s="211"/>
      <c r="K38" s="211"/>
      <c r="O38" s="213"/>
      <c r="X38" s="214" t="s">
        <v>48</v>
      </c>
      <c r="Y38" s="214"/>
      <c r="Z38" s="215"/>
    </row>
    <row r="39" spans="2:31">
      <c r="I39" s="216"/>
      <c r="M39" s="217"/>
      <c r="O39" s="218"/>
    </row>
    <row r="40" spans="2:31" ht="18">
      <c r="C40" s="225" t="s">
        <v>77</v>
      </c>
      <c r="D40" s="210"/>
      <c r="E40" s="210"/>
      <c r="F40" s="210"/>
      <c r="G40" s="210"/>
      <c r="H40" s="210"/>
      <c r="I40" s="216"/>
      <c r="J40" s="210"/>
      <c r="K40" s="210"/>
      <c r="Q40" s="210"/>
      <c r="R40" s="210"/>
    </row>
    <row r="41" spans="2:31" ht="18">
      <c r="C41" s="225" t="s">
        <v>78</v>
      </c>
      <c r="D41" s="221"/>
      <c r="E41" s="221"/>
      <c r="F41" s="221"/>
      <c r="G41" s="221"/>
      <c r="H41" s="221"/>
      <c r="I41" s="222"/>
      <c r="J41" s="221"/>
      <c r="K41" s="221"/>
      <c r="L41" s="221"/>
      <c r="M41" s="221"/>
      <c r="P41" s="210"/>
      <c r="Q41" s="210"/>
      <c r="R41" s="210"/>
      <c r="S41" s="218"/>
      <c r="T41" s="210"/>
      <c r="U41" s="217"/>
      <c r="AA41" s="219"/>
    </row>
    <row r="42" spans="2:31" ht="18">
      <c r="B42" s="221"/>
      <c r="C42" s="226" t="s">
        <v>124</v>
      </c>
      <c r="D42" s="221"/>
      <c r="E42" s="221"/>
      <c r="F42" s="221"/>
      <c r="G42" s="223"/>
      <c r="H42" s="221"/>
      <c r="I42" s="223"/>
      <c r="J42" s="224"/>
      <c r="K42" s="221"/>
      <c r="L42" s="221"/>
      <c r="M42" s="221"/>
      <c r="N42" s="210"/>
      <c r="R42" s="210"/>
    </row>
    <row r="43" spans="2:31" ht="18"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10"/>
    </row>
    <row r="44" spans="2:31" ht="18"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10"/>
    </row>
    <row r="45" spans="2:31" ht="18">
      <c r="B45" s="221"/>
      <c r="C45" s="274" t="s">
        <v>160</v>
      </c>
      <c r="D45" s="272">
        <v>5</v>
      </c>
      <c r="E45" s="272">
        <v>6</v>
      </c>
      <c r="F45" s="273">
        <v>7</v>
      </c>
      <c r="G45" s="273">
        <v>8</v>
      </c>
      <c r="H45" s="274" t="s">
        <v>161</v>
      </c>
      <c r="N45" s="210"/>
    </row>
    <row r="46" spans="2:31" ht="18">
      <c r="B46" s="221"/>
      <c r="C46" s="440" t="s">
        <v>87</v>
      </c>
      <c r="D46" s="460">
        <v>48.623999999999995</v>
      </c>
      <c r="E46" s="461"/>
      <c r="F46" s="461"/>
      <c r="G46" s="462"/>
      <c r="H46" s="270">
        <f>SUM(D46:G46)</f>
        <v>48.623999999999995</v>
      </c>
      <c r="N46" s="210"/>
    </row>
    <row r="47" spans="2:31" ht="18">
      <c r="B47" s="221"/>
      <c r="C47" s="440" t="s">
        <v>89</v>
      </c>
      <c r="D47" s="463">
        <v>284.577</v>
      </c>
      <c r="E47" s="464"/>
      <c r="F47" s="464"/>
      <c r="G47" s="465"/>
      <c r="H47" s="270">
        <f t="shared" ref="H47:H51" si="116">SUM(D47:G47)</f>
        <v>284.577</v>
      </c>
      <c r="N47" s="210"/>
    </row>
    <row r="48" spans="2:31" ht="18">
      <c r="B48" s="221"/>
      <c r="C48" s="440" t="s">
        <v>157</v>
      </c>
      <c r="D48" s="463"/>
      <c r="E48" s="464"/>
      <c r="F48" s="464">
        <v>66.013000000000005</v>
      </c>
      <c r="G48" s="465">
        <v>180.86199999999999</v>
      </c>
      <c r="H48" s="270">
        <f t="shared" si="116"/>
        <v>246.875</v>
      </c>
      <c r="N48" s="210"/>
    </row>
    <row r="49" spans="2:14" ht="18">
      <c r="B49" s="221"/>
      <c r="C49" s="440" t="s">
        <v>155</v>
      </c>
      <c r="D49" s="463">
        <v>134.02200000000002</v>
      </c>
      <c r="E49" s="464">
        <v>2.9220000000000002</v>
      </c>
      <c r="F49" s="464">
        <v>21.204000000000001</v>
      </c>
      <c r="G49" s="465"/>
      <c r="H49" s="270">
        <f t="shared" si="116"/>
        <v>158.14800000000002</v>
      </c>
      <c r="N49" s="210"/>
    </row>
    <row r="50" spans="2:14" ht="18">
      <c r="B50" s="221"/>
      <c r="C50" s="439" t="s">
        <v>156</v>
      </c>
      <c r="D50" s="466">
        <v>15.81</v>
      </c>
      <c r="E50" s="467"/>
      <c r="F50" s="467">
        <v>11.497999999999999</v>
      </c>
      <c r="G50" s="468"/>
      <c r="H50" s="270">
        <f t="shared" si="116"/>
        <v>27.308</v>
      </c>
      <c r="N50" s="210"/>
    </row>
    <row r="51" spans="2:14" ht="18">
      <c r="B51" s="221"/>
      <c r="C51" s="441" t="s">
        <v>159</v>
      </c>
      <c r="D51" s="442"/>
      <c r="E51" s="442"/>
      <c r="F51" s="443">
        <v>10.548</v>
      </c>
      <c r="G51" s="443">
        <v>41.405000000000001</v>
      </c>
      <c r="H51" s="270">
        <f t="shared" si="116"/>
        <v>51.953000000000003</v>
      </c>
      <c r="N51" s="210"/>
    </row>
    <row r="52" spans="2:14" ht="18">
      <c r="B52" s="221"/>
      <c r="C52" s="271" t="s">
        <v>143</v>
      </c>
      <c r="D52" s="271">
        <f>SUM(D46:D51)</f>
        <v>483.03300000000007</v>
      </c>
      <c r="E52" s="271">
        <f t="shared" ref="E52:G52" si="117">SUM(E46:E51)</f>
        <v>2.9220000000000002</v>
      </c>
      <c r="F52" s="271">
        <f>SUM(F46:F51)</f>
        <v>109.26300000000002</v>
      </c>
      <c r="G52" s="271">
        <f t="shared" si="117"/>
        <v>222.267</v>
      </c>
      <c r="H52" s="284">
        <f>SUM(H46:H51)</f>
        <v>817.48500000000001</v>
      </c>
      <c r="N52" s="210"/>
    </row>
    <row r="53" spans="2:14">
      <c r="D53" s="650">
        <f>SUM(D52:E52)</f>
        <v>485.9550000000001</v>
      </c>
      <c r="E53" s="650"/>
      <c r="F53" s="651">
        <f>SUM(F52:G52)</f>
        <v>331.53000000000003</v>
      </c>
      <c r="G53" s="651"/>
      <c r="N53" s="210"/>
    </row>
    <row r="54" spans="2:14">
      <c r="N54" s="210"/>
    </row>
    <row r="55" spans="2:14">
      <c r="N55" s="210"/>
    </row>
    <row r="56" spans="2:14">
      <c r="N56" s="210"/>
    </row>
    <row r="57" spans="2:14">
      <c r="N57" s="210"/>
    </row>
    <row r="58" spans="2:14">
      <c r="N58" s="210"/>
    </row>
    <row r="59" spans="2:14">
      <c r="N59" s="210"/>
    </row>
    <row r="60" spans="2:14">
      <c r="N60" s="210"/>
    </row>
    <row r="61" spans="2:14">
      <c r="N61" s="210"/>
    </row>
  </sheetData>
  <mergeCells count="119">
    <mergeCell ref="D53:E53"/>
    <mergeCell ref="F53:G53"/>
    <mergeCell ref="B8:B35"/>
    <mergeCell ref="E36:E37"/>
    <mergeCell ref="X36:X37"/>
    <mergeCell ref="Y36:Y37"/>
    <mergeCell ref="Z36:Z37"/>
    <mergeCell ref="AA36:AA37"/>
    <mergeCell ref="AB36:AB37"/>
    <mergeCell ref="X20:X21"/>
    <mergeCell ref="Y20:Y21"/>
    <mergeCell ref="Z20:Z21"/>
    <mergeCell ref="AA20:AA21"/>
    <mergeCell ref="AB20:AB21"/>
    <mergeCell ref="E20:E21"/>
    <mergeCell ref="E14:E15"/>
    <mergeCell ref="E16:E17"/>
    <mergeCell ref="E8:E9"/>
    <mergeCell ref="E10:E11"/>
    <mergeCell ref="E12:E13"/>
    <mergeCell ref="Y26:Y27"/>
    <mergeCell ref="AA26:AA27"/>
    <mergeCell ref="E18:E19"/>
    <mergeCell ref="X18:X19"/>
    <mergeCell ref="AC36:AC37"/>
    <mergeCell ref="C36:C37"/>
    <mergeCell ref="AC28:AC29"/>
    <mergeCell ref="X28:X29"/>
    <mergeCell ref="Y28:Y29"/>
    <mergeCell ref="Z28:Z29"/>
    <mergeCell ref="AA28:AA29"/>
    <mergeCell ref="AB28:AB29"/>
    <mergeCell ref="E28:E29"/>
    <mergeCell ref="Z34:Z35"/>
    <mergeCell ref="AA34:AA35"/>
    <mergeCell ref="Z32:Z33"/>
    <mergeCell ref="AA32:AA33"/>
    <mergeCell ref="AB32:AB33"/>
    <mergeCell ref="AC22:AC23"/>
    <mergeCell ref="AB30:AB31"/>
    <mergeCell ref="AC30:AC31"/>
    <mergeCell ref="E32:E33"/>
    <mergeCell ref="E34:E35"/>
    <mergeCell ref="X32:X33"/>
    <mergeCell ref="Y32:Y33"/>
    <mergeCell ref="AB24:AB25"/>
    <mergeCell ref="E24:E25"/>
    <mergeCell ref="AB26:AB27"/>
    <mergeCell ref="Z26:Z27"/>
    <mergeCell ref="AC26:AC27"/>
    <mergeCell ref="E26:E27"/>
    <mergeCell ref="AB34:AB35"/>
    <mergeCell ref="AC34:AC35"/>
    <mergeCell ref="E30:E31"/>
    <mergeCell ref="X30:X31"/>
    <mergeCell ref="Y30:Y31"/>
    <mergeCell ref="Z30:Z31"/>
    <mergeCell ref="AA30:AA31"/>
    <mergeCell ref="AC32:AC33"/>
    <mergeCell ref="X34:X35"/>
    <mergeCell ref="Y34:Y35"/>
    <mergeCell ref="E22:E23"/>
    <mergeCell ref="B2:AC2"/>
    <mergeCell ref="B3:AC3"/>
    <mergeCell ref="F6:K6"/>
    <mergeCell ref="D6:D7"/>
    <mergeCell ref="C6:C7"/>
    <mergeCell ref="R6:W6"/>
    <mergeCell ref="X6:AC6"/>
    <mergeCell ref="E6:E7"/>
    <mergeCell ref="L6:Q6"/>
    <mergeCell ref="B6:B7"/>
    <mergeCell ref="AC18:AC19"/>
    <mergeCell ref="Z18:Z19"/>
    <mergeCell ref="AA18:AA19"/>
    <mergeCell ref="Z8:Z9"/>
    <mergeCell ref="AA8:AA9"/>
    <mergeCell ref="AC10:AC11"/>
    <mergeCell ref="X12:X13"/>
    <mergeCell ref="Y12:Y13"/>
    <mergeCell ref="Z12:Z13"/>
    <mergeCell ref="AA12:AA13"/>
    <mergeCell ref="AB8:AB9"/>
    <mergeCell ref="AC8:AC9"/>
    <mergeCell ref="X8:X9"/>
    <mergeCell ref="Y8:Y9"/>
    <mergeCell ref="X16:X17"/>
    <mergeCell ref="Y16:Y17"/>
    <mergeCell ref="AB12:AB13"/>
    <mergeCell ref="AC12:AC13"/>
    <mergeCell ref="X10:X11"/>
    <mergeCell ref="Y10:Y11"/>
    <mergeCell ref="Z10:Z11"/>
    <mergeCell ref="AA10:AA11"/>
    <mergeCell ref="AB10:AB11"/>
    <mergeCell ref="AC24:AC25"/>
    <mergeCell ref="X26:X27"/>
    <mergeCell ref="Z16:Z17"/>
    <mergeCell ref="AA16:AA17"/>
    <mergeCell ref="AB16:AB17"/>
    <mergeCell ref="AC16:AC17"/>
    <mergeCell ref="X14:X15"/>
    <mergeCell ref="Y14:Y15"/>
    <mergeCell ref="Z14:Z15"/>
    <mergeCell ref="AA14:AA15"/>
    <mergeCell ref="AB14:AB15"/>
    <mergeCell ref="AC20:AC21"/>
    <mergeCell ref="AA22:AA23"/>
    <mergeCell ref="AB22:AB23"/>
    <mergeCell ref="AC14:AC15"/>
    <mergeCell ref="X22:X23"/>
    <mergeCell ref="Y22:Y23"/>
    <mergeCell ref="Z22:Z23"/>
    <mergeCell ref="X24:X25"/>
    <mergeCell ref="Y24:Y25"/>
    <mergeCell ref="Z24:Z25"/>
    <mergeCell ref="AA24:AA25"/>
    <mergeCell ref="Y18:Y19"/>
    <mergeCell ref="AB18:AB19"/>
  </mergeCells>
  <conditionalFormatting sqref="Y10:Y12 Y14 Y8 AC30 AC34 N36 AC18 Y16:Y35 R8:V35 AA8:AA35 F8:J35 L8:P35">
    <cfRule type="cellIs" dxfId="12" priority="50" operator="lessThan">
      <formula>0</formula>
    </cfRule>
  </conditionalFormatting>
  <conditionalFormatting sqref="Q32 Q34 Q30 Q18 K8:K35 W8:W35">
    <cfRule type="cellIs" dxfId="11" priority="49" operator="greaterThan">
      <formula>0.95</formula>
    </cfRule>
  </conditionalFormatting>
  <conditionalFormatting sqref="AC8:AC35">
    <cfRule type="cellIs" dxfId="10" priority="32" operator="greaterThan">
      <formula>0.8</formula>
    </cfRule>
  </conditionalFormatting>
  <conditionalFormatting sqref="W8:W35">
    <cfRule type="cellIs" dxfId="9" priority="30" operator="greaterThan">
      <formula>0.9</formula>
    </cfRule>
  </conditionalFormatting>
  <conditionalFormatting sqref="Y10:Y12 Y14 Y8 Y16:Y35 S8:S35 G8:G35 M8:M35">
    <cfRule type="cellIs" dxfId="8" priority="18" operator="greaterThan">
      <formula>0</formula>
    </cfRule>
    <cfRule type="cellIs" dxfId="7" priority="19" operator="lessThan">
      <formula>0</formula>
    </cfRule>
  </conditionalFormatting>
  <conditionalFormatting sqref="AC30 AC34 AC18">
    <cfRule type="cellIs" dxfId="6" priority="7" operator="greaterThan">
      <formula>100</formula>
    </cfRule>
  </conditionalFormatting>
  <conditionalFormatting sqref="AA8:AA35">
    <cfRule type="dataBar" priority="158">
      <dataBar>
        <cfvo type="min" val="0"/>
        <cfvo type="max" val="0"/>
        <color rgb="FFFFB628"/>
      </dataBar>
    </cfRule>
  </conditionalFormatting>
  <conditionalFormatting sqref="I8:I35">
    <cfRule type="dataBar" priority="159">
      <dataBar>
        <cfvo type="min" val="0"/>
        <cfvo type="max" val="0"/>
        <color rgb="FFFFB628"/>
      </dataBar>
    </cfRule>
  </conditionalFormatting>
  <conditionalFormatting sqref="O8:O35">
    <cfRule type="dataBar" priority="160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N9 N20:N36 H10 H20:H33 Z9:Z17 H12:H17 T8:T17 N11:N17 T20:T37 H35 Z20:Z3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:M95"/>
  <sheetViews>
    <sheetView tabSelected="1" topLeftCell="A61" zoomScale="72" zoomScaleNormal="72" workbookViewId="0">
      <selection activeCell="L81" sqref="L81:L82"/>
    </sheetView>
  </sheetViews>
  <sheetFormatPr baseColWidth="10" defaultColWidth="12" defaultRowHeight="12" customHeight="1"/>
  <cols>
    <col min="1" max="1" width="8.33203125" style="292" customWidth="1"/>
    <col min="2" max="2" width="19" style="292" customWidth="1"/>
    <col min="3" max="3" width="14.44140625" style="292" customWidth="1"/>
    <col min="4" max="4" width="14" style="292" customWidth="1"/>
    <col min="5" max="5" width="22.77734375" style="292" customWidth="1"/>
    <col min="6" max="6" width="12.77734375" style="292" customWidth="1"/>
    <col min="7" max="7" width="14.5546875" style="292" customWidth="1"/>
    <col min="8" max="8" width="12.6640625" style="292" customWidth="1"/>
    <col min="9" max="9" width="15.109375" style="292" customWidth="1"/>
    <col min="10" max="10" width="11.109375" style="292" customWidth="1"/>
    <col min="11" max="11" width="10.88671875" style="292" customWidth="1"/>
    <col min="12" max="12" width="11" style="292" customWidth="1"/>
    <col min="13" max="13" width="13" style="292" customWidth="1"/>
    <col min="14" max="14" width="15.88671875" style="292" customWidth="1"/>
    <col min="15" max="15" width="13.109375" style="292" customWidth="1"/>
    <col min="16" max="16" width="11.109375" style="292" customWidth="1"/>
    <col min="17" max="16384" width="12" style="292"/>
  </cols>
  <sheetData>
    <row r="1" spans="2:13" ht="23.1" customHeight="1">
      <c r="B1" s="659" t="s">
        <v>162</v>
      </c>
      <c r="C1" s="659"/>
      <c r="D1" s="659"/>
      <c r="E1" s="659"/>
    </row>
    <row r="2" spans="2:13" ht="12" customHeight="1">
      <c r="B2" s="293" t="s">
        <v>125</v>
      </c>
      <c r="C2" s="294" t="s">
        <v>100</v>
      </c>
      <c r="D2" s="295" t="s">
        <v>84</v>
      </c>
      <c r="E2" s="294" t="s">
        <v>101</v>
      </c>
    </row>
    <row r="3" spans="2:13" ht="12" customHeight="1">
      <c r="B3" s="296" t="s">
        <v>102</v>
      </c>
      <c r="C3" s="297">
        <f>+[2]Coeficientes!C22</f>
        <v>90</v>
      </c>
      <c r="D3" s="297">
        <f>+[2]Coeficientes!D22</f>
        <v>692</v>
      </c>
      <c r="E3" s="298">
        <f>SUM(C3:D3)</f>
        <v>782</v>
      </c>
    </row>
    <row r="4" spans="2:13" ht="12" customHeight="1">
      <c r="B4" s="296" t="s">
        <v>103</v>
      </c>
      <c r="C4" s="297">
        <f>+[2]Coeficientes!C23</f>
        <v>10</v>
      </c>
      <c r="D4" s="297">
        <f>+[2]Coeficientes!D23</f>
        <v>77</v>
      </c>
      <c r="E4" s="298">
        <f t="shared" ref="E4:E5" si="0">SUM(C4:D4)</f>
        <v>87</v>
      </c>
    </row>
    <row r="5" spans="2:13" ht="12" customHeight="1">
      <c r="B5" s="293" t="s">
        <v>104</v>
      </c>
      <c r="C5" s="299">
        <f>SUM(C3:C4)</f>
        <v>100</v>
      </c>
      <c r="D5" s="299">
        <f t="shared" ref="D5" si="1">SUM(D3:D4)</f>
        <v>769</v>
      </c>
      <c r="E5" s="298">
        <f t="shared" si="0"/>
        <v>869</v>
      </c>
    </row>
    <row r="6" spans="2:13" ht="12" customHeight="1">
      <c r="B6" s="300"/>
      <c r="C6" s="301"/>
      <c r="D6" s="301"/>
      <c r="E6" s="301"/>
      <c r="F6" s="301"/>
      <c r="G6" s="301"/>
      <c r="H6" s="301"/>
      <c r="I6" s="301"/>
    </row>
    <row r="7" spans="2:13" ht="32.4" customHeight="1">
      <c r="H7" s="674" t="s">
        <v>134</v>
      </c>
      <c r="I7" s="675"/>
      <c r="J7" s="674" t="s">
        <v>3</v>
      </c>
      <c r="K7" s="675"/>
    </row>
    <row r="8" spans="2:13" ht="14.4" customHeight="1">
      <c r="B8" s="671" t="s">
        <v>86</v>
      </c>
      <c r="C8" s="672"/>
      <c r="D8" s="673"/>
      <c r="E8" s="413" t="s">
        <v>195</v>
      </c>
      <c r="F8" s="413" t="s">
        <v>105</v>
      </c>
      <c r="G8" s="413" t="s">
        <v>137</v>
      </c>
      <c r="H8" s="413" t="s">
        <v>100</v>
      </c>
      <c r="I8" s="413" t="s">
        <v>84</v>
      </c>
      <c r="J8" s="413" t="s">
        <v>100</v>
      </c>
      <c r="K8" s="413" t="s">
        <v>84</v>
      </c>
      <c r="L8" s="413" t="s">
        <v>106</v>
      </c>
      <c r="M8" s="413" t="s">
        <v>117</v>
      </c>
    </row>
    <row r="9" spans="2:13" ht="12" customHeight="1">
      <c r="B9" s="660" t="s">
        <v>87</v>
      </c>
      <c r="C9" s="661"/>
      <c r="D9" s="662"/>
      <c r="E9" s="302">
        <v>0.31569000000000003</v>
      </c>
      <c r="F9" s="432">
        <f>+(E9+E10)*$E$5</f>
        <v>305.40136000000001</v>
      </c>
      <c r="G9" s="303">
        <f>+H9+I9</f>
        <v>274.82607999999999</v>
      </c>
      <c r="H9" s="306">
        <f>+(E9+E10)*$C$3</f>
        <v>31.629600000000003</v>
      </c>
      <c r="I9" s="306">
        <f>+(E9+E10)*$D$3</f>
        <v>243.19648000000001</v>
      </c>
      <c r="J9" s="303"/>
      <c r="K9" s="303"/>
      <c r="L9" s="434">
        <f>+F9+J9+K9</f>
        <v>305.40136000000001</v>
      </c>
      <c r="M9" s="317">
        <f>+L9/$E$5</f>
        <v>0.35144000000000003</v>
      </c>
    </row>
    <row r="10" spans="2:13" ht="12" customHeight="1">
      <c r="B10" s="663"/>
      <c r="C10" s="664"/>
      <c r="D10" s="665"/>
      <c r="E10" s="302">
        <f>0.00975+0.00975+0.002+0.01425</f>
        <v>3.5749999999999997E-2</v>
      </c>
      <c r="F10" s="433"/>
      <c r="G10" s="303">
        <f>+H10+I10</f>
        <v>30.575279999999999</v>
      </c>
      <c r="H10" s="306">
        <f>+(E9+E10)*$C$4</f>
        <v>3.5144000000000002</v>
      </c>
      <c r="I10" s="306">
        <f>+(E9+E10)*$D$4</f>
        <v>27.060880000000001</v>
      </c>
      <c r="J10" s="303"/>
      <c r="K10" s="303"/>
      <c r="L10" s="437"/>
      <c r="M10" s="317"/>
    </row>
    <row r="11" spans="2:13" ht="12" customHeight="1">
      <c r="B11" s="660" t="s">
        <v>88</v>
      </c>
      <c r="C11" s="661" t="s">
        <v>88</v>
      </c>
      <c r="D11" s="662"/>
      <c r="E11" s="302">
        <v>3.0000000000000001E-5</v>
      </c>
      <c r="F11" s="432">
        <f t="shared" ref="F11" si="2">+(E11+E12)*$E$5</f>
        <v>2.6069999999999999E-2</v>
      </c>
      <c r="G11" s="303">
        <f>+H11+I11</f>
        <v>2.3460000000000002E-2</v>
      </c>
      <c r="H11" s="306">
        <f>+(E11+E12)*$C$3</f>
        <v>2.7000000000000001E-3</v>
      </c>
      <c r="I11" s="306">
        <f t="shared" ref="I11" si="3">+(E11+E12)*$D$3</f>
        <v>2.0760000000000001E-2</v>
      </c>
      <c r="J11" s="303"/>
      <c r="K11" s="303"/>
      <c r="L11" s="434">
        <f t="shared" ref="L11" si="4">+F11+J11+K11</f>
        <v>2.6069999999999999E-2</v>
      </c>
      <c r="M11" s="317">
        <f t="shared" ref="M11" si="5">+L11/$E$5</f>
        <v>3.0000000000000001E-5</v>
      </c>
    </row>
    <row r="12" spans="2:13" ht="12" customHeight="1">
      <c r="B12" s="663"/>
      <c r="C12" s="664"/>
      <c r="D12" s="665"/>
      <c r="E12" s="302"/>
      <c r="F12" s="433"/>
      <c r="G12" s="303">
        <f>+H12+I12</f>
        <v>2.6099999999999999E-3</v>
      </c>
      <c r="H12" s="306">
        <f>+(E11+E12)*$C$4</f>
        <v>3.0000000000000003E-4</v>
      </c>
      <c r="I12" s="306">
        <f t="shared" ref="I12" si="6">+(E11+E12)*$D$4</f>
        <v>2.31E-3</v>
      </c>
      <c r="J12" s="303"/>
      <c r="K12" s="303"/>
      <c r="L12" s="437"/>
      <c r="M12" s="317"/>
    </row>
    <row r="13" spans="2:13" ht="12" customHeight="1">
      <c r="B13" s="660" t="s">
        <v>89</v>
      </c>
      <c r="C13" s="661" t="s">
        <v>89</v>
      </c>
      <c r="D13" s="662"/>
      <c r="E13" s="302">
        <v>0.34622619999999998</v>
      </c>
      <c r="F13" s="432">
        <f t="shared" ref="F13" si="7">+(E13+E14)*$E$5</f>
        <v>332.76286779999998</v>
      </c>
      <c r="G13" s="303">
        <f t="shared" ref="G13:G38" si="8">+H13+I13</f>
        <v>299.44828840000002</v>
      </c>
      <c r="H13" s="306">
        <f t="shared" ref="H13" si="9">+(E13+E14)*$C$3</f>
        <v>34.463357999999999</v>
      </c>
      <c r="I13" s="306">
        <f t="shared" ref="I13" si="10">+(E13+E14)*$D$3</f>
        <v>264.9849304</v>
      </c>
      <c r="J13" s="303"/>
      <c r="K13" s="303"/>
      <c r="L13" s="434">
        <f t="shared" ref="L13" si="11">+F13+J13+K13</f>
        <v>332.76286779999998</v>
      </c>
      <c r="M13" s="317">
        <f t="shared" ref="M13" si="12">+L13/$E$5</f>
        <v>0.38292619999999999</v>
      </c>
    </row>
    <row r="14" spans="2:13" ht="12" customHeight="1">
      <c r="B14" s="663"/>
      <c r="C14" s="664"/>
      <c r="D14" s="665"/>
      <c r="E14" s="302">
        <f>0.00775+0.00026+0.00319+0.01125+0.01425</f>
        <v>3.6699999999999997E-2</v>
      </c>
      <c r="F14" s="433"/>
      <c r="G14" s="303">
        <f t="shared" si="8"/>
        <v>33.3145794</v>
      </c>
      <c r="H14" s="306">
        <f t="shared" ref="H14" si="13">+(E13+E14)*$C$4</f>
        <v>3.8292619999999999</v>
      </c>
      <c r="I14" s="306">
        <f t="shared" ref="I14" si="14">+(E13+E14)*$D$4</f>
        <v>29.4853174</v>
      </c>
      <c r="J14" s="303"/>
      <c r="K14" s="303"/>
      <c r="L14" s="437"/>
      <c r="M14" s="317"/>
    </row>
    <row r="15" spans="2:13" ht="12" customHeight="1">
      <c r="B15" s="660" t="s">
        <v>90</v>
      </c>
      <c r="C15" s="661" t="s">
        <v>90</v>
      </c>
      <c r="D15" s="662"/>
      <c r="E15" s="302">
        <v>1.7310000000000001E-4</v>
      </c>
      <c r="F15" s="432">
        <f t="shared" ref="F15" si="15">+(E15+E16)*$E$5</f>
        <v>0.1504239</v>
      </c>
      <c r="G15" s="303">
        <f t="shared" si="8"/>
        <v>0.13536420000000002</v>
      </c>
      <c r="H15" s="306">
        <f t="shared" ref="H15" si="16">+(E15+E16)*$C$3</f>
        <v>1.5579000000000001E-2</v>
      </c>
      <c r="I15" s="306">
        <f t="shared" ref="I15" si="17">+(E15+E16)*$D$3</f>
        <v>0.11978520000000001</v>
      </c>
      <c r="J15" s="303"/>
      <c r="K15" s="303"/>
      <c r="L15" s="434">
        <f t="shared" ref="L15" si="18">+F15+J15+K15</f>
        <v>0.1504239</v>
      </c>
      <c r="M15" s="317">
        <f t="shared" ref="M15" si="19">+L15/$E$5</f>
        <v>1.7310000000000001E-4</v>
      </c>
    </row>
    <row r="16" spans="2:13" ht="12" customHeight="1">
      <c r="B16" s="663"/>
      <c r="C16" s="664"/>
      <c r="D16" s="665"/>
      <c r="E16" s="302"/>
      <c r="F16" s="433"/>
      <c r="G16" s="303">
        <f t="shared" si="8"/>
        <v>1.5059700000000001E-2</v>
      </c>
      <c r="H16" s="306">
        <f t="shared" ref="H16" si="20">+(E15+E16)*$C$4</f>
        <v>1.7310000000000001E-3</v>
      </c>
      <c r="I16" s="306">
        <f t="shared" ref="I16" si="21">+(E15+E16)*$D$4</f>
        <v>1.3328700000000001E-2</v>
      </c>
      <c r="J16" s="303"/>
      <c r="K16" s="303"/>
      <c r="L16" s="437"/>
      <c r="M16" s="317"/>
    </row>
    <row r="17" spans="2:13" ht="12" customHeight="1">
      <c r="B17" s="660" t="s">
        <v>91</v>
      </c>
      <c r="C17" s="661" t="s">
        <v>91</v>
      </c>
      <c r="D17" s="662"/>
      <c r="E17" s="302">
        <f>0.0438706+0.0216617</f>
        <v>6.5532300000000002E-2</v>
      </c>
      <c r="F17" s="432">
        <f t="shared" ref="F17" si="22">+(E17+E18)*$E$5</f>
        <v>72.850268700000001</v>
      </c>
      <c r="G17" s="303">
        <f t="shared" si="8"/>
        <v>65.556858599999998</v>
      </c>
      <c r="H17" s="306">
        <f t="shared" ref="H17" si="23">+(E17+E18)*$C$3</f>
        <v>7.5449070000000003</v>
      </c>
      <c r="I17" s="306">
        <f t="shared" ref="I17" si="24">+(E17+E18)*$D$3</f>
        <v>58.011951599999996</v>
      </c>
      <c r="J17" s="303"/>
      <c r="K17" s="303"/>
      <c r="L17" s="434">
        <f>+F17+J17+K17</f>
        <v>72.850268700000001</v>
      </c>
      <c r="M17" s="317">
        <f t="shared" ref="M17" si="25">+L17/$E$5</f>
        <v>8.3832299999999998E-2</v>
      </c>
    </row>
    <row r="18" spans="2:13" ht="12" customHeight="1">
      <c r="B18" s="663"/>
      <c r="C18" s="664"/>
      <c r="D18" s="665"/>
      <c r="E18" s="304">
        <f>0.00225+0.009+0.00705</f>
        <v>1.83E-2</v>
      </c>
      <c r="F18" s="433"/>
      <c r="G18" s="303">
        <f t="shared" si="8"/>
        <v>7.2934101</v>
      </c>
      <c r="H18" s="306">
        <f t="shared" ref="H18" si="26">+(E17+E18)*$C$4</f>
        <v>0.83832299999999993</v>
      </c>
      <c r="I18" s="306">
        <f t="shared" ref="I18" si="27">+(E17+E18)*$D$4</f>
        <v>6.4550871000000001</v>
      </c>
      <c r="J18" s="303"/>
      <c r="K18" s="303"/>
      <c r="L18" s="437"/>
      <c r="M18" s="317"/>
    </row>
    <row r="19" spans="2:13" ht="12" customHeight="1">
      <c r="B19" s="660" t="s">
        <v>92</v>
      </c>
      <c r="C19" s="661" t="s">
        <v>92</v>
      </c>
      <c r="D19" s="662"/>
      <c r="E19" s="302">
        <v>1.0009999999999999E-4</v>
      </c>
      <c r="F19" s="432">
        <f t="shared" ref="F19" si="28">+(E19+E20)*$E$5</f>
        <v>8.6986899999999992E-2</v>
      </c>
      <c r="G19" s="303">
        <f t="shared" si="8"/>
        <v>7.8278199999999992E-2</v>
      </c>
      <c r="H19" s="306">
        <f t="shared" ref="H19" si="29">+(E19+E20)*$C$3</f>
        <v>9.0089999999999996E-3</v>
      </c>
      <c r="I19" s="306">
        <f t="shared" ref="I19" si="30">+(E19+E20)*$D$3</f>
        <v>6.9269199999999989E-2</v>
      </c>
      <c r="J19" s="303"/>
      <c r="K19" s="303"/>
      <c r="L19" s="434">
        <f>+F19+J19+K19</f>
        <v>8.6986899999999992E-2</v>
      </c>
      <c r="M19" s="317">
        <f t="shared" ref="M19" si="31">+L19/$E$5</f>
        <v>1.0009999999999999E-4</v>
      </c>
    </row>
    <row r="20" spans="2:13" ht="12" customHeight="1">
      <c r="B20" s="663"/>
      <c r="C20" s="664"/>
      <c r="D20" s="665"/>
      <c r="E20" s="302"/>
      <c r="F20" s="433"/>
      <c r="G20" s="303">
        <f t="shared" si="8"/>
        <v>8.7086999999999998E-3</v>
      </c>
      <c r="H20" s="306">
        <f t="shared" ref="H20" si="32">+(E19+E20)*$C$4</f>
        <v>1.0009999999999999E-3</v>
      </c>
      <c r="I20" s="306">
        <f t="shared" ref="I20" si="33">+(E19+E20)*$D$4</f>
        <v>7.7076999999999996E-3</v>
      </c>
      <c r="J20" s="303"/>
      <c r="K20" s="303"/>
      <c r="L20" s="437"/>
      <c r="M20" s="317"/>
    </row>
    <row r="21" spans="2:13" ht="12" customHeight="1">
      <c r="B21" s="660" t="s">
        <v>28</v>
      </c>
      <c r="C21" s="661" t="s">
        <v>28</v>
      </c>
      <c r="D21" s="662"/>
      <c r="E21" s="302">
        <v>2.0100000000000001E-5</v>
      </c>
      <c r="F21" s="432">
        <f t="shared" ref="F21" si="34">+(E21+E22)*$E$5</f>
        <v>1.74669E-2</v>
      </c>
      <c r="G21" s="303">
        <f t="shared" si="8"/>
        <v>1.5718200000000002E-2</v>
      </c>
      <c r="H21" s="306">
        <f t="shared" ref="H21" si="35">+(E21+E22)*$C$3</f>
        <v>1.8090000000000001E-3</v>
      </c>
      <c r="I21" s="306">
        <f t="shared" ref="I21" si="36">+(E21+E22)*$D$3</f>
        <v>1.39092E-2</v>
      </c>
      <c r="J21" s="303"/>
      <c r="K21" s="303"/>
      <c r="L21" s="434">
        <f t="shared" ref="L21" si="37">+F21+J21+K21</f>
        <v>1.74669E-2</v>
      </c>
      <c r="M21" s="317">
        <f t="shared" ref="M21" si="38">+L21/$E$5</f>
        <v>2.0100000000000001E-5</v>
      </c>
    </row>
    <row r="22" spans="2:13" ht="12" customHeight="1">
      <c r="B22" s="663"/>
      <c r="C22" s="664"/>
      <c r="D22" s="665"/>
      <c r="E22" s="302"/>
      <c r="F22" s="433"/>
      <c r="G22" s="303">
        <f t="shared" si="8"/>
        <v>1.7487E-3</v>
      </c>
      <c r="H22" s="306">
        <f t="shared" ref="H22" si="39">+(E21+E22)*$C$4</f>
        <v>2.0100000000000001E-4</v>
      </c>
      <c r="I22" s="306">
        <f t="shared" ref="I22" si="40">+(E21+E22)*$D$4</f>
        <v>1.5476999999999999E-3</v>
      </c>
      <c r="J22" s="303"/>
      <c r="K22" s="303"/>
      <c r="L22" s="437"/>
      <c r="M22" s="317"/>
    </row>
    <row r="23" spans="2:13" ht="12" customHeight="1">
      <c r="B23" s="660" t="s">
        <v>21</v>
      </c>
      <c r="C23" s="661" t="s">
        <v>21</v>
      </c>
      <c r="D23" s="662"/>
      <c r="E23" s="302">
        <f>0.0239553+0.0058632+0.0026566+0.027712</f>
        <v>6.01871E-2</v>
      </c>
      <c r="F23" s="432">
        <f t="shared" ref="F23" si="41">+(E23+E24)*$E$5</f>
        <v>57.907639900000007</v>
      </c>
      <c r="G23" s="303">
        <f t="shared" si="8"/>
        <v>52.110212200000007</v>
      </c>
      <c r="H23" s="306">
        <f t="shared" ref="H23" si="42">+(E23+E24)*$C$3</f>
        <v>5.9973390000000002</v>
      </c>
      <c r="I23" s="306">
        <f t="shared" ref="I23" si="43">+(E23+E24)*$D$3</f>
        <v>46.112873200000003</v>
      </c>
      <c r="J23" s="303"/>
      <c r="K23" s="303"/>
      <c r="L23" s="434">
        <f t="shared" ref="L23" si="44">+F23+J23+K23</f>
        <v>57.907639900000007</v>
      </c>
      <c r="M23" s="317">
        <f t="shared" ref="M23" si="45">+L23/$E$5</f>
        <v>6.6637100000000005E-2</v>
      </c>
    </row>
    <row r="24" spans="2:13" ht="12" customHeight="1">
      <c r="B24" s="663"/>
      <c r="C24" s="664"/>
      <c r="D24" s="665"/>
      <c r="E24" s="302">
        <v>6.45E-3</v>
      </c>
      <c r="F24" s="433"/>
      <c r="G24" s="303">
        <f t="shared" si="8"/>
        <v>5.7974277000000001</v>
      </c>
      <c r="H24" s="306">
        <f t="shared" ref="H24" si="46">+(E23+E24)*$C$4</f>
        <v>0.66637100000000005</v>
      </c>
      <c r="I24" s="306">
        <f t="shared" ref="I24" si="47">+(E23+E24)*$D$4</f>
        <v>5.1310567000000002</v>
      </c>
      <c r="J24" s="303"/>
      <c r="K24" s="303"/>
      <c r="L24" s="437"/>
      <c r="M24" s="317"/>
    </row>
    <row r="25" spans="2:13" ht="12" customHeight="1">
      <c r="B25" s="660" t="s">
        <v>93</v>
      </c>
      <c r="C25" s="661" t="s">
        <v>93</v>
      </c>
      <c r="D25" s="662"/>
      <c r="E25" s="302">
        <v>4.4440599999999997E-2</v>
      </c>
      <c r="F25" s="432">
        <f t="shared" ref="F25" si="48">+(E25+E26)*$E$5</f>
        <v>84.502081399999994</v>
      </c>
      <c r="G25" s="303">
        <f t="shared" si="8"/>
        <v>76.042149199999997</v>
      </c>
      <c r="H25" s="306">
        <f t="shared" ref="H25" si="49">+(E25+E26)*$C$3</f>
        <v>8.7516540000000003</v>
      </c>
      <c r="I25" s="306">
        <f t="shared" ref="I25" si="50">+(E25+E26)*$D$3</f>
        <v>67.290495199999995</v>
      </c>
      <c r="J25" s="303"/>
      <c r="K25" s="303"/>
      <c r="L25" s="434">
        <f t="shared" ref="L25" si="51">+F25+J25+K25</f>
        <v>84.502081399999994</v>
      </c>
      <c r="M25" s="317">
        <f t="shared" ref="M25" si="52">+L25/$E$5</f>
        <v>9.7240599999999996E-2</v>
      </c>
    </row>
    <row r="26" spans="2:13" ht="12" customHeight="1">
      <c r="B26" s="663"/>
      <c r="C26" s="664"/>
      <c r="D26" s="665"/>
      <c r="E26" s="305">
        <f>0.00075+0.00375+0.00375+0.00525+0.00525+0.00675+0.00825+0.00405+0.00006+0.00069+0.01425</f>
        <v>5.28E-2</v>
      </c>
      <c r="F26" s="433"/>
      <c r="G26" s="303">
        <f t="shared" si="8"/>
        <v>8.459932199999999</v>
      </c>
      <c r="H26" s="306">
        <f t="shared" ref="H26" si="53">+(E25+E26)*$C$4</f>
        <v>0.97240599999999999</v>
      </c>
      <c r="I26" s="306">
        <f t="shared" ref="I26" si="54">+(E25+E26)*$D$4</f>
        <v>7.4875261999999996</v>
      </c>
      <c r="J26" s="303"/>
      <c r="K26" s="303"/>
      <c r="L26" s="437"/>
      <c r="M26" s="317"/>
    </row>
    <row r="27" spans="2:13" ht="12" customHeight="1">
      <c r="B27" s="660" t="s">
        <v>94</v>
      </c>
      <c r="C27" s="661" t="s">
        <v>94</v>
      </c>
      <c r="D27" s="662"/>
      <c r="E27" s="302"/>
      <c r="F27" s="432">
        <f t="shared" ref="F27" si="55">+(E27+E28)*$E$5</f>
        <v>0</v>
      </c>
      <c r="G27" s="303">
        <f t="shared" si="8"/>
        <v>0</v>
      </c>
      <c r="H27" s="306">
        <f t="shared" ref="H27" si="56">+(E27+E28)*$C$3</f>
        <v>0</v>
      </c>
      <c r="I27" s="306">
        <f t="shared" ref="I27" si="57">+(E27+E28)*$D$3</f>
        <v>0</v>
      </c>
      <c r="J27" s="303"/>
      <c r="K27" s="303"/>
      <c r="L27" s="434">
        <f t="shared" ref="L27" si="58">+F27+J27+K27</f>
        <v>0</v>
      </c>
      <c r="M27" s="317">
        <f t="shared" ref="M27" si="59">+L27/$E$5</f>
        <v>0</v>
      </c>
    </row>
    <row r="28" spans="2:13" ht="12" customHeight="1">
      <c r="B28" s="663"/>
      <c r="C28" s="664"/>
      <c r="D28" s="665"/>
      <c r="E28" s="302"/>
      <c r="F28" s="433"/>
      <c r="G28" s="303">
        <f t="shared" si="8"/>
        <v>0</v>
      </c>
      <c r="H28" s="306">
        <f t="shared" ref="H28" si="60">+(E27+E28)*$C$4</f>
        <v>0</v>
      </c>
      <c r="I28" s="306">
        <f t="shared" ref="I28" si="61">+(E27+E28)*$D$4</f>
        <v>0</v>
      </c>
      <c r="J28" s="303"/>
      <c r="K28" s="303"/>
      <c r="L28" s="437"/>
      <c r="M28" s="317"/>
    </row>
    <row r="29" spans="2:13" ht="12" customHeight="1">
      <c r="B29" s="660" t="s">
        <v>95</v>
      </c>
      <c r="C29" s="661" t="s">
        <v>95</v>
      </c>
      <c r="D29" s="662"/>
      <c r="E29" s="302">
        <v>8.1010000000000001E-4</v>
      </c>
      <c r="F29" s="432">
        <f t="shared" ref="F29" si="62">+(E29+E30)*$E$5</f>
        <v>0.70397690000000002</v>
      </c>
      <c r="G29" s="303">
        <f t="shared" si="8"/>
        <v>0.63349820000000001</v>
      </c>
      <c r="H29" s="306">
        <f t="shared" ref="H29" si="63">+(E29+E30)*$C$3</f>
        <v>7.2909000000000002E-2</v>
      </c>
      <c r="I29" s="306">
        <f t="shared" ref="I29" si="64">+(E29+E30)*$D$3</f>
        <v>0.56058920000000001</v>
      </c>
      <c r="J29" s="303"/>
      <c r="K29" s="303"/>
      <c r="L29" s="434">
        <f t="shared" ref="L29" si="65">+F29+J29+K29</f>
        <v>0.70397690000000002</v>
      </c>
      <c r="M29" s="317">
        <f t="shared" ref="M29" si="66">+L29/$E$5</f>
        <v>8.1010000000000001E-4</v>
      </c>
    </row>
    <row r="30" spans="2:13" ht="12" customHeight="1">
      <c r="B30" s="663"/>
      <c r="C30" s="664"/>
      <c r="D30" s="665"/>
      <c r="E30" s="302"/>
      <c r="F30" s="433"/>
      <c r="G30" s="303">
        <f t="shared" si="8"/>
        <v>7.0478700000000005E-2</v>
      </c>
      <c r="H30" s="306">
        <f t="shared" ref="H30" si="67">+(E29+E30)*$C$4</f>
        <v>8.1010000000000006E-3</v>
      </c>
      <c r="I30" s="306">
        <f t="shared" ref="I30" si="68">+(E29+E30)*$D$4</f>
        <v>6.2377700000000001E-2</v>
      </c>
      <c r="J30" s="303"/>
      <c r="K30" s="303"/>
      <c r="L30" s="437"/>
      <c r="M30" s="317"/>
    </row>
    <row r="31" spans="2:13" ht="12" customHeight="1">
      <c r="B31" s="660" t="s">
        <v>96</v>
      </c>
      <c r="C31" s="661" t="s">
        <v>96</v>
      </c>
      <c r="D31" s="662"/>
      <c r="E31" s="302"/>
      <c r="F31" s="432">
        <f t="shared" ref="F31" si="69">+(E31+E32)*$E$5</f>
        <v>0</v>
      </c>
      <c r="G31" s="303">
        <f t="shared" si="8"/>
        <v>0</v>
      </c>
      <c r="H31" s="306">
        <f t="shared" ref="H31" si="70">+(E31+E32)*$C$3</f>
        <v>0</v>
      </c>
      <c r="I31" s="306">
        <f t="shared" ref="I31" si="71">+(E31+E32)*$D$3</f>
        <v>0</v>
      </c>
      <c r="J31" s="303"/>
      <c r="K31" s="303"/>
      <c r="L31" s="434">
        <f t="shared" ref="L31" si="72">+F31+J31+K31</f>
        <v>0</v>
      </c>
      <c r="M31" s="317">
        <f t="shared" ref="M31" si="73">+L31/$E$5</f>
        <v>0</v>
      </c>
    </row>
    <row r="32" spans="2:13" ht="12" customHeight="1">
      <c r="B32" s="663"/>
      <c r="C32" s="664"/>
      <c r="D32" s="665"/>
      <c r="E32" s="302"/>
      <c r="F32" s="433"/>
      <c r="G32" s="303">
        <f t="shared" si="8"/>
        <v>0</v>
      </c>
      <c r="H32" s="306">
        <f t="shared" ref="H32" si="74">+(E31+E32)*$C$4</f>
        <v>0</v>
      </c>
      <c r="I32" s="306">
        <f t="shared" ref="I32" si="75">+(E31+E32)*$D$4</f>
        <v>0</v>
      </c>
      <c r="J32" s="303"/>
      <c r="K32" s="303"/>
      <c r="L32" s="437"/>
      <c r="M32" s="317"/>
    </row>
    <row r="33" spans="2:13" ht="12" customHeight="1">
      <c r="B33" s="660" t="s">
        <v>97</v>
      </c>
      <c r="C33" s="661" t="s">
        <v>97</v>
      </c>
      <c r="D33" s="662"/>
      <c r="E33" s="302"/>
      <c r="F33" s="432">
        <f t="shared" ref="F33" si="76">+(E33+E34)*$E$5</f>
        <v>0</v>
      </c>
      <c r="G33" s="303">
        <f t="shared" si="8"/>
        <v>0</v>
      </c>
      <c r="H33" s="306">
        <f t="shared" ref="H33" si="77">+(E33+E34)*$C$3</f>
        <v>0</v>
      </c>
      <c r="I33" s="306">
        <f t="shared" ref="I33" si="78">+(E33+E34)*$D$3</f>
        <v>0</v>
      </c>
      <c r="J33" s="303"/>
      <c r="K33" s="303"/>
      <c r="L33" s="434">
        <f t="shared" ref="L33" si="79">+F33+J33+K33</f>
        <v>0</v>
      </c>
      <c r="M33" s="317">
        <f t="shared" ref="M33" si="80">+L33/$E$5</f>
        <v>0</v>
      </c>
    </row>
    <row r="34" spans="2:13" ht="12" customHeight="1">
      <c r="B34" s="663"/>
      <c r="C34" s="664"/>
      <c r="D34" s="665"/>
      <c r="E34" s="302"/>
      <c r="F34" s="433"/>
      <c r="G34" s="303">
        <f t="shared" si="8"/>
        <v>0</v>
      </c>
      <c r="H34" s="306">
        <f t="shared" ref="H34" si="81">+(E33+E34)*$C$4</f>
        <v>0</v>
      </c>
      <c r="I34" s="306">
        <f t="shared" ref="I34" si="82">+(E33+E34)*$D$4</f>
        <v>0</v>
      </c>
      <c r="J34" s="303"/>
      <c r="K34" s="303"/>
      <c r="L34" s="437"/>
      <c r="M34" s="317"/>
    </row>
    <row r="35" spans="2:13" ht="12" customHeight="1">
      <c r="B35" s="660" t="s">
        <v>98</v>
      </c>
      <c r="C35" s="661" t="s">
        <v>98</v>
      </c>
      <c r="D35" s="662"/>
      <c r="E35" s="302"/>
      <c r="F35" s="432">
        <f t="shared" ref="F35" si="83">+(E35+E36)*$E$5</f>
        <v>0</v>
      </c>
      <c r="G35" s="303">
        <f t="shared" si="8"/>
        <v>0</v>
      </c>
      <c r="H35" s="306">
        <f t="shared" ref="H35" si="84">+(E35+E36)*$C$3</f>
        <v>0</v>
      </c>
      <c r="I35" s="306">
        <f t="shared" ref="I35" si="85">+(E35+E36)*$D$3</f>
        <v>0</v>
      </c>
      <c r="J35" s="303"/>
      <c r="K35" s="303"/>
      <c r="L35" s="434">
        <f t="shared" ref="L35" si="86">+F35+J35+K35</f>
        <v>0</v>
      </c>
      <c r="M35" s="317">
        <f t="shared" ref="M35" si="87">+L35/$E$5</f>
        <v>0</v>
      </c>
    </row>
    <row r="36" spans="2:13" ht="12" customHeight="1">
      <c r="B36" s="663"/>
      <c r="C36" s="664"/>
      <c r="D36" s="665"/>
      <c r="E36" s="302"/>
      <c r="F36" s="433"/>
      <c r="G36" s="303">
        <f t="shared" si="8"/>
        <v>0</v>
      </c>
      <c r="H36" s="306">
        <f t="shared" ref="H36" si="88">+(E35+E36)*$C$4</f>
        <v>0</v>
      </c>
      <c r="I36" s="306">
        <f t="shared" ref="I36" si="89">+(E35+E36)*$D$4</f>
        <v>0</v>
      </c>
      <c r="J36" s="303"/>
      <c r="K36" s="303"/>
      <c r="L36" s="437"/>
      <c r="M36" s="317"/>
    </row>
    <row r="37" spans="2:13" ht="12" customHeight="1">
      <c r="B37" s="660" t="s">
        <v>99</v>
      </c>
      <c r="C37" s="661" t="s">
        <v>99</v>
      </c>
      <c r="D37" s="662"/>
      <c r="E37" s="302">
        <v>1.6790300000000001E-2</v>
      </c>
      <c r="F37" s="432">
        <f t="shared" ref="F37" si="90">+(E37+E38)*$E$5</f>
        <v>14.5907707</v>
      </c>
      <c r="G37" s="303">
        <f t="shared" si="8"/>
        <v>13.130014600000001</v>
      </c>
      <c r="H37" s="306">
        <f t="shared" ref="H37" si="91">+(E37+E38)*$C$3</f>
        <v>1.5111270000000001</v>
      </c>
      <c r="I37" s="306">
        <f t="shared" ref="I37" si="92">+(E37+E38)*$D$3</f>
        <v>11.618887600000001</v>
      </c>
      <c r="J37" s="303"/>
      <c r="K37" s="303"/>
      <c r="L37" s="434">
        <f t="shared" ref="L37" si="93">+F37+J37+K37</f>
        <v>14.5907707</v>
      </c>
      <c r="M37" s="317">
        <f t="shared" ref="M37" si="94">+L37/$E$5</f>
        <v>1.6790300000000001E-2</v>
      </c>
    </row>
    <row r="38" spans="2:13" ht="12" customHeight="1">
      <c r="B38" s="663"/>
      <c r="C38" s="664"/>
      <c r="D38" s="665"/>
      <c r="E38" s="303"/>
      <c r="F38" s="433"/>
      <c r="G38" s="303">
        <f t="shared" si="8"/>
        <v>1.4607561000000002</v>
      </c>
      <c r="H38" s="306">
        <f t="shared" ref="H38" si="95">+(E37+E38)*$C$4</f>
        <v>0.16790300000000002</v>
      </c>
      <c r="I38" s="306">
        <f t="shared" ref="I38" si="96">+(E37+E38)*$D$4</f>
        <v>1.2928531000000001</v>
      </c>
      <c r="J38" s="303"/>
      <c r="K38" s="303"/>
      <c r="L38" s="437"/>
      <c r="M38" s="317"/>
    </row>
    <row r="39" spans="2:13" ht="12" customHeight="1">
      <c r="B39" s="660" t="s">
        <v>143</v>
      </c>
      <c r="C39" s="661"/>
      <c r="D39" s="662"/>
      <c r="E39" s="416">
        <f>+E9+E11+E13+E15+E17+E19+E21+E23+E25+E29+E37</f>
        <v>0.84999990000000025</v>
      </c>
      <c r="F39" s="434">
        <f>SUM(F9:F38)</f>
        <v>868.99991310000019</v>
      </c>
      <c r="G39" s="306">
        <f>+G9+G11+G13+G15+G17+G19+G21+G23+G25+G27+G29+G31+G33+G35+G37</f>
        <v>781.99992180000015</v>
      </c>
      <c r="H39" s="306">
        <f t="shared" ref="H39:I40" si="97">+H9+H11+H13+H15+H17+H19+H21+H23+H25+H27+H29+H31+H33+H35+H37</f>
        <v>89.999990999999994</v>
      </c>
      <c r="I39" s="306">
        <f t="shared" si="97"/>
        <v>691.9999307999999</v>
      </c>
      <c r="J39" s="306">
        <f t="shared" ref="J39:K39" si="98">+J9+J11+J13+J15+J17+J19+J21+J23+J25+J27+J29+J31+J33+J35+J37</f>
        <v>0</v>
      </c>
      <c r="K39" s="306">
        <f t="shared" si="98"/>
        <v>0</v>
      </c>
      <c r="L39" s="435">
        <f>SUM(L9:L38)</f>
        <v>868.99991310000019</v>
      </c>
      <c r="M39" s="436">
        <f>SUM(M9:M38)</f>
        <v>0.99999990000000005</v>
      </c>
    </row>
    <row r="40" spans="2:13" ht="12" customHeight="1">
      <c r="B40" s="663"/>
      <c r="C40" s="664"/>
      <c r="D40" s="665"/>
      <c r="E40" s="416">
        <f>+E10+E12+E14+E16+E18+E20+E22+E24+E26+E30+E38</f>
        <v>0.14999999999999997</v>
      </c>
      <c r="F40" s="437"/>
      <c r="G40" s="306">
        <f>+G10+G12+G14+G16+G18+G20+G22+G24+G26+G28+G30+G32+G34+G36+G38</f>
        <v>86.999991299999976</v>
      </c>
      <c r="H40" s="306">
        <f t="shared" si="97"/>
        <v>9.9999990000000007</v>
      </c>
      <c r="I40" s="306">
        <f t="shared" si="97"/>
        <v>76.999992300000017</v>
      </c>
      <c r="J40" s="306">
        <f t="shared" ref="J40:K40" si="99">+J10+J12+J14+J16+J18+J20+J22+J24+J26+J28+J30+J32+J34+J36+J38</f>
        <v>0</v>
      </c>
      <c r="K40" s="306">
        <f t="shared" si="99"/>
        <v>0</v>
      </c>
      <c r="L40" s="438"/>
      <c r="M40" s="436"/>
    </row>
    <row r="43" spans="2:13" ht="12" customHeight="1">
      <c r="L43" s="307"/>
    </row>
    <row r="45" spans="2:13" ht="12" customHeight="1">
      <c r="B45" s="666" t="s">
        <v>127</v>
      </c>
      <c r="C45" s="666"/>
      <c r="D45" s="666"/>
      <c r="E45" s="666"/>
      <c r="F45" s="156"/>
    </row>
    <row r="46" spans="2:13" ht="12" customHeight="1">
      <c r="B46" s="308" t="s">
        <v>126</v>
      </c>
      <c r="C46" s="294" t="s">
        <v>113</v>
      </c>
      <c r="D46" s="309" t="s">
        <v>114</v>
      </c>
      <c r="E46" s="294" t="s">
        <v>101</v>
      </c>
    </row>
    <row r="47" spans="2:13" ht="12" customHeight="1">
      <c r="B47" s="310" t="s">
        <v>102</v>
      </c>
      <c r="C47" s="311">
        <v>794</v>
      </c>
      <c r="D47" s="311">
        <v>970</v>
      </c>
      <c r="E47" s="311">
        <f>SUM(C47:D47)</f>
        <v>1764</v>
      </c>
    </row>
    <row r="48" spans="2:13" ht="12" customHeight="1">
      <c r="B48" s="310" t="s">
        <v>103</v>
      </c>
      <c r="C48" s="311">
        <v>88</v>
      </c>
      <c r="D48" s="311">
        <v>108</v>
      </c>
      <c r="E48" s="311">
        <f>SUM(C48:D48)</f>
        <v>196</v>
      </c>
    </row>
    <row r="49" spans="2:13" ht="12" customHeight="1">
      <c r="B49" s="312" t="s">
        <v>118</v>
      </c>
      <c r="C49" s="313">
        <f>SUM(C47:C48)</f>
        <v>882</v>
      </c>
      <c r="D49" s="313">
        <f t="shared" ref="D49" si="100">SUM(D47:D48)</f>
        <v>1078</v>
      </c>
      <c r="E49" s="313">
        <f>SUM(C49:D49)</f>
        <v>1960</v>
      </c>
      <c r="F49" s="314"/>
    </row>
    <row r="50" spans="2:13" ht="13.8" customHeight="1">
      <c r="B50" s="300"/>
      <c r="C50" s="301"/>
      <c r="D50" s="301"/>
      <c r="E50" s="301"/>
      <c r="F50" s="314"/>
    </row>
    <row r="51" spans="2:13" ht="12" customHeight="1">
      <c r="B51" s="300"/>
      <c r="E51" s="300"/>
      <c r="F51" s="301"/>
      <c r="G51" s="301"/>
      <c r="H51" s="674" t="s">
        <v>134</v>
      </c>
      <c r="I51" s="675"/>
      <c r="J51" s="674" t="s">
        <v>158</v>
      </c>
      <c r="K51" s="675"/>
      <c r="L51" s="301"/>
    </row>
    <row r="52" spans="2:13" ht="12" customHeight="1">
      <c r="B52" s="671" t="s">
        <v>86</v>
      </c>
      <c r="C52" s="672"/>
      <c r="D52" s="673"/>
      <c r="E52" s="413" t="s">
        <v>119</v>
      </c>
      <c r="F52" s="413" t="s">
        <v>105</v>
      </c>
      <c r="G52" s="413" t="s">
        <v>137</v>
      </c>
      <c r="H52" s="413" t="s">
        <v>135</v>
      </c>
      <c r="I52" s="413" t="s">
        <v>136</v>
      </c>
      <c r="J52" s="413" t="s">
        <v>113</v>
      </c>
      <c r="K52" s="413" t="s">
        <v>114</v>
      </c>
      <c r="L52" s="413" t="s">
        <v>163</v>
      </c>
      <c r="M52" s="415" t="s">
        <v>117</v>
      </c>
    </row>
    <row r="53" spans="2:13" ht="12" customHeight="1">
      <c r="B53" s="660" t="s">
        <v>164</v>
      </c>
      <c r="C53" s="661"/>
      <c r="D53" s="662"/>
      <c r="E53" s="315">
        <v>33.277095899999999</v>
      </c>
      <c r="F53" s="407">
        <f>+E53/100*$E$49</f>
        <v>652.23107963999996</v>
      </c>
      <c r="G53" s="291">
        <f>+H53+I53</f>
        <v>587.0079716759999</v>
      </c>
      <c r="H53" s="409">
        <f>+E53/100*$C$47</f>
        <v>264.22014144599996</v>
      </c>
      <c r="I53" s="410">
        <f>+E53/100*$D$47</f>
        <v>322.78783023</v>
      </c>
      <c r="J53" s="318">
        <f>-J89-J91-J92-J94+J88+J90+J93</f>
        <v>-152.55852720920001</v>
      </c>
      <c r="K53" s="289">
        <f>-K89-K91-K92-K94+K88+K90+K93</f>
        <v>334.05620639999995</v>
      </c>
      <c r="L53" s="289">
        <f>+F53+J53+K53+J54+K54</f>
        <v>833.72875883079996</v>
      </c>
      <c r="M53" s="289">
        <f>+L53/$E$49</f>
        <v>0.42537181572999999</v>
      </c>
    </row>
    <row r="54" spans="2:13" ht="12" customHeight="1">
      <c r="B54" s="663"/>
      <c r="C54" s="664"/>
      <c r="D54" s="665"/>
      <c r="E54" s="316"/>
      <c r="F54" s="408"/>
      <c r="G54" s="290">
        <f>+H54+I54</f>
        <v>65.223107963999993</v>
      </c>
      <c r="H54" s="411">
        <f>+E53/100*$C$48</f>
        <v>29.283844391999999</v>
      </c>
      <c r="I54" s="412">
        <f>+E53/100*$D$48</f>
        <v>35.939263571999994</v>
      </c>
      <c r="J54" s="319"/>
      <c r="K54" s="291"/>
      <c r="L54" s="290"/>
      <c r="M54" s="290"/>
    </row>
    <row r="55" spans="2:13" ht="12" customHeight="1">
      <c r="B55" s="660" t="s">
        <v>21</v>
      </c>
      <c r="C55" s="661"/>
      <c r="D55" s="662"/>
      <c r="E55" s="315">
        <v>2.1082000000000001</v>
      </c>
      <c r="F55" s="407">
        <f t="shared" ref="F55" si="101">+E55/100*$E$49</f>
        <v>41.320720000000001</v>
      </c>
      <c r="G55" s="291">
        <f>+H55+I55</f>
        <v>37.188648000000001</v>
      </c>
      <c r="H55" s="409">
        <f t="shared" ref="H55" si="102">+E55/100*$C$47</f>
        <v>16.739108000000002</v>
      </c>
      <c r="I55" s="410">
        <f t="shared" ref="I55" si="103">+E55/100*$D$47</f>
        <v>20.449539999999999</v>
      </c>
      <c r="J55" s="318"/>
      <c r="K55" s="289"/>
      <c r="L55" s="289">
        <f t="shared" ref="L55" si="104">+F55+J55+K55+J56+K56</f>
        <v>41.320720000000001</v>
      </c>
      <c r="M55" s="289">
        <f t="shared" ref="M55" si="105">+L55/$E$49</f>
        <v>2.1082E-2</v>
      </c>
    </row>
    <row r="56" spans="2:13" ht="12" customHeight="1">
      <c r="B56" s="663"/>
      <c r="C56" s="664"/>
      <c r="D56" s="665"/>
      <c r="E56" s="316"/>
      <c r="F56" s="408"/>
      <c r="G56" s="290">
        <f>+H56+I56</f>
        <v>4.132072</v>
      </c>
      <c r="H56" s="411">
        <f t="shared" ref="H56" si="106">+E55/100*$C$48</f>
        <v>1.855216</v>
      </c>
      <c r="I56" s="412">
        <f t="shared" ref="I56" si="107">+E55/100*$D$48</f>
        <v>2.276856</v>
      </c>
      <c r="J56" s="319"/>
      <c r="K56" s="291"/>
      <c r="L56" s="291"/>
      <c r="M56" s="291"/>
    </row>
    <row r="57" spans="2:13" ht="12" customHeight="1">
      <c r="B57" s="660" t="s">
        <v>89</v>
      </c>
      <c r="C57" s="661"/>
      <c r="D57" s="662"/>
      <c r="E57" s="315">
        <v>22.556339999999999</v>
      </c>
      <c r="F57" s="407">
        <f t="shared" ref="F57" si="108">+E57/100*$E$49</f>
        <v>442.104264</v>
      </c>
      <c r="G57" s="291">
        <f t="shared" ref="G57:G80" si="109">+H57+I57</f>
        <v>397.89383759999998</v>
      </c>
      <c r="H57" s="409">
        <f t="shared" ref="H57" si="110">+E57/100*$C$47</f>
        <v>179.0973396</v>
      </c>
      <c r="I57" s="410">
        <f t="shared" ref="I57" si="111">+E57/100*$D$47</f>
        <v>218.79649799999999</v>
      </c>
      <c r="J57" s="318">
        <f>+J91</f>
        <v>200.0000072</v>
      </c>
      <c r="K57" s="289">
        <f>-K90</f>
        <v>-225.58588640000002</v>
      </c>
      <c r="L57" s="289">
        <f t="shared" ref="L57" si="112">+F57+J57+K57+J58+K58</f>
        <v>416.51838479999992</v>
      </c>
      <c r="M57" s="289">
        <f t="shared" ref="M57" si="113">+L57/$E$49</f>
        <v>0.21250937999999997</v>
      </c>
    </row>
    <row r="58" spans="2:13" ht="12" customHeight="1">
      <c r="B58" s="663"/>
      <c r="C58" s="664"/>
      <c r="D58" s="665"/>
      <c r="E58" s="316"/>
      <c r="F58" s="408"/>
      <c r="G58" s="290">
        <f t="shared" si="109"/>
        <v>44.210426400000003</v>
      </c>
      <c r="H58" s="411">
        <f t="shared" ref="H58" si="114">+E57/100*$C$48</f>
        <v>19.849579200000001</v>
      </c>
      <c r="I58" s="412">
        <f t="shared" ref="I58" si="115">+E57/100*$D$48</f>
        <v>24.360847199999998</v>
      </c>
      <c r="J58" s="319"/>
      <c r="K58" s="291"/>
      <c r="L58" s="290"/>
      <c r="M58" s="291"/>
    </row>
    <row r="59" spans="2:13" ht="12" customHeight="1">
      <c r="B59" s="660" t="s">
        <v>91</v>
      </c>
      <c r="C59" s="661"/>
      <c r="D59" s="662"/>
      <c r="E59" s="315">
        <v>16.074619999999999</v>
      </c>
      <c r="F59" s="407">
        <f t="shared" ref="F59" si="116">+E59/100*$E$49</f>
        <v>315.06255200000004</v>
      </c>
      <c r="G59" s="291">
        <f t="shared" si="109"/>
        <v>283.55629679999998</v>
      </c>
      <c r="H59" s="409">
        <f t="shared" ref="H59" si="117">+E59/100*$C$47</f>
        <v>127.63248280000001</v>
      </c>
      <c r="I59" s="410">
        <f t="shared" ref="I59" si="118">+E59/100*$D$47</f>
        <v>155.92381399999999</v>
      </c>
      <c r="J59" s="318">
        <f>+J92</f>
        <v>29.547000000000001</v>
      </c>
      <c r="K59" s="289">
        <f>+K92</f>
        <v>36.113</v>
      </c>
      <c r="L59" s="289">
        <f t="shared" ref="L59" si="119">+F59+J59+K59+J60+K60</f>
        <v>380.72255200000006</v>
      </c>
      <c r="M59" s="289">
        <f t="shared" ref="M59" si="120">+L59/$E$49</f>
        <v>0.19424620000000004</v>
      </c>
    </row>
    <row r="60" spans="2:13" ht="12" customHeight="1">
      <c r="B60" s="663"/>
      <c r="C60" s="664"/>
      <c r="D60" s="665"/>
      <c r="E60" s="316"/>
      <c r="F60" s="408"/>
      <c r="G60" s="290">
        <f t="shared" si="109"/>
        <v>31.506255200000002</v>
      </c>
      <c r="H60" s="411">
        <f t="shared" ref="H60" si="121">+E59/100*$C$48</f>
        <v>14.145665600000001</v>
      </c>
      <c r="I60" s="412">
        <f t="shared" ref="I60" si="122">+E59/100*$D$48</f>
        <v>17.360589600000001</v>
      </c>
      <c r="J60" s="319"/>
      <c r="K60" s="291"/>
      <c r="L60" s="291"/>
      <c r="M60" s="291"/>
    </row>
    <row r="61" spans="2:13" ht="12" customHeight="1">
      <c r="B61" s="660" t="s">
        <v>87</v>
      </c>
      <c r="C61" s="661"/>
      <c r="D61" s="662"/>
      <c r="E61" s="315">
        <v>8.2399999999999984</v>
      </c>
      <c r="F61" s="407">
        <f t="shared" ref="F61" si="123">+E61/100*$E$49</f>
        <v>161.50399999999996</v>
      </c>
      <c r="G61" s="291">
        <f t="shared" si="109"/>
        <v>145.35359999999997</v>
      </c>
      <c r="H61" s="409">
        <f t="shared" ref="H61" si="124">+E61/100*$C$47</f>
        <v>65.425599999999989</v>
      </c>
      <c r="I61" s="410">
        <f t="shared" ref="I61" si="125">+E61/100*$D$47</f>
        <v>79.927999999999983</v>
      </c>
      <c r="J61" s="318">
        <f>+J94</f>
        <v>40.000000009200001</v>
      </c>
      <c r="K61" s="289">
        <f>-K89</f>
        <v>-81.731999999999999</v>
      </c>
      <c r="L61" s="289">
        <f t="shared" ref="L61" si="126">+F61+J61+K61+J62+K62</f>
        <v>119.77200000919996</v>
      </c>
      <c r="M61" s="289">
        <f t="shared" ref="M61" si="127">+L61/$E$49</f>
        <v>6.1108163269999981E-2</v>
      </c>
    </row>
    <row r="62" spans="2:13" ht="12" customHeight="1">
      <c r="B62" s="663"/>
      <c r="C62" s="664"/>
      <c r="D62" s="665"/>
      <c r="E62" s="316"/>
      <c r="F62" s="408"/>
      <c r="G62" s="290">
        <f t="shared" si="109"/>
        <v>16.150399999999998</v>
      </c>
      <c r="H62" s="411">
        <f t="shared" ref="H62" si="128">+E61/100*$C$48</f>
        <v>7.251199999999999</v>
      </c>
      <c r="I62" s="412">
        <f t="shared" ref="I62" si="129">+E61/100*$D$48</f>
        <v>8.8991999999999987</v>
      </c>
      <c r="J62" s="319"/>
      <c r="K62" s="291"/>
      <c r="L62" s="290"/>
      <c r="M62" s="291"/>
    </row>
    <row r="63" spans="2:13" ht="12" customHeight="1">
      <c r="B63" s="660" t="s">
        <v>165</v>
      </c>
      <c r="C63" s="661"/>
      <c r="D63" s="662"/>
      <c r="E63" s="315">
        <v>0</v>
      </c>
      <c r="F63" s="407">
        <f t="shared" ref="F63" si="130">+E63/100*$E$49</f>
        <v>0</v>
      </c>
      <c r="G63" s="291">
        <f>+H63+I63</f>
        <v>0</v>
      </c>
      <c r="H63" s="409">
        <f t="shared" ref="H63" si="131">+E63/100*$C$47</f>
        <v>0</v>
      </c>
      <c r="I63" s="410">
        <f t="shared" ref="I63" si="132">+E63/100*$D$47</f>
        <v>0</v>
      </c>
      <c r="J63" s="318"/>
      <c r="K63" s="289"/>
      <c r="L63" s="289">
        <f t="shared" ref="L63" si="133">+F63+J63+K63+J64+K64</f>
        <v>0</v>
      </c>
      <c r="M63" s="289">
        <f t="shared" ref="M63" si="134">+L63/$E$49</f>
        <v>0</v>
      </c>
    </row>
    <row r="64" spans="2:13" ht="12" customHeight="1">
      <c r="B64" s="663"/>
      <c r="C64" s="664"/>
      <c r="D64" s="665"/>
      <c r="E64" s="316"/>
      <c r="F64" s="408"/>
      <c r="G64" s="290">
        <f>+H64+I64</f>
        <v>0</v>
      </c>
      <c r="H64" s="411">
        <f t="shared" ref="H64" si="135">+E63/100*$C$48</f>
        <v>0</v>
      </c>
      <c r="I64" s="412">
        <f t="shared" ref="I64" si="136">+E63/100*$D$48</f>
        <v>0</v>
      </c>
      <c r="J64" s="319"/>
      <c r="K64" s="291"/>
      <c r="L64" s="291"/>
      <c r="M64" s="291"/>
    </row>
    <row r="65" spans="2:13" ht="12" customHeight="1">
      <c r="B65" s="660" t="s">
        <v>166</v>
      </c>
      <c r="C65" s="661"/>
      <c r="D65" s="662"/>
      <c r="E65" s="315">
        <v>1.367E-2</v>
      </c>
      <c r="F65" s="407">
        <f t="shared" ref="F65" si="137">+E65/100*$E$49</f>
        <v>0.267932</v>
      </c>
      <c r="G65" s="291">
        <f t="shared" si="109"/>
        <v>0.24113879999999999</v>
      </c>
      <c r="H65" s="409">
        <f t="shared" ref="H65" si="138">+E65/100*$C$47</f>
        <v>0.10853979999999999</v>
      </c>
      <c r="I65" s="410">
        <f t="shared" ref="I65" si="139">+E65/100*$D$47</f>
        <v>0.13259899999999999</v>
      </c>
      <c r="J65" s="318"/>
      <c r="K65" s="289"/>
      <c r="L65" s="289">
        <f t="shared" ref="L65" si="140">+F65+J65+K65+J66+K66</f>
        <v>0.267932</v>
      </c>
      <c r="M65" s="289">
        <f t="shared" ref="M65" si="141">+L65/$E$49</f>
        <v>1.3669999999999999E-4</v>
      </c>
    </row>
    <row r="66" spans="2:13" ht="12" customHeight="1">
      <c r="B66" s="663"/>
      <c r="C66" s="664"/>
      <c r="D66" s="665"/>
      <c r="E66" s="316"/>
      <c r="F66" s="408"/>
      <c r="G66" s="290">
        <f t="shared" si="109"/>
        <v>2.6793199999999996E-2</v>
      </c>
      <c r="H66" s="411">
        <f t="shared" ref="H66" si="142">+E65/100*$C$48</f>
        <v>1.20296E-2</v>
      </c>
      <c r="I66" s="412">
        <f t="shared" ref="I66" si="143">+E65/100*$D$48</f>
        <v>1.4763599999999998E-2</v>
      </c>
      <c r="J66" s="319"/>
      <c r="K66" s="291"/>
      <c r="L66" s="290"/>
      <c r="M66" s="291"/>
    </row>
    <row r="67" spans="2:13" ht="12" customHeight="1">
      <c r="B67" s="660" t="s">
        <v>95</v>
      </c>
      <c r="C67" s="661"/>
      <c r="D67" s="662"/>
      <c r="E67" s="315">
        <v>5.4599999999999996E-3</v>
      </c>
      <c r="F67" s="407">
        <f t="shared" ref="F67" si="144">+E67/100*$E$49</f>
        <v>0.107016</v>
      </c>
      <c r="G67" s="291">
        <f t="shared" si="109"/>
        <v>9.6314399999999994E-2</v>
      </c>
      <c r="H67" s="409">
        <f t="shared" ref="H67" si="145">+E67/100*$C$47</f>
        <v>4.3352399999999999E-2</v>
      </c>
      <c r="I67" s="410">
        <f t="shared" ref="I67" si="146">+E67/100*$D$47</f>
        <v>5.2962000000000002E-2</v>
      </c>
      <c r="J67" s="318"/>
      <c r="K67" s="289"/>
      <c r="L67" s="289">
        <f t="shared" ref="L67" si="147">+F67+J67+K67+J68+K68</f>
        <v>0.107016</v>
      </c>
      <c r="M67" s="289">
        <f t="shared" ref="M67" si="148">+L67/$E$49</f>
        <v>5.4599999999999999E-5</v>
      </c>
    </row>
    <row r="68" spans="2:13" ht="12" customHeight="1">
      <c r="B68" s="663"/>
      <c r="C68" s="664"/>
      <c r="D68" s="665"/>
      <c r="E68" s="316"/>
      <c r="F68" s="408"/>
      <c r="G68" s="290">
        <f t="shared" si="109"/>
        <v>1.0701599999999999E-2</v>
      </c>
      <c r="H68" s="411">
        <f t="shared" ref="H68" si="149">+E67/100*$C$48</f>
        <v>4.8047999999999997E-3</v>
      </c>
      <c r="I68" s="412">
        <f t="shared" ref="I68" si="150">+E67/100*$D$48</f>
        <v>5.8967999999999998E-3</v>
      </c>
      <c r="J68" s="319"/>
      <c r="K68" s="291"/>
      <c r="L68" s="291"/>
      <c r="M68" s="291"/>
    </row>
    <row r="69" spans="2:13" ht="12" customHeight="1">
      <c r="B69" s="660" t="s">
        <v>167</v>
      </c>
      <c r="C69" s="661"/>
      <c r="D69" s="662"/>
      <c r="E69" s="315">
        <v>17.622903999999998</v>
      </c>
      <c r="F69" s="407">
        <f t="shared" ref="F69" si="151">+E69/100*$E$49</f>
        <v>345.40891839999995</v>
      </c>
      <c r="G69" s="291">
        <f t="shared" si="109"/>
        <v>310.86802655999998</v>
      </c>
      <c r="H69" s="409">
        <f t="shared" ref="H69" si="152">+E69/100*$C$47</f>
        <v>139.92585775999999</v>
      </c>
      <c r="I69" s="410">
        <f t="shared" ref="I69" si="153">+E69/100*$D$47</f>
        <v>170.94216879999999</v>
      </c>
      <c r="J69" s="318">
        <f>-J88</f>
        <v>-116.98847999999998</v>
      </c>
      <c r="K69" s="318">
        <f>-K88</f>
        <v>-142.98591999999996</v>
      </c>
      <c r="L69" s="289">
        <f t="shared" ref="L69" si="154">+F69+J69+K69+J70+K70</f>
        <v>85.434518400000002</v>
      </c>
      <c r="M69" s="289">
        <f t="shared" ref="M69" si="155">+L69/$E$49</f>
        <v>4.3589040000000003E-2</v>
      </c>
    </row>
    <row r="70" spans="2:13" ht="12" customHeight="1">
      <c r="B70" s="663"/>
      <c r="C70" s="664"/>
      <c r="D70" s="665"/>
      <c r="E70" s="316"/>
      <c r="F70" s="408"/>
      <c r="G70" s="290">
        <f t="shared" si="109"/>
        <v>34.540891839999993</v>
      </c>
      <c r="H70" s="411">
        <f t="shared" ref="H70" si="156">+E69/100*$C$48</f>
        <v>15.508155519999997</v>
      </c>
      <c r="I70" s="412">
        <f t="shared" ref="I70" si="157">+E69/100*$D$48</f>
        <v>19.032736319999998</v>
      </c>
      <c r="J70" s="319"/>
      <c r="K70" s="291"/>
      <c r="L70" s="290"/>
      <c r="M70" s="291"/>
    </row>
    <row r="71" spans="2:13" ht="12" customHeight="1">
      <c r="B71" s="660" t="s">
        <v>168</v>
      </c>
      <c r="C71" s="661"/>
      <c r="D71" s="662"/>
      <c r="E71" s="315">
        <v>2.0100000000000001E-3</v>
      </c>
      <c r="F71" s="407">
        <f t="shared" ref="F71" si="158">+E71/100*$E$49</f>
        <v>3.9396E-2</v>
      </c>
      <c r="G71" s="291">
        <f t="shared" si="109"/>
        <v>3.5456399999999999E-2</v>
      </c>
      <c r="H71" s="409">
        <f t="shared" ref="H71" si="159">+E71/100*$C$47</f>
        <v>1.5959400000000002E-2</v>
      </c>
      <c r="I71" s="410">
        <f t="shared" ref="I71" si="160">+E71/100*$D$47</f>
        <v>1.9497E-2</v>
      </c>
      <c r="J71" s="318"/>
      <c r="K71" s="289"/>
      <c r="L71" s="289">
        <f t="shared" ref="L71" si="161">+F71+J71+K71+J72+K72</f>
        <v>3.9396E-2</v>
      </c>
      <c r="M71" s="289">
        <f t="shared" ref="M71" si="162">+L71/$E$49</f>
        <v>2.0100000000000001E-5</v>
      </c>
    </row>
    <row r="72" spans="2:13" ht="12" customHeight="1">
      <c r="B72" s="663"/>
      <c r="C72" s="664"/>
      <c r="D72" s="665"/>
      <c r="E72" s="316"/>
      <c r="F72" s="408"/>
      <c r="G72" s="290">
        <f t="shared" si="109"/>
        <v>3.9395999999999997E-3</v>
      </c>
      <c r="H72" s="411">
        <f t="shared" ref="H72" si="163">+E71/100*$C$48</f>
        <v>1.7688000000000001E-3</v>
      </c>
      <c r="I72" s="412">
        <f t="shared" ref="I72" si="164">+E71/100*$D$48</f>
        <v>2.1708000000000001E-3</v>
      </c>
      <c r="J72" s="319"/>
      <c r="K72" s="291"/>
      <c r="L72" s="291"/>
      <c r="M72" s="291"/>
    </row>
    <row r="73" spans="2:13" ht="12" customHeight="1">
      <c r="B73" s="660" t="s">
        <v>169</v>
      </c>
      <c r="C73" s="661"/>
      <c r="D73" s="662"/>
      <c r="E73" s="315">
        <v>0.1</v>
      </c>
      <c r="F73" s="407">
        <f t="shared" ref="F73" si="165">+E73/100*$E$49</f>
        <v>1.96</v>
      </c>
      <c r="G73" s="291">
        <f t="shared" si="109"/>
        <v>1.764</v>
      </c>
      <c r="H73" s="409">
        <f t="shared" ref="H73" si="166">+E73/100*$C$47</f>
        <v>0.79400000000000004</v>
      </c>
      <c r="I73" s="410">
        <f t="shared" ref="I73" si="167">+E73/100*$D$47</f>
        <v>0.97</v>
      </c>
      <c r="J73" s="318"/>
      <c r="K73" s="289"/>
      <c r="L73" s="289">
        <f t="shared" ref="L73" si="168">+F73+J73+K73+J74+K74</f>
        <v>1.96</v>
      </c>
      <c r="M73" s="289">
        <f t="shared" ref="M73" si="169">+L73/$E$49</f>
        <v>1E-3</v>
      </c>
    </row>
    <row r="74" spans="2:13" ht="12" customHeight="1">
      <c r="B74" s="663"/>
      <c r="C74" s="664"/>
      <c r="D74" s="665"/>
      <c r="E74" s="316"/>
      <c r="F74" s="408"/>
      <c r="G74" s="290">
        <f t="shared" si="109"/>
        <v>0.19600000000000001</v>
      </c>
      <c r="H74" s="411">
        <f t="shared" ref="H74" si="170">+E73/100*$C$48</f>
        <v>8.7999999999999995E-2</v>
      </c>
      <c r="I74" s="412">
        <f t="shared" ref="I74" si="171">+E73/100*$D$48</f>
        <v>0.108</v>
      </c>
      <c r="J74" s="319"/>
      <c r="K74" s="291"/>
      <c r="L74" s="290"/>
      <c r="M74" s="291"/>
    </row>
    <row r="75" spans="2:13" ht="12" customHeight="1">
      <c r="B75" s="660" t="s">
        <v>170</v>
      </c>
      <c r="C75" s="661"/>
      <c r="D75" s="662"/>
      <c r="E75" s="315">
        <v>0</v>
      </c>
      <c r="F75" s="407">
        <f t="shared" ref="F75" si="172">+E75/100*$E$49</f>
        <v>0</v>
      </c>
      <c r="G75" s="291">
        <f t="shared" si="109"/>
        <v>0</v>
      </c>
      <c r="H75" s="409">
        <f t="shared" ref="H75" si="173">+E75/100*$C$47</f>
        <v>0</v>
      </c>
      <c r="I75" s="410">
        <f t="shared" ref="I75" si="174">+E75/100*$D$47</f>
        <v>0</v>
      </c>
      <c r="J75" s="289">
        <f>+J89</f>
        <v>0</v>
      </c>
      <c r="K75" s="289">
        <f>+K89</f>
        <v>81.731999999999999</v>
      </c>
      <c r="L75" s="289">
        <f t="shared" ref="L75" si="175">+F75+J75+K75+J76+K76</f>
        <v>81.731999999999999</v>
      </c>
      <c r="M75" s="289">
        <f t="shared" ref="M75" si="176">+L75/$E$49</f>
        <v>4.1700000000000001E-2</v>
      </c>
    </row>
    <row r="76" spans="2:13" ht="12" customHeight="1">
      <c r="B76" s="663"/>
      <c r="C76" s="664"/>
      <c r="D76" s="665"/>
      <c r="E76" s="316"/>
      <c r="F76" s="408"/>
      <c r="G76" s="290">
        <f t="shared" si="109"/>
        <v>0</v>
      </c>
      <c r="H76" s="411">
        <f t="shared" ref="H76" si="177">+E75/100*$C$48</f>
        <v>0</v>
      </c>
      <c r="I76" s="412">
        <f t="shared" ref="I76" si="178">+E75/100*$D$48</f>
        <v>0</v>
      </c>
      <c r="J76" s="319"/>
      <c r="K76" s="291"/>
      <c r="L76" s="291"/>
      <c r="M76" s="291"/>
    </row>
    <row r="77" spans="2:13" ht="12" customHeight="1">
      <c r="B77" s="660" t="s">
        <v>171</v>
      </c>
      <c r="C77" s="661"/>
      <c r="D77" s="662"/>
      <c r="E77" s="315">
        <v>0</v>
      </c>
      <c r="F77" s="407">
        <f t="shared" ref="F77" si="179">+E77/100*$E$49</f>
        <v>0</v>
      </c>
      <c r="G77" s="291">
        <f t="shared" si="109"/>
        <v>0</v>
      </c>
      <c r="H77" s="409">
        <f t="shared" ref="H77" si="180">+E77/100*$C$47</f>
        <v>0</v>
      </c>
      <c r="I77" s="410">
        <f t="shared" ref="I77" si="181">+E77/100*$D$47</f>
        <v>0</v>
      </c>
      <c r="J77" s="318"/>
      <c r="K77" s="289"/>
      <c r="L77" s="289">
        <f t="shared" ref="L77" si="182">+F77+J77+K77+J78+K78</f>
        <v>0</v>
      </c>
      <c r="M77" s="289">
        <f t="shared" ref="M77" si="183">+L77/$E$49</f>
        <v>0</v>
      </c>
    </row>
    <row r="78" spans="2:13" ht="12" customHeight="1">
      <c r="B78" s="663"/>
      <c r="C78" s="664"/>
      <c r="D78" s="665"/>
      <c r="E78" s="316"/>
      <c r="F78" s="408"/>
      <c r="G78" s="290">
        <f t="shared" si="109"/>
        <v>0</v>
      </c>
      <c r="H78" s="411">
        <f t="shared" ref="H78" si="184">+E77/100*$C$48</f>
        <v>0</v>
      </c>
      <c r="I78" s="412">
        <f t="shared" ref="I78" si="185">+E77/100*$D$48</f>
        <v>0</v>
      </c>
      <c r="J78" s="319"/>
      <c r="K78" s="291"/>
      <c r="L78" s="290"/>
      <c r="M78" s="291"/>
    </row>
    <row r="79" spans="2:13" ht="12" customHeight="1">
      <c r="B79" s="660" t="s">
        <v>172</v>
      </c>
      <c r="C79" s="661"/>
      <c r="D79" s="662"/>
      <c r="E79" s="315">
        <v>0</v>
      </c>
      <c r="F79" s="407">
        <f t="shared" ref="F79" si="186">+E79/100*$E$49</f>
        <v>0</v>
      </c>
      <c r="G79" s="291">
        <f t="shared" si="109"/>
        <v>0</v>
      </c>
      <c r="H79" s="409">
        <f t="shared" ref="H79" si="187">+E79/100*$C$47</f>
        <v>0</v>
      </c>
      <c r="I79" s="410">
        <f t="shared" ref="I79" si="188">+E79/100*$D$47</f>
        <v>0</v>
      </c>
      <c r="J79" s="318">
        <f>+J95</f>
        <v>19.600000000000001</v>
      </c>
      <c r="K79" s="318">
        <f>+K95</f>
        <v>0</v>
      </c>
      <c r="L79" s="289">
        <f t="shared" ref="L79" si="189">+F79+J79+K79+J80+K80</f>
        <v>19.600000000000001</v>
      </c>
      <c r="M79" s="289">
        <f t="shared" ref="M79" si="190">+L79/$E$49</f>
        <v>0.01</v>
      </c>
    </row>
    <row r="80" spans="2:13" ht="12" customHeight="1">
      <c r="B80" s="663"/>
      <c r="C80" s="664"/>
      <c r="D80" s="665"/>
      <c r="E80" s="316"/>
      <c r="F80" s="408"/>
      <c r="G80" s="290">
        <f t="shared" si="109"/>
        <v>0</v>
      </c>
      <c r="H80" s="411">
        <f t="shared" ref="H80" si="191">+E79/100*$C$48</f>
        <v>0</v>
      </c>
      <c r="I80" s="412">
        <f t="shared" ref="I80" si="192">+E79/100*$D$48</f>
        <v>0</v>
      </c>
      <c r="J80" s="319"/>
      <c r="K80" s="291"/>
      <c r="L80" s="291"/>
      <c r="M80" s="291"/>
    </row>
    <row r="81" spans="2:13" ht="12" customHeight="1">
      <c r="B81" s="660" t="s">
        <v>143</v>
      </c>
      <c r="C81" s="661"/>
      <c r="D81" s="662"/>
      <c r="E81" s="678">
        <f>SUM(E53:E80)</f>
        <v>100.0002999</v>
      </c>
      <c r="F81" s="676">
        <f>SUM(F53:F80)</f>
        <v>1960.0058780399997</v>
      </c>
      <c r="G81" s="414">
        <f>+G53+G55+G57+G59+G61+G65+G67+G69+G71+G73+G75+G77+G79+G63</f>
        <v>1764.0052902359996</v>
      </c>
      <c r="H81" s="414">
        <f>+H53+H55+H57+H59+H61+H63+H65+H67+H69+H71+H73+H75+H77+H79</f>
        <v>794.002381206</v>
      </c>
      <c r="I81" s="414">
        <f>+I53+I55+I57+I59+I61+I63+I65+I67+I69+I71+I73+I75+I77+I79</f>
        <v>970.00290903000007</v>
      </c>
      <c r="J81" s="414">
        <f>+J53+J55+J57+J59+J61+J65+J67+J69+J71+J73+J75+J77+J79+J63</f>
        <v>19.600000000000001</v>
      </c>
      <c r="K81" s="414">
        <f>+K53+K55+K57+K59+K61+K65+K67+K69+K71+K73+K75+K77+K79+K63</f>
        <v>1.5973999999999648</v>
      </c>
      <c r="L81" s="676">
        <f>SUM(L53:L80)</f>
        <v>1981.2032780399998</v>
      </c>
      <c r="M81" s="676">
        <f>SUM(M53:M80)</f>
        <v>1.0108179989999999</v>
      </c>
    </row>
    <row r="82" spans="2:13" ht="12" customHeight="1">
      <c r="B82" s="663"/>
      <c r="C82" s="664"/>
      <c r="D82" s="665"/>
      <c r="E82" s="679"/>
      <c r="F82" s="677"/>
      <c r="G82" s="414">
        <f>+G54+G56+G58+G60+G62+G66+G68+G70+G72+G74+G76+G78+G80+G64</f>
        <v>196.00058780399996</v>
      </c>
      <c r="H82" s="414">
        <f>+H54+H56+H58+H60+H62+H64+H66+H68+H70+H72+H74+H76+H78+H80</f>
        <v>88.000263911999994</v>
      </c>
      <c r="I82" s="414">
        <f>+I54+I56+I58+I60+I62+I64+I66+I68+I70+I72+I74+I76+I78+I80</f>
        <v>108.00032389199998</v>
      </c>
      <c r="J82" s="414">
        <f>+J54+J56+J58+J60+J62+J66+J68+J70+J72+J74+J76+J78+J80+J64</f>
        <v>0</v>
      </c>
      <c r="K82" s="414">
        <f>+K54+K56+K58+K60+K62+K66+K68+K70+K72+K74+K76+K78+K80+K64</f>
        <v>0</v>
      </c>
      <c r="L82" s="677"/>
      <c r="M82" s="677"/>
    </row>
    <row r="86" spans="2:13" ht="12" customHeight="1">
      <c r="B86" s="667" t="s">
        <v>187</v>
      </c>
      <c r="C86" s="668"/>
      <c r="D86" s="668"/>
      <c r="E86" s="668"/>
      <c r="F86" s="668"/>
      <c r="G86" s="668"/>
      <c r="H86" s="668"/>
      <c r="I86" s="669"/>
      <c r="J86" s="417"/>
      <c r="K86" s="417"/>
      <c r="L86" s="157"/>
    </row>
    <row r="87" spans="2:13" ht="12" customHeight="1">
      <c r="B87" s="418" t="s">
        <v>173</v>
      </c>
      <c r="C87" s="418" t="s">
        <v>174</v>
      </c>
      <c r="D87" s="670" t="s">
        <v>175</v>
      </c>
      <c r="E87" s="670"/>
      <c r="F87" s="670"/>
      <c r="G87" s="419" t="s">
        <v>176</v>
      </c>
      <c r="H87" s="420" t="s">
        <v>177</v>
      </c>
      <c r="I87" s="421" t="s">
        <v>178</v>
      </c>
      <c r="J87" s="430" t="s">
        <v>113</v>
      </c>
      <c r="K87" s="415" t="s">
        <v>179</v>
      </c>
      <c r="L87" s="431" t="s">
        <v>180</v>
      </c>
    </row>
    <row r="88" spans="2:13" ht="12" customHeight="1">
      <c r="B88" s="472">
        <v>143826</v>
      </c>
      <c r="C88" s="422">
        <v>43475</v>
      </c>
      <c r="D88" s="658" t="s">
        <v>188</v>
      </c>
      <c r="E88" s="658"/>
      <c r="F88" s="658"/>
      <c r="G88" s="423" t="s">
        <v>181</v>
      </c>
      <c r="H88" s="423" t="s">
        <v>182</v>
      </c>
      <c r="I88" s="424">
        <v>0.13263999999999998</v>
      </c>
      <c r="J88" s="425">
        <f>+I88*$C$49</f>
        <v>116.98847999999998</v>
      </c>
      <c r="K88" s="425">
        <f>+I88*$D$49</f>
        <v>142.98591999999996</v>
      </c>
      <c r="L88" s="426">
        <f>+I88*$E$49</f>
        <v>259.97439999999995</v>
      </c>
    </row>
    <row r="89" spans="2:13" ht="12" customHeight="1">
      <c r="B89" s="427">
        <v>145557</v>
      </c>
      <c r="C89" s="422">
        <v>43507</v>
      </c>
      <c r="D89" s="658" t="s">
        <v>189</v>
      </c>
      <c r="E89" s="658"/>
      <c r="F89" s="658"/>
      <c r="G89" s="423" t="s">
        <v>182</v>
      </c>
      <c r="H89" s="423" t="s">
        <v>183</v>
      </c>
      <c r="I89" s="424">
        <v>4.1700000000000001E-2</v>
      </c>
      <c r="J89" s="428">
        <v>0</v>
      </c>
      <c r="K89" s="425">
        <f>+L89</f>
        <v>81.731999999999999</v>
      </c>
      <c r="L89" s="426">
        <f t="shared" ref="L89:L94" si="193">+I89*$E$49</f>
        <v>81.731999999999999</v>
      </c>
    </row>
    <row r="90" spans="2:13" ht="12" customHeight="1">
      <c r="B90" s="429">
        <v>146229</v>
      </c>
      <c r="C90" s="422">
        <v>43521</v>
      </c>
      <c r="D90" s="658" t="s">
        <v>194</v>
      </c>
      <c r="E90" s="658"/>
      <c r="F90" s="658"/>
      <c r="G90" s="423" t="s">
        <v>184</v>
      </c>
      <c r="H90" s="423" t="s">
        <v>182</v>
      </c>
      <c r="I90" s="424">
        <v>0.11509484</v>
      </c>
      <c r="J90" s="428">
        <v>0</v>
      </c>
      <c r="K90" s="425">
        <f>+L90</f>
        <v>225.58588640000002</v>
      </c>
      <c r="L90" s="426">
        <f t="shared" si="193"/>
        <v>225.58588640000002</v>
      </c>
    </row>
    <row r="91" spans="2:13" ht="12" customHeight="1">
      <c r="B91" s="429">
        <v>146233</v>
      </c>
      <c r="C91" s="422">
        <v>43521</v>
      </c>
      <c r="D91" s="658" t="s">
        <v>190</v>
      </c>
      <c r="E91" s="658"/>
      <c r="F91" s="658"/>
      <c r="G91" s="423" t="s">
        <v>182</v>
      </c>
      <c r="H91" s="423" t="s">
        <v>184</v>
      </c>
      <c r="I91" s="424">
        <v>0.10204082</v>
      </c>
      <c r="J91" s="425">
        <f>+L91</f>
        <v>200.0000072</v>
      </c>
      <c r="K91" s="428">
        <v>0</v>
      </c>
      <c r="L91" s="426">
        <f t="shared" si="193"/>
        <v>200.0000072</v>
      </c>
    </row>
    <row r="92" spans="2:13" ht="12" customHeight="1">
      <c r="B92" s="429">
        <v>146232</v>
      </c>
      <c r="C92" s="422">
        <v>43521</v>
      </c>
      <c r="D92" s="658" t="s">
        <v>191</v>
      </c>
      <c r="E92" s="658"/>
      <c r="F92" s="658"/>
      <c r="G92" s="423" t="s">
        <v>182</v>
      </c>
      <c r="H92" s="423" t="s">
        <v>185</v>
      </c>
      <c r="I92" s="424">
        <v>3.3500000000000002E-2</v>
      </c>
      <c r="J92" s="425">
        <f>+I92*$C$49</f>
        <v>29.547000000000001</v>
      </c>
      <c r="K92" s="425">
        <f>+I92*$D$49</f>
        <v>36.113</v>
      </c>
      <c r="L92" s="426">
        <f t="shared" si="193"/>
        <v>65.660000000000011</v>
      </c>
    </row>
    <row r="93" spans="2:13" ht="12" customHeight="1">
      <c r="B93" s="429">
        <v>146316</v>
      </c>
      <c r="C93" s="422">
        <v>43523</v>
      </c>
      <c r="D93" s="658" t="s">
        <v>192</v>
      </c>
      <c r="E93" s="658"/>
      <c r="F93" s="658"/>
      <c r="G93" s="423" t="s">
        <v>186</v>
      </c>
      <c r="H93" s="423" t="s">
        <v>182</v>
      </c>
      <c r="I93" s="424">
        <v>4.2514999999999997E-2</v>
      </c>
      <c r="J93" s="428">
        <v>0</v>
      </c>
      <c r="K93" s="425">
        <f>+L93</f>
        <v>83.329399999999993</v>
      </c>
      <c r="L93" s="426">
        <f t="shared" si="193"/>
        <v>83.329399999999993</v>
      </c>
    </row>
    <row r="94" spans="2:13" ht="12" customHeight="1">
      <c r="B94" s="429">
        <v>146313</v>
      </c>
      <c r="C94" s="422">
        <v>43523</v>
      </c>
      <c r="D94" s="658" t="s">
        <v>193</v>
      </c>
      <c r="E94" s="658"/>
      <c r="F94" s="658"/>
      <c r="G94" s="423" t="s">
        <v>182</v>
      </c>
      <c r="H94" s="423" t="s">
        <v>186</v>
      </c>
      <c r="I94" s="424">
        <v>2.0408163270000002E-2</v>
      </c>
      <c r="J94" s="425">
        <f>+L94</f>
        <v>40.000000009200001</v>
      </c>
      <c r="K94" s="428">
        <v>0</v>
      </c>
      <c r="L94" s="426">
        <f t="shared" si="193"/>
        <v>40.000000009200001</v>
      </c>
    </row>
    <row r="95" spans="2:13" ht="12" customHeight="1">
      <c r="B95" s="469">
        <v>151514</v>
      </c>
      <c r="C95" s="470">
        <v>43607</v>
      </c>
      <c r="D95" s="658" t="s">
        <v>196</v>
      </c>
      <c r="E95" s="658"/>
      <c r="F95" s="658"/>
      <c r="G95" s="423" t="s">
        <v>182</v>
      </c>
      <c r="H95" s="423" t="s">
        <v>197</v>
      </c>
      <c r="I95" s="471">
        <f>1/100</f>
        <v>0.01</v>
      </c>
      <c r="J95" s="425">
        <f>+L95</f>
        <v>19.600000000000001</v>
      </c>
      <c r="K95" s="428">
        <v>0</v>
      </c>
      <c r="L95" s="426">
        <f t="shared" ref="L95" si="194">+I95*$E$49</f>
        <v>19.600000000000001</v>
      </c>
    </row>
  </sheetData>
  <mergeCells count="53">
    <mergeCell ref="L81:L82"/>
    <mergeCell ref="M81:M82"/>
    <mergeCell ref="B59:D60"/>
    <mergeCell ref="J7:K7"/>
    <mergeCell ref="H7:I7"/>
    <mergeCell ref="J51:K51"/>
    <mergeCell ref="H51:I51"/>
    <mergeCell ref="B39:D40"/>
    <mergeCell ref="B61:D62"/>
    <mergeCell ref="B63:D64"/>
    <mergeCell ref="B65:D66"/>
    <mergeCell ref="B8:D8"/>
    <mergeCell ref="B9:D10"/>
    <mergeCell ref="B11:D12"/>
    <mergeCell ref="B13:D14"/>
    <mergeCell ref="B15:D16"/>
    <mergeCell ref="B17:D18"/>
    <mergeCell ref="B19:D20"/>
    <mergeCell ref="B21:D22"/>
    <mergeCell ref="B23:D24"/>
    <mergeCell ref="B52:D52"/>
    <mergeCell ref="B53:D54"/>
    <mergeCell ref="B55:D56"/>
    <mergeCell ref="B57:D58"/>
    <mergeCell ref="B73:D74"/>
    <mergeCell ref="B75:D76"/>
    <mergeCell ref="D93:F93"/>
    <mergeCell ref="D94:F94"/>
    <mergeCell ref="B86:I86"/>
    <mergeCell ref="D87:F87"/>
    <mergeCell ref="D88:F88"/>
    <mergeCell ref="D89:F89"/>
    <mergeCell ref="D90:F90"/>
    <mergeCell ref="D91:F91"/>
    <mergeCell ref="D92:F92"/>
    <mergeCell ref="F81:F82"/>
    <mergeCell ref="E81:E82"/>
    <mergeCell ref="D95:F95"/>
    <mergeCell ref="B1:E1"/>
    <mergeCell ref="B77:D78"/>
    <mergeCell ref="B79:D80"/>
    <mergeCell ref="B81:D82"/>
    <mergeCell ref="B25:D26"/>
    <mergeCell ref="B27:D28"/>
    <mergeCell ref="B29:D30"/>
    <mergeCell ref="B31:D32"/>
    <mergeCell ref="B33:D34"/>
    <mergeCell ref="B35:D36"/>
    <mergeCell ref="B37:D38"/>
    <mergeCell ref="B45:E45"/>
    <mergeCell ref="B67:D68"/>
    <mergeCell ref="B69:D70"/>
    <mergeCell ref="B71:D72"/>
  </mergeCells>
  <conditionalFormatting sqref="J8:K8 I87:L87 B86 J52:K80">
    <cfRule type="cellIs" dxfId="5" priority="27" operator="lessThan">
      <formula>0</formula>
    </cfRule>
  </conditionalFormatting>
  <conditionalFormatting sqref="J53:K80">
    <cfRule type="cellIs" dxfId="4" priority="24" operator="greaterThan">
      <formula>0</formula>
    </cfRule>
    <cfRule type="cellIs" dxfId="3" priority="25" operator="lessThan">
      <formula>0</formula>
    </cfRule>
  </conditionalFormatting>
  <conditionalFormatting sqref="H88:H94 J53:K80">
    <cfRule type="cellIs" dxfId="2" priority="17" operator="greaterThan">
      <formula>0</formula>
    </cfRule>
  </conditionalFormatting>
  <conditionalFormatting sqref="G88:G95">
    <cfRule type="cellIs" dxfId="1" priority="12" operator="greaterThan">
      <formula>0</formula>
    </cfRule>
  </conditionalFormatting>
  <conditionalFormatting sqref="H95">
    <cfRule type="cellIs" dxfId="0" priority="1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 anual</vt:lpstr>
      <vt:lpstr>P.Invest-Fauna Acomp</vt:lpstr>
      <vt:lpstr>Resumen periodo</vt:lpstr>
      <vt:lpstr>Control Cuota Artesanal III-IV</vt:lpstr>
      <vt:lpstr>FUP</vt:lpstr>
      <vt:lpstr>Control Cuota LTP III-IV</vt:lpstr>
      <vt:lpstr>Control Cuota Licitada V-VIII </vt:lpstr>
      <vt:lpstr>Movimientos_Ltp_Pep</vt:lpstr>
      <vt:lpstr>Hoja1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2019-05-22T23:26:33Z</dcterms:modified>
</cp:coreProperties>
</file>