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4368" yWindow="972" windowWidth="19260" windowHeight="9228" tabRatio="986"/>
  </bookViews>
  <sheets>
    <sheet name="Resumen anual" sheetId="7" r:id="rId1"/>
    <sheet name="Resumen periodo" sheetId="6" state="hidden" r:id="rId2"/>
    <sheet name="Control Cuota Artesanal III-IV" sheetId="2" r:id="rId3"/>
    <sheet name="FUP" sheetId="25" state="hidden" r:id="rId4"/>
    <sheet name="Control Cuota LTP III-IV" sheetId="11" r:id="rId5"/>
    <sheet name="Control Cuota Licitada V-VIII " sheetId="13" r:id="rId6"/>
    <sheet name="Pesca Invest_Fa" sheetId="27" r:id="rId7"/>
    <sheet name="Movimientos_Ltp_Pep" sheetId="20" r:id="rId8"/>
    <sheet name="Adjudicacione SSP" sheetId="26" r:id="rId9"/>
  </sheets>
  <externalReferences>
    <externalReference r:id="rId10"/>
    <externalReference r:id="rId11"/>
    <externalReference r:id="rId12"/>
  </externalReferences>
  <definedNames>
    <definedName name="_xlnm._FilterDatabase" localSheetId="7" hidden="1">Movimientos_Ltp_Pep!$B$98:$L$105</definedName>
    <definedName name="_xlnm.Print_Area" localSheetId="0">'Resumen anual'!$A$1:$I$14</definedName>
  </definedNames>
  <calcPr calcId="125725"/>
</workbook>
</file>

<file path=xl/calcChain.xml><?xml version="1.0" encoding="utf-8"?>
<calcChain xmlns="http://schemas.openxmlformats.org/spreadsheetml/2006/main">
  <c r="G51" i="13"/>
  <c r="F51"/>
  <c r="F46" i="11"/>
  <c r="F47"/>
  <c r="F48"/>
  <c r="F45"/>
  <c r="L11"/>
  <c r="G9" i="7"/>
  <c r="J21" i="27"/>
  <c r="I21"/>
  <c r="H21"/>
  <c r="G21"/>
  <c r="F21"/>
  <c r="E21"/>
  <c r="D21"/>
  <c r="D22" s="1"/>
  <c r="J20"/>
  <c r="J19"/>
  <c r="J18"/>
  <c r="J17"/>
  <c r="J16"/>
  <c r="J15"/>
  <c r="I10"/>
  <c r="F11" s="1"/>
  <c r="G24" i="7" s="1"/>
  <c r="H10" i="27"/>
  <c r="G10"/>
  <c r="F10"/>
  <c r="E10"/>
  <c r="D10"/>
  <c r="D11" s="1"/>
  <c r="G12" i="7" s="1"/>
  <c r="J9" i="27"/>
  <c r="J8"/>
  <c r="J7"/>
  <c r="J6"/>
  <c r="J5"/>
  <c r="J4"/>
  <c r="J10" s="1"/>
  <c r="F22" l="1"/>
  <c r="G23" i="7" s="1"/>
  <c r="E82" i="20"/>
  <c r="E74"/>
  <c r="E72"/>
  <c r="B19" i="26"/>
  <c r="A6"/>
  <c r="A7"/>
  <c r="A8"/>
  <c r="A9"/>
  <c r="A10"/>
  <c r="A11"/>
  <c r="A12"/>
  <c r="A13"/>
  <c r="A14"/>
  <c r="A15"/>
  <c r="A5"/>
  <c r="L44" i="20"/>
  <c r="J17"/>
  <c r="E78"/>
  <c r="E66"/>
  <c r="D49" i="11"/>
  <c r="E49"/>
  <c r="H10" i="6"/>
  <c r="H47" i="13"/>
  <c r="H48"/>
  <c r="H49"/>
  <c r="H50"/>
  <c r="H46"/>
  <c r="C30" i="2"/>
  <c r="E86" i="20"/>
  <c r="E84"/>
  <c r="E80"/>
  <c r="E76"/>
  <c r="E68"/>
  <c r="H15" i="11"/>
  <c r="J88" i="20"/>
  <c r="F49" i="11" l="1"/>
  <c r="E70" i="20"/>
  <c r="H51" i="13"/>
  <c r="H52" s="1"/>
  <c r="G52"/>
  <c r="J95" i="20"/>
  <c r="I106"/>
  <c r="O10" i="13" l="1"/>
  <c r="I10"/>
  <c r="O30"/>
  <c r="M10"/>
  <c r="M11"/>
  <c r="M13"/>
  <c r="M15"/>
  <c r="M17"/>
  <c r="M18"/>
  <c r="M19"/>
  <c r="M20"/>
  <c r="M21"/>
  <c r="M22"/>
  <c r="M23"/>
  <c r="M25"/>
  <c r="M26"/>
  <c r="M27"/>
  <c r="M28"/>
  <c r="M29"/>
  <c r="M31"/>
  <c r="M32"/>
  <c r="M33"/>
  <c r="M35"/>
  <c r="G10"/>
  <c r="G11"/>
  <c r="G13"/>
  <c r="G15"/>
  <c r="G17"/>
  <c r="G18"/>
  <c r="G19"/>
  <c r="G20"/>
  <c r="G21"/>
  <c r="G22"/>
  <c r="G23"/>
  <c r="G25"/>
  <c r="G26"/>
  <c r="G27"/>
  <c r="G28"/>
  <c r="G29"/>
  <c r="G30"/>
  <c r="G31"/>
  <c r="G32"/>
  <c r="G33"/>
  <c r="G35"/>
  <c r="O37"/>
  <c r="I37"/>
  <c r="E94" i="20" l="1"/>
  <c r="H68"/>
  <c r="F10" i="13" s="1"/>
  <c r="I68" i="20"/>
  <c r="L10" i="13" s="1"/>
  <c r="H69" i="20"/>
  <c r="F11" i="13" s="1"/>
  <c r="I69" i="20"/>
  <c r="L11" i="13" s="1"/>
  <c r="H70" i="20"/>
  <c r="F12" i="13" s="1"/>
  <c r="I70" i="20"/>
  <c r="L12" i="13" s="1"/>
  <c r="H71" i="20"/>
  <c r="F13" i="13" s="1"/>
  <c r="I71" i="20"/>
  <c r="L13" i="13" s="1"/>
  <c r="H72" i="20"/>
  <c r="I72"/>
  <c r="L14" i="13" s="1"/>
  <c r="H73" i="20"/>
  <c r="F15" i="13" s="1"/>
  <c r="I73" i="20"/>
  <c r="L15" i="13" s="1"/>
  <c r="H74" i="20"/>
  <c r="F16" i="13" s="1"/>
  <c r="I74" i="20"/>
  <c r="L16" i="13" s="1"/>
  <c r="H75" i="20"/>
  <c r="F17" i="13" s="1"/>
  <c r="I75" i="20"/>
  <c r="L17" i="13" s="1"/>
  <c r="H76" i="20"/>
  <c r="F18" i="13" s="1"/>
  <c r="I76" i="20"/>
  <c r="L18" i="13" s="1"/>
  <c r="H77" i="20"/>
  <c r="F19" i="13" s="1"/>
  <c r="I77" i="20"/>
  <c r="L19" i="13" s="1"/>
  <c r="H78" i="20"/>
  <c r="F20" i="13" s="1"/>
  <c r="I78" i="20"/>
  <c r="L20" i="13" s="1"/>
  <c r="H79" i="20"/>
  <c r="F21" i="13" s="1"/>
  <c r="I79" i="20"/>
  <c r="L21" i="13" s="1"/>
  <c r="H80" i="20"/>
  <c r="F22" i="13" s="1"/>
  <c r="I80" i="20"/>
  <c r="L22" i="13" s="1"/>
  <c r="H81" i="20"/>
  <c r="F23" i="13" s="1"/>
  <c r="I81" i="20"/>
  <c r="L23" i="13" s="1"/>
  <c r="H82" i="20"/>
  <c r="F24" i="13" s="1"/>
  <c r="I82" i="20"/>
  <c r="L24" i="13" s="1"/>
  <c r="H83" i="20"/>
  <c r="F25" i="13" s="1"/>
  <c r="I83" i="20"/>
  <c r="L25" i="13" s="1"/>
  <c r="H84" i="20"/>
  <c r="F26" i="13" s="1"/>
  <c r="I84" i="20"/>
  <c r="L26" i="13" s="1"/>
  <c r="H85" i="20"/>
  <c r="F27" i="13" s="1"/>
  <c r="I85" i="20"/>
  <c r="L27" i="13" s="1"/>
  <c r="H86" i="20"/>
  <c r="F28" i="13" s="1"/>
  <c r="I86" i="20"/>
  <c r="L28" i="13" s="1"/>
  <c r="H87" i="20"/>
  <c r="F29" i="13" s="1"/>
  <c r="I87" i="20"/>
  <c r="L29" i="13" s="1"/>
  <c r="H88" i="20"/>
  <c r="F30" i="13" s="1"/>
  <c r="I88" i="20"/>
  <c r="L30" i="13" s="1"/>
  <c r="H89" i="20"/>
  <c r="F31" i="13" s="1"/>
  <c r="I89" i="20"/>
  <c r="L31" i="13" s="1"/>
  <c r="H90" i="20"/>
  <c r="F32" i="13" s="1"/>
  <c r="I90" i="20"/>
  <c r="L32" i="13" s="1"/>
  <c r="H91" i="20"/>
  <c r="F33" i="13" s="1"/>
  <c r="I91" i="20"/>
  <c r="L33" i="13" s="1"/>
  <c r="H92" i="20"/>
  <c r="F34" i="13" s="1"/>
  <c r="I92" i="20"/>
  <c r="L34" i="13" s="1"/>
  <c r="H93" i="20"/>
  <c r="F35" i="13" s="1"/>
  <c r="I93" i="20"/>
  <c r="L35" i="13" s="1"/>
  <c r="I67" i="20"/>
  <c r="H67"/>
  <c r="I66"/>
  <c r="H66"/>
  <c r="F14" i="13"/>
  <c r="E12"/>
  <c r="E14"/>
  <c r="E16"/>
  <c r="E18"/>
  <c r="E20"/>
  <c r="E22"/>
  <c r="E24"/>
  <c r="E26"/>
  <c r="E28"/>
  <c r="E30"/>
  <c r="E32"/>
  <c r="E34"/>
  <c r="E10"/>
  <c r="E8"/>
  <c r="C10"/>
  <c r="C12"/>
  <c r="C14"/>
  <c r="C16"/>
  <c r="C18"/>
  <c r="C20"/>
  <c r="C22"/>
  <c r="C24"/>
  <c r="C26"/>
  <c r="C28"/>
  <c r="C30"/>
  <c r="C32"/>
  <c r="C34"/>
  <c r="C8"/>
  <c r="U19"/>
  <c r="U18"/>
  <c r="O18"/>
  <c r="H94" i="20" l="1"/>
  <c r="G67"/>
  <c r="G66"/>
  <c r="H95"/>
  <c r="I95"/>
  <c r="I94"/>
  <c r="AA18" i="13"/>
  <c r="E26" i="20" l="1"/>
  <c r="E10"/>
  <c r="E14"/>
  <c r="E18"/>
  <c r="E17"/>
  <c r="E23"/>
  <c r="F52" i="13"/>
  <c r="E52"/>
  <c r="D52"/>
  <c r="N21" i="11"/>
  <c r="N11"/>
  <c r="O16" i="13"/>
  <c r="O14"/>
  <c r="O12"/>
  <c r="O8"/>
  <c r="I8"/>
  <c r="I12"/>
  <c r="I14"/>
  <c r="I16"/>
  <c r="N15" i="11"/>
  <c r="N7"/>
  <c r="H17" i="2"/>
  <c r="H15"/>
  <c r="H13"/>
  <c r="H11"/>
  <c r="H9"/>
  <c r="H19" l="1"/>
  <c r="E40" i="20"/>
  <c r="D53" i="13"/>
  <c r="F53"/>
  <c r="O36"/>
  <c r="I36"/>
  <c r="N37" i="11"/>
  <c r="E39" i="20"/>
  <c r="E19" i="2" l="1"/>
  <c r="H20" l="1"/>
  <c r="F20"/>
  <c r="F19"/>
  <c r="E20"/>
  <c r="N19" l="1"/>
  <c r="M19"/>
  <c r="G19" l="1"/>
  <c r="I19" s="1"/>
  <c r="U8" i="13" l="1"/>
  <c r="L8"/>
  <c r="L36" s="1"/>
  <c r="D62" i="20"/>
  <c r="C62"/>
  <c r="E61"/>
  <c r="E60"/>
  <c r="J106" l="1"/>
  <c r="J92" s="1"/>
  <c r="G34" i="13" s="1"/>
  <c r="J103" i="20"/>
  <c r="J72" s="1"/>
  <c r="G14" i="13" s="1"/>
  <c r="J99" i="20"/>
  <c r="K106"/>
  <c r="K92" s="1"/>
  <c r="M34" i="13" s="1"/>
  <c r="K103" i="20"/>
  <c r="K72" s="1"/>
  <c r="M14" i="13" s="1"/>
  <c r="K99" i="20"/>
  <c r="S19" i="13"/>
  <c r="G9"/>
  <c r="G37" s="1"/>
  <c r="M9"/>
  <c r="M37" s="1"/>
  <c r="L9"/>
  <c r="L37" s="1"/>
  <c r="F9"/>
  <c r="F37" s="1"/>
  <c r="E62" i="20"/>
  <c r="K95"/>
  <c r="J82" l="1"/>
  <c r="G24" i="13" s="1"/>
  <c r="L106" i="20"/>
  <c r="L100"/>
  <c r="K100" s="1"/>
  <c r="L104"/>
  <c r="K104" s="1"/>
  <c r="K74" s="1"/>
  <c r="M16" i="13" s="1"/>
  <c r="L103" i="20"/>
  <c r="L102"/>
  <c r="J102" s="1"/>
  <c r="L99"/>
  <c r="L101"/>
  <c r="K101" s="1"/>
  <c r="L105"/>
  <c r="J105" s="1"/>
  <c r="K82"/>
  <c r="M24" i="13" s="1"/>
  <c r="S18"/>
  <c r="Y18" s="1"/>
  <c r="F82" i="20"/>
  <c r="F90"/>
  <c r="L90" s="1"/>
  <c r="M90" s="1"/>
  <c r="F70"/>
  <c r="F86"/>
  <c r="L86" s="1"/>
  <c r="M86" s="1"/>
  <c r="F68"/>
  <c r="L68" s="1"/>
  <c r="M68" s="1"/>
  <c r="F76"/>
  <c r="L76" s="1"/>
  <c r="M76" s="1"/>
  <c r="F84"/>
  <c r="L84" s="1"/>
  <c r="M84" s="1"/>
  <c r="F92"/>
  <c r="F74"/>
  <c r="F72"/>
  <c r="L72" s="1"/>
  <c r="M72" s="1"/>
  <c r="F80"/>
  <c r="L80" s="1"/>
  <c r="M80" s="1"/>
  <c r="F88"/>
  <c r="F78"/>
  <c r="L78" s="1"/>
  <c r="M78" s="1"/>
  <c r="F66"/>
  <c r="R19" i="13"/>
  <c r="N18"/>
  <c r="P18" s="1"/>
  <c r="G69" i="20"/>
  <c r="G68"/>
  <c r="F8" i="13"/>
  <c r="F36" s="1"/>
  <c r="K70" i="20" l="1"/>
  <c r="M12" i="13" s="1"/>
  <c r="J74" i="20"/>
  <c r="G16" i="13" s="1"/>
  <c r="L92" i="20"/>
  <c r="M92" s="1"/>
  <c r="J70"/>
  <c r="G12" i="13" s="1"/>
  <c r="J66" i="20"/>
  <c r="K66"/>
  <c r="K88"/>
  <c r="M30" i="13" s="1"/>
  <c r="L82" i="20"/>
  <c r="M82" s="1"/>
  <c r="F94"/>
  <c r="H18" i="13"/>
  <c r="J18" s="1"/>
  <c r="H19" s="1"/>
  <c r="J19" s="1"/>
  <c r="R18"/>
  <c r="N19"/>
  <c r="P19" s="1"/>
  <c r="L70" i="20" l="1"/>
  <c r="M70" s="1"/>
  <c r="K94"/>
  <c r="M8" i="13"/>
  <c r="M36" s="1"/>
  <c r="J94" i="20"/>
  <c r="G8" i="13"/>
  <c r="L66" i="20"/>
  <c r="M66" s="1"/>
  <c r="L74"/>
  <c r="M74" s="1"/>
  <c r="L88"/>
  <c r="M88" s="1"/>
  <c r="X18" i="13"/>
  <c r="Z18" s="1"/>
  <c r="T18"/>
  <c r="V18" s="1"/>
  <c r="T19" s="1"/>
  <c r="V19" s="1"/>
  <c r="C11" i="11"/>
  <c r="C13"/>
  <c r="C15"/>
  <c r="C17"/>
  <c r="C19"/>
  <c r="C21"/>
  <c r="C23"/>
  <c r="C25"/>
  <c r="C27"/>
  <c r="C29"/>
  <c r="C31"/>
  <c r="C33"/>
  <c r="C35"/>
  <c r="C9"/>
  <c r="C7"/>
  <c r="M94" i="20" l="1"/>
  <c r="L94"/>
  <c r="G36" i="13"/>
  <c r="S8"/>
  <c r="AC18"/>
  <c r="AB18"/>
  <c r="D4" i="20"/>
  <c r="C4"/>
  <c r="D3"/>
  <c r="C3"/>
  <c r="K40"/>
  <c r="J40"/>
  <c r="H14" l="1"/>
  <c r="H18"/>
  <c r="H22"/>
  <c r="H26"/>
  <c r="H30"/>
  <c r="H34"/>
  <c r="H38"/>
  <c r="H20"/>
  <c r="H24"/>
  <c r="H32"/>
  <c r="H10"/>
  <c r="H16"/>
  <c r="H28"/>
  <c r="H36"/>
  <c r="H12"/>
  <c r="I14"/>
  <c r="I18"/>
  <c r="I22"/>
  <c r="I26"/>
  <c r="I30"/>
  <c r="I34"/>
  <c r="I38"/>
  <c r="I12"/>
  <c r="I16"/>
  <c r="I20"/>
  <c r="I28"/>
  <c r="I32"/>
  <c r="I24"/>
  <c r="I36"/>
  <c r="I10"/>
  <c r="I37"/>
  <c r="I9"/>
  <c r="I11"/>
  <c r="I19"/>
  <c r="I27"/>
  <c r="I35"/>
  <c r="I13"/>
  <c r="I17"/>
  <c r="I21"/>
  <c r="I25"/>
  <c r="I29"/>
  <c r="I33"/>
  <c r="I15"/>
  <c r="I23"/>
  <c r="I31"/>
  <c r="H9"/>
  <c r="H17"/>
  <c r="H25"/>
  <c r="H37"/>
  <c r="H15"/>
  <c r="H23"/>
  <c r="H27"/>
  <c r="H35"/>
  <c r="H13"/>
  <c r="H21"/>
  <c r="H29"/>
  <c r="H33"/>
  <c r="H19"/>
  <c r="H31"/>
  <c r="H11"/>
  <c r="G74"/>
  <c r="E4"/>
  <c r="D5"/>
  <c r="C5"/>
  <c r="E3"/>
  <c r="K48" l="1"/>
  <c r="K49"/>
  <c r="K46"/>
  <c r="K50"/>
  <c r="K45"/>
  <c r="K47"/>
  <c r="K27" s="1"/>
  <c r="L25" i="11" s="1"/>
  <c r="K51" i="20"/>
  <c r="K44"/>
  <c r="J47"/>
  <c r="J51"/>
  <c r="J48"/>
  <c r="J33" s="1"/>
  <c r="J49"/>
  <c r="J46"/>
  <c r="J50"/>
  <c r="J45"/>
  <c r="F15" i="11" s="1"/>
  <c r="J44" i="20"/>
  <c r="G10"/>
  <c r="G9"/>
  <c r="G72"/>
  <c r="G85"/>
  <c r="G92"/>
  <c r="G82"/>
  <c r="G84"/>
  <c r="G86"/>
  <c r="G88"/>
  <c r="G81"/>
  <c r="G71"/>
  <c r="G75"/>
  <c r="G83"/>
  <c r="G87"/>
  <c r="G80"/>
  <c r="G90"/>
  <c r="G78"/>
  <c r="G70"/>
  <c r="G76"/>
  <c r="E5"/>
  <c r="L20" i="11"/>
  <c r="L24"/>
  <c r="L36"/>
  <c r="F32"/>
  <c r="F17"/>
  <c r="L17"/>
  <c r="F18"/>
  <c r="L18"/>
  <c r="F19"/>
  <c r="L19"/>
  <c r="F20"/>
  <c r="F21"/>
  <c r="L21"/>
  <c r="F22"/>
  <c r="L22"/>
  <c r="F23"/>
  <c r="L23"/>
  <c r="F24"/>
  <c r="F26"/>
  <c r="L26"/>
  <c r="F27"/>
  <c r="L27"/>
  <c r="F28"/>
  <c r="L28"/>
  <c r="F29"/>
  <c r="L29"/>
  <c r="F30"/>
  <c r="L30"/>
  <c r="F31"/>
  <c r="L32"/>
  <c r="F33"/>
  <c r="L33"/>
  <c r="F34"/>
  <c r="L34"/>
  <c r="F36"/>
  <c r="F11"/>
  <c r="F12"/>
  <c r="L12"/>
  <c r="F13"/>
  <c r="L13"/>
  <c r="F14"/>
  <c r="L14"/>
  <c r="F16"/>
  <c r="L16"/>
  <c r="L9"/>
  <c r="L10"/>
  <c r="F10"/>
  <c r="L8"/>
  <c r="F8"/>
  <c r="L49" i="20" l="1"/>
  <c r="L46"/>
  <c r="L50"/>
  <c r="L45"/>
  <c r="L47"/>
  <c r="L51"/>
  <c r="L48"/>
  <c r="J37"/>
  <c r="F35" i="11" s="1"/>
  <c r="J9" i="20"/>
  <c r="K9"/>
  <c r="K37"/>
  <c r="L35" i="11" s="1"/>
  <c r="J27" i="20"/>
  <c r="F25" i="11" s="1"/>
  <c r="K17" i="20"/>
  <c r="L15" i="11" s="1"/>
  <c r="K33" i="20"/>
  <c r="L31" i="11" s="1"/>
  <c r="F15" i="20"/>
  <c r="F23"/>
  <c r="F31"/>
  <c r="F9"/>
  <c r="F13"/>
  <c r="F21"/>
  <c r="F37"/>
  <c r="F11"/>
  <c r="F19"/>
  <c r="F35"/>
  <c r="F17"/>
  <c r="F33"/>
  <c r="F29"/>
  <c r="F27"/>
  <c r="F25"/>
  <c r="G91"/>
  <c r="G94"/>
  <c r="G89"/>
  <c r="G77"/>
  <c r="G73"/>
  <c r="G93"/>
  <c r="G79"/>
  <c r="J39" l="1"/>
  <c r="L9"/>
  <c r="K39"/>
  <c r="F39"/>
  <c r="G95"/>
  <c r="U16" i="13" l="1"/>
  <c r="U9" l="1"/>
  <c r="AA8" l="1"/>
  <c r="F9" i="11" l="1"/>
  <c r="L7"/>
  <c r="F7"/>
  <c r="K36" l="1"/>
  <c r="E36"/>
  <c r="K35"/>
  <c r="E35"/>
  <c r="E34"/>
  <c r="K33"/>
  <c r="E33"/>
  <c r="L35" i="20"/>
  <c r="M35" s="1"/>
  <c r="K32" i="11"/>
  <c r="E32"/>
  <c r="K31"/>
  <c r="E31"/>
  <c r="K30"/>
  <c r="E30"/>
  <c r="K29"/>
  <c r="E29"/>
  <c r="K28"/>
  <c r="E28"/>
  <c r="E27"/>
  <c r="K26"/>
  <c r="E26"/>
  <c r="K25"/>
  <c r="E25"/>
  <c r="K24"/>
  <c r="E24"/>
  <c r="K23"/>
  <c r="E23"/>
  <c r="K22"/>
  <c r="E22"/>
  <c r="K21"/>
  <c r="E21"/>
  <c r="L23" i="20"/>
  <c r="M23" s="1"/>
  <c r="K20" i="11"/>
  <c r="E20"/>
  <c r="K19"/>
  <c r="E19"/>
  <c r="K18"/>
  <c r="E18"/>
  <c r="K17"/>
  <c r="E17"/>
  <c r="E16"/>
  <c r="K16"/>
  <c r="K14"/>
  <c r="E14"/>
  <c r="K13"/>
  <c r="E13"/>
  <c r="L13" i="20"/>
  <c r="M13" s="1"/>
  <c r="E12" i="11"/>
  <c r="K10"/>
  <c r="E10"/>
  <c r="E9"/>
  <c r="L11" i="20"/>
  <c r="L33"/>
  <c r="M33" s="1"/>
  <c r="B18" i="7"/>
  <c r="N38" i="11"/>
  <c r="L38"/>
  <c r="L37"/>
  <c r="H38"/>
  <c r="H37"/>
  <c r="F38"/>
  <c r="F37"/>
  <c r="T30"/>
  <c r="R30"/>
  <c r="T29"/>
  <c r="T28"/>
  <c r="R28"/>
  <c r="T27"/>
  <c r="R27"/>
  <c r="T24"/>
  <c r="R24"/>
  <c r="T23"/>
  <c r="R23"/>
  <c r="T20"/>
  <c r="R20"/>
  <c r="T19"/>
  <c r="R19"/>
  <c r="R17"/>
  <c r="T17"/>
  <c r="R18"/>
  <c r="T18"/>
  <c r="T16"/>
  <c r="R16"/>
  <c r="T15"/>
  <c r="T14"/>
  <c r="R14"/>
  <c r="T13"/>
  <c r="R13"/>
  <c r="T12"/>
  <c r="R12"/>
  <c r="T11"/>
  <c r="R11"/>
  <c r="M19" l="1"/>
  <c r="O19" s="1"/>
  <c r="G19"/>
  <c r="I19" s="1"/>
  <c r="M23"/>
  <c r="P23" s="1"/>
  <c r="G17"/>
  <c r="Q17"/>
  <c r="S17" s="1"/>
  <c r="U17" s="1"/>
  <c r="Q30"/>
  <c r="Q28"/>
  <c r="M13"/>
  <c r="Q13"/>
  <c r="S13" s="1"/>
  <c r="U13" s="1"/>
  <c r="Q14"/>
  <c r="Q18"/>
  <c r="M17"/>
  <c r="G23"/>
  <c r="G36" i="20"/>
  <c r="K34" i="11"/>
  <c r="G13"/>
  <c r="G27"/>
  <c r="M29"/>
  <c r="G29" i="20"/>
  <c r="K27" i="11"/>
  <c r="G11" i="20"/>
  <c r="K9" i="11"/>
  <c r="Q29"/>
  <c r="Z27"/>
  <c r="G25" i="20"/>
  <c r="G12"/>
  <c r="G35"/>
  <c r="G34"/>
  <c r="G15"/>
  <c r="G19"/>
  <c r="G21"/>
  <c r="G18"/>
  <c r="G22"/>
  <c r="G24"/>
  <c r="G28"/>
  <c r="G16"/>
  <c r="G37"/>
  <c r="G23"/>
  <c r="Z23" i="11"/>
  <c r="Z15"/>
  <c r="Z11"/>
  <c r="G30" i="20"/>
  <c r="G26"/>
  <c r="G31"/>
  <c r="G33"/>
  <c r="M9"/>
  <c r="G27"/>
  <c r="G32"/>
  <c r="G20"/>
  <c r="G38"/>
  <c r="M11"/>
  <c r="K8" i="11"/>
  <c r="L17" i="20"/>
  <c r="M17" s="1"/>
  <c r="L29"/>
  <c r="M29" s="1"/>
  <c r="L37"/>
  <c r="M37" s="1"/>
  <c r="E8" i="11"/>
  <c r="E11"/>
  <c r="K15"/>
  <c r="L19" i="20"/>
  <c r="M19" s="1"/>
  <c r="L27"/>
  <c r="M27" s="1"/>
  <c r="L31"/>
  <c r="M31" s="1"/>
  <c r="K7" i="11"/>
  <c r="E7"/>
  <c r="K11"/>
  <c r="L15" i="20"/>
  <c r="M15" s="1"/>
  <c r="L25"/>
  <c r="M25" s="1"/>
  <c r="E15" i="11"/>
  <c r="L21" i="20"/>
  <c r="M21" s="1"/>
  <c r="X27" i="11"/>
  <c r="Z19"/>
  <c r="Q24"/>
  <c r="Q16"/>
  <c r="R29"/>
  <c r="X29" s="1"/>
  <c r="Z13"/>
  <c r="Z29"/>
  <c r="G29"/>
  <c r="Q19"/>
  <c r="Q20"/>
  <c r="Q23"/>
  <c r="S23" s="1"/>
  <c r="X23"/>
  <c r="X13"/>
  <c r="X19"/>
  <c r="X17"/>
  <c r="Z17"/>
  <c r="X11"/>
  <c r="T10"/>
  <c r="R10"/>
  <c r="Q10"/>
  <c r="T9"/>
  <c r="R9"/>
  <c r="G9"/>
  <c r="J13" l="1"/>
  <c r="O17"/>
  <c r="O13"/>
  <c r="I17"/>
  <c r="G18" s="1"/>
  <c r="J19"/>
  <c r="P19"/>
  <c r="O23"/>
  <c r="J27"/>
  <c r="I23"/>
  <c r="S18"/>
  <c r="U18" s="1"/>
  <c r="M9"/>
  <c r="P13"/>
  <c r="O29"/>
  <c r="W17"/>
  <c r="P17"/>
  <c r="J17"/>
  <c r="P29"/>
  <c r="Q9"/>
  <c r="W9" s="1"/>
  <c r="Q11"/>
  <c r="S11" s="1"/>
  <c r="V11" s="1"/>
  <c r="I13"/>
  <c r="W29"/>
  <c r="S14"/>
  <c r="U14" s="1"/>
  <c r="W13"/>
  <c r="J23"/>
  <c r="G24"/>
  <c r="K37"/>
  <c r="M37" s="1"/>
  <c r="O37" s="1"/>
  <c r="M11"/>
  <c r="G11"/>
  <c r="I27"/>
  <c r="M27"/>
  <c r="Q27"/>
  <c r="Q15"/>
  <c r="W15" s="1"/>
  <c r="E37"/>
  <c r="E38"/>
  <c r="G14" i="20"/>
  <c r="K12" i="11"/>
  <c r="G15"/>
  <c r="Z9"/>
  <c r="W19"/>
  <c r="M20"/>
  <c r="G20"/>
  <c r="I9"/>
  <c r="G17" i="20"/>
  <c r="I40"/>
  <c r="L39"/>
  <c r="M39"/>
  <c r="H40"/>
  <c r="H39"/>
  <c r="I39"/>
  <c r="G13"/>
  <c r="S29" i="11"/>
  <c r="U29" s="1"/>
  <c r="S30" s="1"/>
  <c r="U30" s="1"/>
  <c r="S19"/>
  <c r="V19" s="1"/>
  <c r="W23"/>
  <c r="I29"/>
  <c r="J29"/>
  <c r="V17"/>
  <c r="V13"/>
  <c r="U23"/>
  <c r="S24" s="1"/>
  <c r="V23"/>
  <c r="X9"/>
  <c r="J9"/>
  <c r="O9" l="1"/>
  <c r="M10" s="1"/>
  <c r="M24"/>
  <c r="G28"/>
  <c r="I28" s="1"/>
  <c r="M18"/>
  <c r="M14"/>
  <c r="O20"/>
  <c r="I20"/>
  <c r="P9"/>
  <c r="V18"/>
  <c r="V14"/>
  <c r="Y17"/>
  <c r="S9"/>
  <c r="U9" s="1"/>
  <c r="S10" s="1"/>
  <c r="U10" s="1"/>
  <c r="G14"/>
  <c r="J15"/>
  <c r="J24"/>
  <c r="M30"/>
  <c r="I15"/>
  <c r="I24"/>
  <c r="U11"/>
  <c r="Y29"/>
  <c r="Y13"/>
  <c r="Y19"/>
  <c r="O27"/>
  <c r="P27"/>
  <c r="Q12"/>
  <c r="W11" s="1"/>
  <c r="O11"/>
  <c r="P11"/>
  <c r="W27"/>
  <c r="S27"/>
  <c r="I11"/>
  <c r="J11"/>
  <c r="G40" i="20"/>
  <c r="K38" i="11"/>
  <c r="M38" s="1"/>
  <c r="O38" s="1"/>
  <c r="Y23"/>
  <c r="V30"/>
  <c r="P20"/>
  <c r="J20"/>
  <c r="J18"/>
  <c r="I18"/>
  <c r="U19"/>
  <c r="S20" s="1"/>
  <c r="V20" s="1"/>
  <c r="G10"/>
  <c r="G30"/>
  <c r="G39" i="20"/>
  <c r="V29" i="11"/>
  <c r="Y9"/>
  <c r="U24"/>
  <c r="V24"/>
  <c r="J28" l="1"/>
  <c r="J14"/>
  <c r="P24"/>
  <c r="O24"/>
  <c r="O14"/>
  <c r="P14"/>
  <c r="O18"/>
  <c r="P18"/>
  <c r="AA23"/>
  <c r="AB19"/>
  <c r="V10"/>
  <c r="I14"/>
  <c r="AA17"/>
  <c r="V9"/>
  <c r="S12"/>
  <c r="V12" s="1"/>
  <c r="P10"/>
  <c r="P30"/>
  <c r="AB17"/>
  <c r="AA19"/>
  <c r="O10"/>
  <c r="O30"/>
  <c r="AA29"/>
  <c r="AB29"/>
  <c r="G16"/>
  <c r="AB13"/>
  <c r="AA13"/>
  <c r="M12"/>
  <c r="U27"/>
  <c r="S28" s="1"/>
  <c r="V27"/>
  <c r="Y11"/>
  <c r="M28"/>
  <c r="Y27"/>
  <c r="G12"/>
  <c r="AB23"/>
  <c r="U20"/>
  <c r="J10"/>
  <c r="I10"/>
  <c r="AA9"/>
  <c r="I30"/>
  <c r="J30"/>
  <c r="AB9"/>
  <c r="U12" l="1"/>
  <c r="I16"/>
  <c r="J16"/>
  <c r="AB27"/>
  <c r="AA27"/>
  <c r="AA11"/>
  <c r="AB11"/>
  <c r="O12"/>
  <c r="P12"/>
  <c r="O28"/>
  <c r="P28"/>
  <c r="V28"/>
  <c r="U28"/>
  <c r="J12"/>
  <c r="I12"/>
  <c r="J26" i="6"/>
  <c r="G26"/>
  <c r="U31" i="13"/>
  <c r="S31"/>
  <c r="U30"/>
  <c r="AA30" l="1"/>
  <c r="I26" i="6"/>
  <c r="U35" i="13" l="1"/>
  <c r="S35"/>
  <c r="U34"/>
  <c r="U33"/>
  <c r="S33"/>
  <c r="U32"/>
  <c r="AA34" l="1"/>
  <c r="AA32"/>
  <c r="H9" i="6" l="1"/>
  <c r="H8"/>
  <c r="H6"/>
  <c r="U25" i="13"/>
  <c r="S25"/>
  <c r="U24"/>
  <c r="AA24" l="1"/>
  <c r="F23" i="7" l="1"/>
  <c r="I23" s="1"/>
  <c r="B3" i="2"/>
  <c r="B3" i="11"/>
  <c r="B3" i="13"/>
  <c r="B20" i="6"/>
  <c r="B4"/>
  <c r="H23" i="7" l="1"/>
  <c r="G20" i="2"/>
  <c r="J19"/>
  <c r="F12" i="7"/>
  <c r="F24"/>
  <c r="I24" s="1"/>
  <c r="H25" i="6"/>
  <c r="H24"/>
  <c r="F23"/>
  <c r="H23"/>
  <c r="H22"/>
  <c r="F14"/>
  <c r="I20" i="2" l="1"/>
  <c r="J20"/>
  <c r="G22" i="7"/>
  <c r="G21"/>
  <c r="H24"/>
  <c r="G25" l="1"/>
  <c r="E13"/>
  <c r="F13" s="1"/>
  <c r="H13" s="1"/>
  <c r="I12"/>
  <c r="U29" i="13"/>
  <c r="S29"/>
  <c r="U28"/>
  <c r="U27"/>
  <c r="S27"/>
  <c r="U26"/>
  <c r="U23"/>
  <c r="S23"/>
  <c r="U22"/>
  <c r="U21"/>
  <c r="S21"/>
  <c r="U20"/>
  <c r="U17"/>
  <c r="S17"/>
  <c r="U15"/>
  <c r="U14"/>
  <c r="U13"/>
  <c r="S13"/>
  <c r="U12"/>
  <c r="U11"/>
  <c r="S11"/>
  <c r="U10"/>
  <c r="U37" l="1"/>
  <c r="U36"/>
  <c r="AA12"/>
  <c r="AA16"/>
  <c r="AA22"/>
  <c r="AA14"/>
  <c r="AA20"/>
  <c r="AA26"/>
  <c r="H12" i="7"/>
  <c r="AA28" i="13"/>
  <c r="AA10"/>
  <c r="AA36" l="1"/>
  <c r="H12" i="6"/>
  <c r="F12"/>
  <c r="H11"/>
  <c r="H27"/>
  <c r="I52" i="13" l="1"/>
  <c r="G10" i="7"/>
  <c r="R7" i="11" l="1"/>
  <c r="T7"/>
  <c r="R8"/>
  <c r="T8"/>
  <c r="G21"/>
  <c r="M21"/>
  <c r="R21"/>
  <c r="T21"/>
  <c r="R22"/>
  <c r="T22"/>
  <c r="G25"/>
  <c r="M25"/>
  <c r="Q25"/>
  <c r="R25"/>
  <c r="T25"/>
  <c r="Q26"/>
  <c r="R26"/>
  <c r="T26"/>
  <c r="G31"/>
  <c r="M31"/>
  <c r="R31"/>
  <c r="T31"/>
  <c r="R32"/>
  <c r="T32"/>
  <c r="G33"/>
  <c r="M33"/>
  <c r="Q33"/>
  <c r="R33"/>
  <c r="T33"/>
  <c r="Q34"/>
  <c r="R34"/>
  <c r="T34"/>
  <c r="G35"/>
  <c r="M35"/>
  <c r="Q35"/>
  <c r="R35"/>
  <c r="T35"/>
  <c r="Q36"/>
  <c r="R36"/>
  <c r="T36"/>
  <c r="T38" l="1"/>
  <c r="H14" i="6" s="1"/>
  <c r="O35" i="11"/>
  <c r="P33"/>
  <c r="P31"/>
  <c r="O25"/>
  <c r="P25"/>
  <c r="O21"/>
  <c r="I35"/>
  <c r="J33"/>
  <c r="R38"/>
  <c r="I21"/>
  <c r="J25"/>
  <c r="T37"/>
  <c r="H13" i="6" s="1"/>
  <c r="X21" i="11"/>
  <c r="Q32"/>
  <c r="G7"/>
  <c r="E14" i="6"/>
  <c r="E12"/>
  <c r="M7" i="11"/>
  <c r="X25"/>
  <c r="S33"/>
  <c r="V33" s="1"/>
  <c r="Q8"/>
  <c r="S35"/>
  <c r="U35" s="1"/>
  <c r="S36" s="1"/>
  <c r="Z31"/>
  <c r="O31"/>
  <c r="I31"/>
  <c r="I25"/>
  <c r="Q7"/>
  <c r="J35"/>
  <c r="Q31"/>
  <c r="P35"/>
  <c r="X7"/>
  <c r="S25"/>
  <c r="W25"/>
  <c r="Z25"/>
  <c r="X35"/>
  <c r="W33"/>
  <c r="O33"/>
  <c r="Q22"/>
  <c r="P21"/>
  <c r="Z35"/>
  <c r="X33"/>
  <c r="I33"/>
  <c r="Q21"/>
  <c r="W35"/>
  <c r="X31"/>
  <c r="J21"/>
  <c r="Z21"/>
  <c r="Z7"/>
  <c r="Z33"/>
  <c r="P7" l="1"/>
  <c r="Q37"/>
  <c r="Q38"/>
  <c r="M36"/>
  <c r="M34"/>
  <c r="M26"/>
  <c r="M22"/>
  <c r="O7"/>
  <c r="G36"/>
  <c r="G34"/>
  <c r="G22"/>
  <c r="I7"/>
  <c r="G37"/>
  <c r="I37" s="1"/>
  <c r="M32"/>
  <c r="G32"/>
  <c r="U25"/>
  <c r="S26" s="1"/>
  <c r="U26" s="1"/>
  <c r="V25"/>
  <c r="G26"/>
  <c r="Z37"/>
  <c r="W31"/>
  <c r="J7"/>
  <c r="G11" i="7"/>
  <c r="E13" i="6"/>
  <c r="E11"/>
  <c r="U33" i="11"/>
  <c r="S34" s="1"/>
  <c r="V34" s="1"/>
  <c r="Y25"/>
  <c r="V35"/>
  <c r="U36"/>
  <c r="W7"/>
  <c r="S7"/>
  <c r="S31"/>
  <c r="Y35"/>
  <c r="S21"/>
  <c r="W21"/>
  <c r="Y33"/>
  <c r="W37" l="1"/>
  <c r="W39" s="1"/>
  <c r="G8"/>
  <c r="I8" s="1"/>
  <c r="O34"/>
  <c r="I34"/>
  <c r="P22"/>
  <c r="M8"/>
  <c r="P36"/>
  <c r="O36"/>
  <c r="P34"/>
  <c r="O32"/>
  <c r="P32"/>
  <c r="P26"/>
  <c r="O26"/>
  <c r="O22"/>
  <c r="I36"/>
  <c r="AA35"/>
  <c r="J34"/>
  <c r="AA33"/>
  <c r="AB33"/>
  <c r="I32"/>
  <c r="J32"/>
  <c r="J31"/>
  <c r="J26"/>
  <c r="I22"/>
  <c r="J22"/>
  <c r="V26"/>
  <c r="AA25"/>
  <c r="AB25"/>
  <c r="I26"/>
  <c r="U34"/>
  <c r="Y31"/>
  <c r="R15"/>
  <c r="R37" s="1"/>
  <c r="M15"/>
  <c r="D10" i="7"/>
  <c r="D11"/>
  <c r="Y7" i="11"/>
  <c r="U7"/>
  <c r="S8" s="1"/>
  <c r="V7"/>
  <c r="U31"/>
  <c r="S32" s="1"/>
  <c r="U21"/>
  <c r="V21"/>
  <c r="Y21"/>
  <c r="P8" l="1"/>
  <c r="G38"/>
  <c r="I38" s="1"/>
  <c r="J8"/>
  <c r="O8"/>
  <c r="AA31"/>
  <c r="AB31"/>
  <c r="X15"/>
  <c r="S15"/>
  <c r="O15"/>
  <c r="P15"/>
  <c r="AA7"/>
  <c r="AB7"/>
  <c r="V8"/>
  <c r="U8"/>
  <c r="U32"/>
  <c r="AA21"/>
  <c r="AB21"/>
  <c r="S22"/>
  <c r="Y15" l="1"/>
  <c r="X37"/>
  <c r="M16"/>
  <c r="U15"/>
  <c r="S16" s="1"/>
  <c r="V15"/>
  <c r="U22"/>
  <c r="V22"/>
  <c r="AA15" l="1"/>
  <c r="O16"/>
  <c r="AB15"/>
  <c r="Y37"/>
  <c r="P16"/>
  <c r="U16"/>
  <c r="V16"/>
  <c r="F11" i="6"/>
  <c r="S37" i="11"/>
  <c r="F13" i="6"/>
  <c r="AA37" i="11" l="1"/>
  <c r="P37"/>
  <c r="E11" i="7"/>
  <c r="G13" i="6"/>
  <c r="E10" i="7"/>
  <c r="G11" i="6"/>
  <c r="U37" i="11"/>
  <c r="S38" s="1"/>
  <c r="V37"/>
  <c r="J37"/>
  <c r="F11" i="7" l="1"/>
  <c r="I11" s="1"/>
  <c r="U38" i="11"/>
  <c r="V38"/>
  <c r="J13" i="6"/>
  <c r="I13"/>
  <c r="G14" s="1"/>
  <c r="P38" i="11"/>
  <c r="J38"/>
  <c r="F10" i="7"/>
  <c r="I11" i="6"/>
  <c r="G12" s="1"/>
  <c r="J11"/>
  <c r="AB37" i="11"/>
  <c r="E9" i="7"/>
  <c r="H7" i="6"/>
  <c r="H15" s="1"/>
  <c r="F6"/>
  <c r="F7"/>
  <c r="F8"/>
  <c r="F9"/>
  <c r="E9"/>
  <c r="E8"/>
  <c r="E7"/>
  <c r="E6"/>
  <c r="H11" i="7" l="1"/>
  <c r="F15" i="6"/>
  <c r="E15"/>
  <c r="J12"/>
  <c r="I12"/>
  <c r="I10" i="7"/>
  <c r="H10"/>
  <c r="I14" i="6"/>
  <c r="J14"/>
  <c r="G8"/>
  <c r="G6"/>
  <c r="E7" i="7"/>
  <c r="G7"/>
  <c r="D7"/>
  <c r="D8"/>
  <c r="E8"/>
  <c r="G8"/>
  <c r="G14" s="1"/>
  <c r="E14" l="1"/>
  <c r="D14"/>
  <c r="G15" i="6"/>
  <c r="I15" s="1"/>
  <c r="F9" i="7"/>
  <c r="P17" i="2"/>
  <c r="N17"/>
  <c r="M17"/>
  <c r="G17"/>
  <c r="P11"/>
  <c r="N11"/>
  <c r="M11"/>
  <c r="G11"/>
  <c r="P9"/>
  <c r="M9"/>
  <c r="N9"/>
  <c r="P15"/>
  <c r="N15"/>
  <c r="M15"/>
  <c r="G15"/>
  <c r="P13"/>
  <c r="N13"/>
  <c r="M13"/>
  <c r="G13"/>
  <c r="P7"/>
  <c r="N7"/>
  <c r="M7"/>
  <c r="G7"/>
  <c r="J15" i="6" l="1"/>
  <c r="O19" i="2"/>
  <c r="P19"/>
  <c r="J17"/>
  <c r="J7"/>
  <c r="I13"/>
  <c r="I15"/>
  <c r="J11"/>
  <c r="I7"/>
  <c r="F14" i="7"/>
  <c r="H14" s="1"/>
  <c r="O7" i="2"/>
  <c r="Q7" s="1"/>
  <c r="O11"/>
  <c r="Q11" s="1"/>
  <c r="O17"/>
  <c r="R17" s="1"/>
  <c r="I17"/>
  <c r="I11"/>
  <c r="O13"/>
  <c r="R13" s="1"/>
  <c r="O15"/>
  <c r="Q15" s="1"/>
  <c r="I6" i="6"/>
  <c r="G7" s="1"/>
  <c r="F8" i="7"/>
  <c r="H8" s="1"/>
  <c r="I8" i="6"/>
  <c r="G9" s="1"/>
  <c r="H9" i="7"/>
  <c r="J6" i="6"/>
  <c r="J8"/>
  <c r="F7" i="7"/>
  <c r="H7" s="1"/>
  <c r="I9"/>
  <c r="O9" i="2"/>
  <c r="Q9" s="1"/>
  <c r="J13"/>
  <c r="J15"/>
  <c r="G9"/>
  <c r="Q19" l="1"/>
  <c r="R19"/>
  <c r="G18"/>
  <c r="I18" s="1"/>
  <c r="G14"/>
  <c r="G8"/>
  <c r="G16"/>
  <c r="G12"/>
  <c r="J12" s="1"/>
  <c r="Q17"/>
  <c r="I14" i="7"/>
  <c r="R7" i="2"/>
  <c r="I7" i="6"/>
  <c r="J7"/>
  <c r="R11" i="2"/>
  <c r="Q13"/>
  <c r="R15"/>
  <c r="I8" i="7"/>
  <c r="I9" i="6"/>
  <c r="G10" s="1"/>
  <c r="J9"/>
  <c r="I7" i="7"/>
  <c r="J9" i="2"/>
  <c r="I9"/>
  <c r="R9"/>
  <c r="I10" i="6" l="1"/>
  <c r="J10"/>
  <c r="I12" i="2"/>
  <c r="I8"/>
  <c r="J8"/>
  <c r="J18"/>
  <c r="G10"/>
  <c r="J16"/>
  <c r="I16"/>
  <c r="J14"/>
  <c r="I14"/>
  <c r="B3" i="6"/>
  <c r="J10" i="2" l="1"/>
  <c r="I10"/>
  <c r="R32" i="13" l="1"/>
  <c r="R35" l="1"/>
  <c r="R31"/>
  <c r="R33"/>
  <c r="X32" s="1"/>
  <c r="R34"/>
  <c r="E36"/>
  <c r="R8" l="1"/>
  <c r="X34"/>
  <c r="R29"/>
  <c r="S12"/>
  <c r="Y12" s="1"/>
  <c r="E25" i="6" l="1"/>
  <c r="R12" i="13"/>
  <c r="R25"/>
  <c r="R13"/>
  <c r="R9"/>
  <c r="X8" s="1"/>
  <c r="E23" i="6"/>
  <c r="R23" i="13"/>
  <c r="R11"/>
  <c r="H12"/>
  <c r="R17"/>
  <c r="R15"/>
  <c r="R21"/>
  <c r="R27"/>
  <c r="R30"/>
  <c r="X30" s="1"/>
  <c r="E22" i="6"/>
  <c r="S32" i="13"/>
  <c r="H32"/>
  <c r="N32"/>
  <c r="N34"/>
  <c r="S34"/>
  <c r="H34"/>
  <c r="N12"/>
  <c r="R37" l="1"/>
  <c r="K12"/>
  <c r="X12"/>
  <c r="J12"/>
  <c r="N30"/>
  <c r="T12"/>
  <c r="W12" s="1"/>
  <c r="S30"/>
  <c r="T30" s="1"/>
  <c r="H30"/>
  <c r="R28"/>
  <c r="X28" s="1"/>
  <c r="R26"/>
  <c r="X26" s="1"/>
  <c r="R22"/>
  <c r="R24"/>
  <c r="X24" s="1"/>
  <c r="R16"/>
  <c r="X16" s="1"/>
  <c r="R20"/>
  <c r="D21" i="7"/>
  <c r="P32" i="13"/>
  <c r="Y32"/>
  <c r="T32"/>
  <c r="P34"/>
  <c r="J32"/>
  <c r="Y34"/>
  <c r="T34"/>
  <c r="J34"/>
  <c r="P12"/>
  <c r="Q12"/>
  <c r="H8"/>
  <c r="H13" l="1"/>
  <c r="J13" s="1"/>
  <c r="Z12"/>
  <c r="V12"/>
  <c r="T13" s="1"/>
  <c r="V13" s="1"/>
  <c r="Y30"/>
  <c r="P30"/>
  <c r="J30"/>
  <c r="N28"/>
  <c r="S22"/>
  <c r="N22"/>
  <c r="X22"/>
  <c r="N16"/>
  <c r="S20"/>
  <c r="X20"/>
  <c r="N20"/>
  <c r="H35"/>
  <c r="H33"/>
  <c r="Z34"/>
  <c r="V34"/>
  <c r="T35" s="1"/>
  <c r="N35"/>
  <c r="Z32"/>
  <c r="V32"/>
  <c r="T33" s="1"/>
  <c r="V30"/>
  <c r="T31" s="1"/>
  <c r="N33"/>
  <c r="T8"/>
  <c r="N8"/>
  <c r="N13"/>
  <c r="K8"/>
  <c r="J8"/>
  <c r="AC34" l="1"/>
  <c r="H31"/>
  <c r="J31" s="1"/>
  <c r="AC12"/>
  <c r="K13"/>
  <c r="AB12"/>
  <c r="W13"/>
  <c r="Z30"/>
  <c r="N31"/>
  <c r="P28"/>
  <c r="Q28"/>
  <c r="H28"/>
  <c r="S28"/>
  <c r="N24"/>
  <c r="Y22"/>
  <c r="T22"/>
  <c r="Q22"/>
  <c r="P22"/>
  <c r="H22"/>
  <c r="H24"/>
  <c r="S24"/>
  <c r="Y20"/>
  <c r="T20"/>
  <c r="R14"/>
  <c r="N14"/>
  <c r="H16"/>
  <c r="S16"/>
  <c r="P20"/>
  <c r="Q20"/>
  <c r="H20"/>
  <c r="Q16"/>
  <c r="P16"/>
  <c r="AB32"/>
  <c r="P33"/>
  <c r="P35"/>
  <c r="J33"/>
  <c r="J35"/>
  <c r="V33"/>
  <c r="AB34"/>
  <c r="V31"/>
  <c r="V35"/>
  <c r="H9"/>
  <c r="Q8"/>
  <c r="P8"/>
  <c r="P13"/>
  <c r="Q13"/>
  <c r="W8"/>
  <c r="V8"/>
  <c r="AC30" l="1"/>
  <c r="AB30"/>
  <c r="P31"/>
  <c r="P24"/>
  <c r="N29"/>
  <c r="T28"/>
  <c r="Y28"/>
  <c r="J28"/>
  <c r="K28"/>
  <c r="W22"/>
  <c r="V22"/>
  <c r="T23" s="1"/>
  <c r="Z22"/>
  <c r="K22"/>
  <c r="J22"/>
  <c r="N23"/>
  <c r="J24"/>
  <c r="Y24"/>
  <c r="T24"/>
  <c r="V24" s="1"/>
  <c r="T25" s="1"/>
  <c r="V25" s="1"/>
  <c r="Z20"/>
  <c r="P14"/>
  <c r="Q14"/>
  <c r="K16"/>
  <c r="J16"/>
  <c r="W20"/>
  <c r="V20"/>
  <c r="T21" s="1"/>
  <c r="N17"/>
  <c r="J20"/>
  <c r="K20"/>
  <c r="N21"/>
  <c r="T16"/>
  <c r="Y16"/>
  <c r="X14"/>
  <c r="K9"/>
  <c r="J9"/>
  <c r="AB20" l="1"/>
  <c r="Q29"/>
  <c r="N25"/>
  <c r="P29"/>
  <c r="H29"/>
  <c r="W28"/>
  <c r="V28"/>
  <c r="T29" s="1"/>
  <c r="Z28"/>
  <c r="P23"/>
  <c r="Q23"/>
  <c r="W23"/>
  <c r="V23"/>
  <c r="AB22"/>
  <c r="AC22"/>
  <c r="H23"/>
  <c r="H25"/>
  <c r="Z24"/>
  <c r="AC20"/>
  <c r="Z16"/>
  <c r="H14"/>
  <c r="Q17"/>
  <c r="P17"/>
  <c r="P21"/>
  <c r="Q21"/>
  <c r="H21"/>
  <c r="W16"/>
  <c r="V16"/>
  <c r="T17" s="1"/>
  <c r="V21"/>
  <c r="W21"/>
  <c r="H17"/>
  <c r="S14"/>
  <c r="H26"/>
  <c r="P25" l="1"/>
  <c r="K29"/>
  <c r="J29"/>
  <c r="AB28"/>
  <c r="AC28"/>
  <c r="V29"/>
  <c r="W29"/>
  <c r="J23"/>
  <c r="K23"/>
  <c r="J25"/>
  <c r="AB24"/>
  <c r="W17"/>
  <c r="V17"/>
  <c r="T14"/>
  <c r="J21"/>
  <c r="K21"/>
  <c r="AB16"/>
  <c r="AC16"/>
  <c r="K17"/>
  <c r="J17"/>
  <c r="K14"/>
  <c r="J14"/>
  <c r="S26"/>
  <c r="J26"/>
  <c r="K26"/>
  <c r="H15" l="1"/>
  <c r="W14"/>
  <c r="V14"/>
  <c r="N26"/>
  <c r="Y26"/>
  <c r="T26"/>
  <c r="H27"/>
  <c r="Q26" l="1"/>
  <c r="K15"/>
  <c r="J15"/>
  <c r="P26"/>
  <c r="V26"/>
  <c r="T27" s="1"/>
  <c r="W26"/>
  <c r="J27"/>
  <c r="K27"/>
  <c r="Z26"/>
  <c r="N27" l="1"/>
  <c r="AB26"/>
  <c r="AC26"/>
  <c r="W27"/>
  <c r="V27"/>
  <c r="Q27" l="1"/>
  <c r="P27"/>
  <c r="R10" l="1"/>
  <c r="R36" s="1"/>
  <c r="N10" l="1"/>
  <c r="E24" i="6"/>
  <c r="X10" i="13"/>
  <c r="X36" s="1"/>
  <c r="Q10" l="1"/>
  <c r="P10"/>
  <c r="H10"/>
  <c r="H36" s="1"/>
  <c r="S10"/>
  <c r="S36" s="1"/>
  <c r="E27" i="6"/>
  <c r="D22" i="7"/>
  <c r="N11" i="13" l="1"/>
  <c r="Y10"/>
  <c r="T10"/>
  <c r="D25" i="7"/>
  <c r="J10" i="13"/>
  <c r="K10"/>
  <c r="P11" l="1"/>
  <c r="Q11"/>
  <c r="T36"/>
  <c r="H11"/>
  <c r="H37" s="1"/>
  <c r="F22" i="6"/>
  <c r="Z10" i="13"/>
  <c r="W10"/>
  <c r="V10"/>
  <c r="T11" s="1"/>
  <c r="K11" l="1"/>
  <c r="J11"/>
  <c r="AC10"/>
  <c r="AB10"/>
  <c r="J36"/>
  <c r="J37" s="1"/>
  <c r="K36"/>
  <c r="F24" i="6"/>
  <c r="N36" i="13"/>
  <c r="W36"/>
  <c r="V36"/>
  <c r="W11"/>
  <c r="V11"/>
  <c r="G22" i="6"/>
  <c r="E21" i="7"/>
  <c r="G24" i="6" l="1"/>
  <c r="J22"/>
  <c r="I22"/>
  <c r="G23" s="1"/>
  <c r="Q36" i="13"/>
  <c r="P36"/>
  <c r="N37" s="1"/>
  <c r="K37"/>
  <c r="F21" i="7"/>
  <c r="H21" l="1"/>
  <c r="I21"/>
  <c r="I23" i="6"/>
  <c r="J23"/>
  <c r="I24"/>
  <c r="J24"/>
  <c r="S9" i="13" l="1"/>
  <c r="N9"/>
  <c r="Y8" l="1"/>
  <c r="T9"/>
  <c r="Q9"/>
  <c r="P9"/>
  <c r="Z8" l="1"/>
  <c r="W9"/>
  <c r="V9"/>
  <c r="AC8" l="1"/>
  <c r="AB8"/>
  <c r="S15" l="1"/>
  <c r="S37" s="1"/>
  <c r="N15"/>
  <c r="P15" l="1"/>
  <c r="Q15"/>
  <c r="Y14"/>
  <c r="T15"/>
  <c r="T37"/>
  <c r="F25" i="6"/>
  <c r="Y36" i="13" l="1"/>
  <c r="Q37"/>
  <c r="P37"/>
  <c r="F27" i="6"/>
  <c r="G27" s="1"/>
  <c r="E22" i="7"/>
  <c r="G25" i="6"/>
  <c r="Z14" i="13"/>
  <c r="V15"/>
  <c r="W15"/>
  <c r="W37"/>
  <c r="V37"/>
  <c r="I25" i="6" l="1"/>
  <c r="J25"/>
  <c r="I27"/>
  <c r="J27"/>
  <c r="AC14" i="13"/>
  <c r="AB14"/>
  <c r="Z36"/>
  <c r="F22" i="7"/>
  <c r="E25"/>
  <c r="F25" s="1"/>
  <c r="I22" l="1"/>
  <c r="H22"/>
  <c r="I25"/>
  <c r="H25"/>
  <c r="AB36" i="13"/>
  <c r="AC36"/>
</calcChain>
</file>

<file path=xl/comments1.xml><?xml version="1.0" encoding="utf-8"?>
<comments xmlns="http://schemas.openxmlformats.org/spreadsheetml/2006/main">
  <authors>
    <author>rgarcia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Capturas V, Emb Puma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ISLA TABON RPA 963378 SUSTITUYE A FERNANDO ANDRES RPA 963747 y FERNANDO ANDRES A BONI MAURI RPA 923204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BRACPESCA.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EMB TERESITA</t>
        </r>
      </text>
    </comment>
  </commentList>
</comments>
</file>

<file path=xl/comments3.xml><?xml version="1.0" encoding="utf-8"?>
<comments xmlns="http://schemas.openxmlformats.org/spreadsheetml/2006/main">
  <authors>
    <author>rgarcia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87,843 ton a BRASPESCA.</t>
        </r>
      </text>
    </comment>
  </commentList>
</comments>
</file>

<file path=xl/comments4.xml><?xml version="1.0" encoding="utf-8"?>
<comments xmlns="http://schemas.openxmlformats.org/spreadsheetml/2006/main">
  <authors>
    <author>rgarcia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R.Ex.N° 752, Cesion  Artesanal PUNTA TALCA de 83,843 ton a BRACPESCA.</t>
        </r>
      </text>
    </comment>
  </commentList>
</comments>
</file>

<file path=xl/sharedStrings.xml><?xml version="1.0" encoding="utf-8"?>
<sst xmlns="http://schemas.openxmlformats.org/spreadsheetml/2006/main" count="502" uniqueCount="237">
  <si>
    <t>Región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</si>
  <si>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</si>
  <si>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</si>
  <si>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</si>
  <si>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</si>
  <si>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</si>
  <si>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</si>
  <si>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</si>
  <si>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Fecha de Cierre</t>
  </si>
  <si>
    <t>Oct-Dic</t>
  </si>
  <si>
    <t>III Región de Atacama</t>
  </si>
  <si>
    <t>Mar-Ago</t>
  </si>
  <si>
    <t>ANUAL</t>
  </si>
  <si>
    <t>Cuota anual asignada</t>
  </si>
  <si>
    <t xml:space="preserve">IV Región de Coquimbo 
</t>
  </si>
  <si>
    <t>01 ENERO AL 28-29 FEBRERO</t>
  </si>
  <si>
    <t>Artesanal III</t>
  </si>
  <si>
    <t>Imprevisto</t>
  </si>
  <si>
    <t>Mar-Ago.</t>
  </si>
  <si>
    <t>QUINTERO S.A. PESQ.</t>
  </si>
  <si>
    <t>Saldo (t)</t>
  </si>
  <si>
    <t>Consumo %</t>
  </si>
  <si>
    <t xml:space="preserve">Cuota Asignada </t>
  </si>
  <si>
    <t>Consumo%</t>
  </si>
  <si>
    <t xml:space="preserve">Periodo </t>
  </si>
  <si>
    <t xml:space="preserve">Unidad de pesquería </t>
  </si>
  <si>
    <t>MOROZIN YURECIC MARIO</t>
  </si>
  <si>
    <t>Langostino Amarillo III-IV Región</t>
  </si>
  <si>
    <t>Cuota Asignada  III-IV</t>
  </si>
  <si>
    <t>Marzo -Agosto</t>
  </si>
  <si>
    <t>Octubre  - Diciembre</t>
  </si>
  <si>
    <t xml:space="preserve"> Artesanal III</t>
  </si>
  <si>
    <t>Artesanal IV (RAE)</t>
  </si>
  <si>
    <t>Fauna Acompañante</t>
  </si>
  <si>
    <t>Fauna Acompañante III-IV</t>
  </si>
  <si>
    <t>U Pesquería</t>
  </si>
  <si>
    <t xml:space="preserve">Fracionamientos </t>
  </si>
  <si>
    <t>Total Langostino amarillo III-IV</t>
  </si>
  <si>
    <t>Total Langostino amarillo V-VIII</t>
  </si>
  <si>
    <t>Control Cuota IV Región (t)</t>
  </si>
  <si>
    <t>Control Cuota III Región (t)</t>
  </si>
  <si>
    <t xml:space="preserve"> Resumen periodo Control Cuota Langostino Amarillo III-IV</t>
  </si>
  <si>
    <t>Resumen Anual Control Cuota Langostino Amarillo III-IV</t>
  </si>
  <si>
    <t>Captura III-IV</t>
  </si>
  <si>
    <t xml:space="preserve">Cuota Total </t>
  </si>
  <si>
    <t xml:space="preserve">Captura </t>
  </si>
  <si>
    <t>*Traspaso, Cesión, Arriendo etc.</t>
  </si>
  <si>
    <t>Cuota Asignada</t>
  </si>
  <si>
    <t>Traspaso, Cesión, Arriendoetc.</t>
  </si>
  <si>
    <t>Traspaso, Cesión, Arriendo etc.</t>
  </si>
  <si>
    <t>Asignatario de Cuota</t>
  </si>
  <si>
    <t>Cuota Asignada  V-VIII</t>
  </si>
  <si>
    <t>Industrial Ltp III</t>
  </si>
  <si>
    <t>Industrial Ltp IV</t>
  </si>
  <si>
    <t>Industrial Ltp  III</t>
  </si>
  <si>
    <t>Industrial Ltp IV (con descuento Art 16°</t>
  </si>
  <si>
    <t>Industrial Pep V-VI</t>
  </si>
  <si>
    <t>Industrial Pep VII-VIII</t>
  </si>
  <si>
    <t>LANGOSTINO AMARILLO PEP (V-VIII)</t>
  </si>
  <si>
    <t>Resumen periodo Control Cuota Langostino Amarillo PEP V-VIII</t>
  </si>
  <si>
    <t>Captura V-VIII</t>
  </si>
  <si>
    <t>Traspaso, Cesión, Arriendo etc</t>
  </si>
  <si>
    <t>Asignatario</t>
  </si>
  <si>
    <t xml:space="preserve">Control Cuota Artesanal Langostino Amarillo III-IV </t>
  </si>
  <si>
    <t>Resumen Anual Control Cuota Artesanal Langostino Amarillo III-IV</t>
  </si>
  <si>
    <t>Cuota anual licitada</t>
  </si>
  <si>
    <t>Langostino amarillo V-VIII</t>
  </si>
  <si>
    <t>Langostino amarillo III-IV</t>
  </si>
  <si>
    <t>Licitada Pep VII-VIII</t>
  </si>
  <si>
    <t>Licitada Pep V-VI</t>
  </si>
  <si>
    <t xml:space="preserve">U. Pesquería </t>
  </si>
  <si>
    <t>Movimiento</t>
  </si>
  <si>
    <t>Artesanal IV</t>
  </si>
  <si>
    <t xml:space="preserve">RESUMEN ANUAL DE CONSUMO DE CUOTA LANGOSTINO AMARILLO V-VIII. AÑO 2018
</t>
  </si>
  <si>
    <t xml:space="preserve">Notas: </t>
  </si>
  <si>
    <t>La información contenida en los consumos y movimientos, según corresponda, es preliminar,  sujeta a validación, verificación de consistencia</t>
  </si>
  <si>
    <t>Control Cuota VII-VIII Región (t) (zonas; 113-114)</t>
  </si>
  <si>
    <t>Control Cuota V-VI Región (t) (zonas 111-112)</t>
  </si>
  <si>
    <t>Total Cuota Global Langostino Amarillo III - IV</t>
  </si>
  <si>
    <t>Total Cuota Global Langostino Amarillo V - VIII</t>
  </si>
  <si>
    <t xml:space="preserve">Fraccionamientos </t>
  </si>
  <si>
    <t>IV</t>
  </si>
  <si>
    <t xml:space="preserve">Fauna Acompañante V-VI </t>
  </si>
  <si>
    <t>Nombre</t>
  </si>
  <si>
    <t>ANTARTIC SEAFOOD S.A.</t>
  </si>
  <si>
    <t>BAYCIC BAYCIC MARIA</t>
  </si>
  <si>
    <t>BRACPESCA S.A.</t>
  </si>
  <si>
    <t>GRIMAR S.A. PESQ.</t>
  </si>
  <si>
    <t>ISLADAMAS S.A. PESQ.</t>
  </si>
  <si>
    <t>MOROZIN BAYCIC MARIA ANA</t>
  </si>
  <si>
    <t>RUBIO Y MAUAD LTDA.</t>
  </si>
  <si>
    <t>SUNRISE S.A. PESQ.</t>
  </si>
  <si>
    <t>ENFEMAR LTDA. SOC. PESQ.</t>
  </si>
  <si>
    <t>ALIMENTOS ALSAN LTDA</t>
  </si>
  <si>
    <t>SOC. DISTRIBUIDORA DE PRODUCTOS DEL MAR LTDA.</t>
  </si>
  <si>
    <t>DA VENEZIA RETAMALES ANTONIO</t>
  </si>
  <si>
    <t>NICANOR GONZALEZ VEGA</t>
  </si>
  <si>
    <t>IIII</t>
  </si>
  <si>
    <t>Total periodo</t>
  </si>
  <si>
    <t>Marzo-Agosto</t>
  </si>
  <si>
    <t>Octubre-Dic</t>
  </si>
  <si>
    <t xml:space="preserve">Total </t>
  </si>
  <si>
    <t>Cuota Inicial</t>
  </si>
  <si>
    <t>Cuota final</t>
  </si>
  <si>
    <t>TOTAL ASIGNATARIOS LTP</t>
  </si>
  <si>
    <t>REGION</t>
  </si>
  <si>
    <t>PUNTA TALCA</t>
  </si>
  <si>
    <t>TRAUWUN I</t>
  </si>
  <si>
    <t>CHAFIC I</t>
  </si>
  <si>
    <t>BOLSON RESIDUAL</t>
  </si>
  <si>
    <t>V-VI</t>
  </si>
  <si>
    <t>VII-VIII</t>
  </si>
  <si>
    <t>TOTAL ASIGNATARIOS PEP</t>
  </si>
  <si>
    <t>-</t>
  </si>
  <si>
    <t>Coeficiente final</t>
  </si>
  <si>
    <t>Total 673/09.11.17</t>
  </si>
  <si>
    <t>% Licitado/100</t>
  </si>
  <si>
    <t>ISLA TABON</t>
  </si>
  <si>
    <t>Investigación V-VIII</t>
  </si>
  <si>
    <t>Investigación III-IV</t>
  </si>
  <si>
    <t>Fauna Acompañante V-VIII</t>
  </si>
  <si>
    <t>La Vedas del langostino Amarillo;  01 enero al 28 febrero  y de 01 al 30 de septiembre</t>
  </si>
  <si>
    <t>Total D.Ex N° 526-2018</t>
  </si>
  <si>
    <t>Total D.Ex N° 457-2018</t>
  </si>
  <si>
    <t>LANGOSTINO AMARILLO PEP (V-VIII) 2019</t>
  </si>
  <si>
    <t>CONTROL DE CUOTA LANGOSTINO AMARILLO PEP V-VIII POR TITULAR. AÑO 2019</t>
  </si>
  <si>
    <t>CONTROL DE CUOTA LANGOSTINO AMARILLO LTP III-IV. AÑO 2019</t>
  </si>
  <si>
    <t xml:space="preserve">RESUMEN ANUAL DE CONSUMO DE CUOTA LANGOSTINO AMARILLO III-IV. AÑO 2019
</t>
  </si>
  <si>
    <t xml:space="preserve">RESUMEN POR PERIODO DE CONSUMO DE CUOTA LANGOSTINO AMARILLO III-IV. AÑO 2019
</t>
  </si>
  <si>
    <t xml:space="preserve">RESUMEN POR PERIODO DE CONSUMO DE CUOTA LANGOSTINO AMARILLO LICITADA V-VIII. AÑO 2019
</t>
  </si>
  <si>
    <t xml:space="preserve">CONTROL DE CUOTA LANGOSTINO AMARILLO III-IV ARTESANAL. AÑO 2019
</t>
  </si>
  <si>
    <t>Distribucion asignaciones</t>
  </si>
  <si>
    <t xml:space="preserve"> Asignacion V-VI</t>
  </si>
  <si>
    <t>Asignación VII-VIII</t>
  </si>
  <si>
    <t>Total  periodo</t>
  </si>
  <si>
    <t>*Movimientos</t>
  </si>
  <si>
    <t>Captura Anual</t>
  </si>
  <si>
    <t>Saldo anual</t>
  </si>
  <si>
    <t>Resumen Anual Control Cuota Langostino amarillo PEP V-VIII (tons)</t>
  </si>
  <si>
    <t>Cuota año</t>
  </si>
  <si>
    <t>Totales</t>
  </si>
  <si>
    <t>TOTAL ASIGNATARIOS ARTESANALES</t>
  </si>
  <si>
    <t xml:space="preserve">Langostino amarillo III-IV </t>
  </si>
  <si>
    <t xml:space="preserve">Langostino amarillo PEP V-VIII  </t>
  </si>
  <si>
    <t>Dec Ex N° 526 de 21-12-2018</t>
  </si>
  <si>
    <t>FUP</t>
  </si>
  <si>
    <t>TERESITA II</t>
  </si>
  <si>
    <t>TRAUWÜN I</t>
  </si>
  <si>
    <t>Total general</t>
  </si>
  <si>
    <t>PESQ. ISLADAMAS S.A.</t>
  </si>
  <si>
    <t>PESQ. QUINTERO S.A.</t>
  </si>
  <si>
    <t>CAMANCHACA PESCA SUR S.A.</t>
  </si>
  <si>
    <t xml:space="preserve">Movimientos </t>
  </si>
  <si>
    <t>Titular</t>
  </si>
  <si>
    <t>Capturas</t>
  </si>
  <si>
    <t>LANGOSTINO AMARILLO  LTP 2019</t>
  </si>
  <si>
    <t>Cuota Final</t>
  </si>
  <si>
    <t>CAMANCHACA PESCA SUR</t>
  </si>
  <si>
    <t>RUBIO Y MAUAD</t>
  </si>
  <si>
    <t>ANTONIO CRUZ CORDOVA NAKOUZI E.I.R.L</t>
  </si>
  <si>
    <t>PACIFICBLU SpA.</t>
  </si>
  <si>
    <t xml:space="preserve">ANTONIO DA VENEZIA RETAMALES </t>
  </si>
  <si>
    <t>LANDES S.A. SOC. PESQ.</t>
  </si>
  <si>
    <t>JORGE COFRE REYES</t>
  </si>
  <si>
    <t>CRISTIAN RODRIGO ANTONIO MARDONES PANTOJA</t>
  </si>
  <si>
    <t>PESQUERA CMK LTDA.</t>
  </si>
  <si>
    <t>N° doc</t>
  </si>
  <si>
    <t>Fecha</t>
  </si>
  <si>
    <t>Descripcion</t>
  </si>
  <si>
    <t>DE -</t>
  </si>
  <si>
    <t>A+</t>
  </si>
  <si>
    <t>Coeficiente</t>
  </si>
  <si>
    <t xml:space="preserve"> VII-VIII</t>
  </si>
  <si>
    <t>Total</t>
  </si>
  <si>
    <t>Pacific</t>
  </si>
  <si>
    <t>Camanchaca PS</t>
  </si>
  <si>
    <t>Jorge Cofre</t>
  </si>
  <si>
    <t>Braspesca</t>
  </si>
  <si>
    <t>Isla Damas</t>
  </si>
  <si>
    <t>Antartic Seafood</t>
  </si>
  <si>
    <t>Detalle Negocios Langostino Amarillo PEP (V-VIII)</t>
  </si>
  <si>
    <t>USUFRUCTO DE PACIFICBLU SpA A CAMANCHACA PS</t>
  </si>
  <si>
    <t>COMODATO DECAMANCHACA PS A JORGE COFRE REYES</t>
  </si>
  <si>
    <t>COMODATO DE CAMANCHACA PS a BRACPESCA S.A.</t>
  </si>
  <si>
    <t>COMODATO DE CAMANCHACA PS a SOC. PESQ. ISLADAMAS S.A.</t>
  </si>
  <si>
    <t>COMODATO DE ANTARTIC SEAFOOD S.A. a CAMANCHACA PS</t>
  </si>
  <si>
    <t>COMODATO DE CAMANCHACA PS a ANTARTIC SEAFOOD S.A. (V-VI)</t>
  </si>
  <si>
    <t>COMODATO DE BRACPESCA S.A. a CAMANCHACA PS</t>
  </si>
  <si>
    <t>Coeficiente Ltp A-B</t>
  </si>
  <si>
    <t>Pesq. CMK</t>
  </si>
  <si>
    <t>Detalle Negocios Langostino Amarillo LTP (III-IV)</t>
  </si>
  <si>
    <t>Nicanos Gonzalez</t>
  </si>
  <si>
    <t>DEJA SIN EFECTO CV FDCMZO ENTRE ANTARTIC SEAFOOD A NICANOR VEGA</t>
  </si>
  <si>
    <t>TITULARES LTP</t>
  </si>
  <si>
    <t>Armador Asignatario LTP</t>
  </si>
  <si>
    <t>Resumen Historial Langostino Amarillo</t>
  </si>
  <si>
    <t>PORCENTAJE DE ASIGNACIÓN</t>
  </si>
  <si>
    <t>EMPRESAS</t>
  </si>
  <si>
    <t>QUINTERO</t>
  </si>
  <si>
    <t>BRACPESCA</t>
  </si>
  <si>
    <t>ISLADAMAS</t>
  </si>
  <si>
    <t>ANTARTIC SEAFOOD</t>
  </si>
  <si>
    <t>PESQ. ANTONIO CRUZ CORDOVA</t>
  </si>
  <si>
    <t>SOC. PESQ. ENFEMAR LTDA.</t>
  </si>
  <si>
    <t>PACIFICBLUE SpA.</t>
  </si>
  <si>
    <t>ANTONIO DA VENEZIA RETAMALES</t>
  </si>
  <si>
    <t>SOC. PESQ. LANDES S.A.</t>
  </si>
  <si>
    <t>TOTAL</t>
  </si>
  <si>
    <t>2019 R Ex</t>
  </si>
  <si>
    <t>2019 Actual</t>
  </si>
  <si>
    <t>Industrial</t>
  </si>
  <si>
    <t>Artesanal</t>
  </si>
  <si>
    <t>DEJA SIN EFECTO CV FDCMZO ENTRE PESQ SUNRISE A PESQ ISLA DAMAS</t>
  </si>
  <si>
    <t>Pesq Sunrise</t>
  </si>
  <si>
    <t>Pesq Isladamas</t>
  </si>
  <si>
    <t>DEJA SIN EFECTO CV FDCMZO ENTRE SOC DISTRIMAR A PESQ ISLA DAMAS</t>
  </si>
  <si>
    <t>Soc Distrimar</t>
  </si>
  <si>
    <t>CV DE PESQ SUNRISE A PESQ ISLA DAMAS</t>
  </si>
  <si>
    <t>CV ENTRE SOC DISTRIMAR A PESQ ISLA DAMAS</t>
  </si>
  <si>
    <t>Final 2018</t>
  </si>
  <si>
    <t>Final 2017</t>
  </si>
  <si>
    <t>COMODATO DE CAMANCHACA PS a PESQUERA CMK LTDA. (V-VIII)</t>
  </si>
  <si>
    <t>Tipo</t>
  </si>
  <si>
    <t>III REGION</t>
  </si>
  <si>
    <t>IV REGION</t>
  </si>
  <si>
    <t>V REGION</t>
  </si>
  <si>
    <t>VI REGION</t>
  </si>
  <si>
    <t>VII REGION</t>
  </si>
  <si>
    <t>VIII REGION</t>
  </si>
  <si>
    <t>Industrial CAMANCHACA PESCA SUR S.A.</t>
  </si>
  <si>
    <t>ALTAIR I</t>
  </si>
  <si>
    <t>PESCA INVESTIGACION LANGOSTINO AMARILLO 2019</t>
  </si>
  <si>
    <t>Nave autorizada</t>
  </si>
  <si>
    <t>PESCA FAUNA ACOMPAÑANTE LANGOSTINO AMARILLO 2019</t>
  </si>
  <si>
    <t>Total Region</t>
  </si>
  <si>
    <t>JORGE COFRE (DECLARA POR DA)</t>
  </si>
  <si>
    <t>PUMA II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</si>
</sst>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_-* #,##0.00\ _p_t_a_-;\-* #,##0.00\ _p_t_a_-;_-* \-??\ _p_t_a_-;_-@_-"/>
    <numFmt numFmtId="166" formatCode="0.0"/>
    <numFmt numFmtId="167" formatCode="[$-F800]dddd\,\ mmmm\ dd\,\ yyyy"/>
    <numFmt numFmtId="168" formatCode="[$-340A]dddd\ d&quot; de &quot;mmmm&quot; de &quot;yyyy;@"/>
    <numFmt numFmtId="169" formatCode="0.00_ ;[Red]\-0.00\ "/>
    <numFmt numFmtId="170" formatCode="#,##0.000"/>
    <numFmt numFmtId="171" formatCode="0.000_ ;[Red]\-0.000\ "/>
    <numFmt numFmtId="172" formatCode="0.0000000"/>
    <numFmt numFmtId="173" formatCode="0.0000"/>
    <numFmt numFmtId="174" formatCode="0_ ;[Red]\-0\ "/>
    <numFmt numFmtId="175" formatCode="0.00000"/>
    <numFmt numFmtId="176" formatCode="0.00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8" tint="0.7999816888943144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3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Verdana"/>
      <family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Verdana"/>
      <family val="2"/>
    </font>
    <font>
      <sz val="9"/>
      <name val="Calibri"/>
      <family val="2"/>
      <scheme val="minor"/>
    </font>
    <font>
      <sz val="9"/>
      <color theme="0"/>
      <name val="Verdana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5" tint="-0.249977111117893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C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AE3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BD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2AF1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7FC8E"/>
        <bgColor theme="4" tint="0.79998168889431442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098">
    <xf numFmtId="0" fontId="0" fillId="0" borderId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2" fillId="18" borderId="23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16" fillId="9" borderId="26" applyNumberFormat="0" applyAlignment="0" applyProtection="0"/>
    <xf numFmtId="0" fontId="7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0" fontId="18" fillId="25" borderId="27" applyNumberFormat="0" applyFon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3" fillId="18" borderId="2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44" applyNumberFormat="0" applyAlignment="0" applyProtection="0"/>
    <xf numFmtId="0" fontId="13" fillId="19" borderId="24" applyNumberFormat="0" applyAlignment="0" applyProtection="0"/>
    <xf numFmtId="0" fontId="14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6" fillId="9" borderId="4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25" borderId="45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8" borderId="4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15" fillId="0" borderId="31" applyNumberFormat="0" applyFill="0" applyAlignment="0" applyProtection="0"/>
    <xf numFmtId="0" fontId="29" fillId="0" borderId="47" applyNumberFormat="0" applyFill="0" applyAlignment="0" applyProtection="0"/>
    <xf numFmtId="43" fontId="1" fillId="0" borderId="0" applyFont="0" applyFill="0" applyBorder="0" applyAlignment="0" applyProtection="0"/>
    <xf numFmtId="0" fontId="61" fillId="0" borderId="0"/>
  </cellStyleXfs>
  <cellXfs count="795">
    <xf numFmtId="0" fontId="0" fillId="0" borderId="0" xfId="0"/>
    <xf numFmtId="164" fontId="0" fillId="3" borderId="20" xfId="0" applyNumberFormat="1" applyFont="1" applyFill="1" applyBorder="1" applyAlignment="1">
      <alignment horizontal="center" vertical="center"/>
    </xf>
    <xf numFmtId="164" fontId="0" fillId="3" borderId="16" xfId="0" applyNumberFormat="1" applyFont="1" applyFill="1" applyBorder="1" applyAlignment="1">
      <alignment horizontal="center" vertical="center"/>
    </xf>
    <xf numFmtId="164" fontId="0" fillId="34" borderId="0" xfId="0" applyNumberFormat="1" applyFont="1" applyFill="1" applyBorder="1" applyAlignment="1">
      <alignment horizontal="center" vertical="center"/>
    </xf>
    <xf numFmtId="164" fontId="0" fillId="34" borderId="17" xfId="0" applyNumberFormat="1" applyFont="1" applyFill="1" applyBorder="1" applyAlignment="1">
      <alignment horizontal="center" vertical="center"/>
    </xf>
    <xf numFmtId="164" fontId="0" fillId="34" borderId="41" xfId="0" applyNumberFormat="1" applyFont="1" applyFill="1" applyBorder="1" applyAlignment="1">
      <alignment horizontal="center" vertical="center"/>
    </xf>
    <xf numFmtId="164" fontId="0" fillId="28" borderId="0" xfId="0" applyNumberFormat="1" applyFont="1" applyFill="1" applyBorder="1" applyAlignment="1">
      <alignment horizontal="center" vertical="center"/>
    </xf>
    <xf numFmtId="164" fontId="0" fillId="28" borderId="17" xfId="0" applyNumberFormat="1" applyFont="1" applyFill="1" applyBorder="1" applyAlignment="1">
      <alignment horizontal="center" vertical="center"/>
    </xf>
    <xf numFmtId="10" fontId="0" fillId="26" borderId="54" xfId="1" applyNumberFormat="1" applyFont="1" applyFill="1" applyBorder="1" applyAlignment="1">
      <alignment horizontal="center" vertical="center"/>
    </xf>
    <xf numFmtId="10" fontId="0" fillId="26" borderId="60" xfId="1" applyNumberFormat="1" applyFont="1" applyFill="1" applyBorder="1" applyAlignment="1">
      <alignment horizontal="center" vertical="center"/>
    </xf>
    <xf numFmtId="170" fontId="6" fillId="3" borderId="16" xfId="0" applyNumberFormat="1" applyFont="1" applyFill="1" applyBorder="1" applyAlignment="1">
      <alignment horizontal="center" vertical="center"/>
    </xf>
    <xf numFmtId="170" fontId="6" fillId="3" borderId="20" xfId="0" applyNumberFormat="1" applyFont="1" applyFill="1" applyBorder="1" applyAlignment="1">
      <alignment horizontal="center" vertical="center"/>
    </xf>
    <xf numFmtId="170" fontId="0" fillId="3" borderId="16" xfId="0" applyNumberFormat="1" applyFill="1" applyBorder="1" applyAlignment="1">
      <alignment horizontal="center" vertical="center"/>
    </xf>
    <xf numFmtId="170" fontId="0" fillId="3" borderId="20" xfId="0" applyNumberFormat="1" applyFill="1" applyBorder="1" applyAlignment="1">
      <alignment horizontal="center" vertical="center"/>
    </xf>
    <xf numFmtId="170" fontId="0" fillId="26" borderId="16" xfId="0" applyNumberFormat="1" applyFill="1" applyBorder="1" applyAlignment="1">
      <alignment horizontal="center" vertical="center"/>
    </xf>
    <xf numFmtId="170" fontId="0" fillId="26" borderId="20" xfId="0" applyNumberFormat="1" applyFill="1" applyBorder="1" applyAlignment="1">
      <alignment horizontal="center" vertical="center"/>
    </xf>
    <xf numFmtId="170" fontId="0" fillId="26" borderId="17" xfId="0" applyNumberFormat="1" applyFill="1" applyBorder="1" applyAlignment="1">
      <alignment horizontal="center" vertical="center"/>
    </xf>
    <xf numFmtId="170" fontId="0" fillId="29" borderId="17" xfId="0" applyNumberFormat="1" applyFill="1" applyBorder="1" applyAlignment="1">
      <alignment horizontal="center" vertical="center"/>
    </xf>
    <xf numFmtId="170" fontId="0" fillId="29" borderId="0" xfId="0" applyNumberFormat="1" applyFill="1" applyBorder="1" applyAlignment="1">
      <alignment horizontal="center" vertical="center"/>
    </xf>
    <xf numFmtId="170" fontId="0" fillId="29" borderId="16" xfId="0" applyNumberFormat="1" applyFill="1" applyBorder="1" applyAlignment="1">
      <alignment horizontal="center" vertical="center"/>
    </xf>
    <xf numFmtId="10" fontId="0" fillId="29" borderId="60" xfId="1" applyNumberFormat="1" applyFont="1" applyFill="1" applyBorder="1" applyAlignment="1">
      <alignment horizontal="center" vertical="center"/>
    </xf>
    <xf numFmtId="170" fontId="0" fillId="29" borderId="43" xfId="0" applyNumberFormat="1" applyFill="1" applyBorder="1" applyAlignment="1">
      <alignment horizontal="center" vertical="center"/>
    </xf>
    <xf numFmtId="0" fontId="0" fillId="36" borderId="63" xfId="0" applyFill="1" applyBorder="1"/>
    <xf numFmtId="2" fontId="0" fillId="33" borderId="64" xfId="0" applyNumberFormat="1" applyFill="1" applyBorder="1" applyAlignment="1">
      <alignment horizontal="center"/>
    </xf>
    <xf numFmtId="0" fontId="3" fillId="40" borderId="42" xfId="0" applyFont="1" applyFill="1" applyBorder="1" applyAlignment="1">
      <alignment horizontal="center" vertical="center" wrapText="1"/>
    </xf>
    <xf numFmtId="1" fontId="3" fillId="40" borderId="39" xfId="0" applyNumberFormat="1" applyFont="1" applyFill="1" applyBorder="1" applyAlignment="1">
      <alignment horizontal="center" vertical="center"/>
    </xf>
    <xf numFmtId="1" fontId="3" fillId="40" borderId="37" xfId="0" applyNumberFormat="1" applyFont="1" applyFill="1" applyBorder="1" applyAlignment="1">
      <alignment horizontal="center" vertical="center"/>
    </xf>
    <xf numFmtId="9" fontId="3" fillId="40" borderId="38" xfId="1" applyFont="1" applyFill="1" applyBorder="1" applyAlignment="1">
      <alignment horizontal="center" vertical="center"/>
    </xf>
    <xf numFmtId="0" fontId="5" fillId="38" borderId="8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5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left"/>
    </xf>
    <xf numFmtId="0" fontId="0" fillId="41" borderId="53" xfId="0" applyFill="1" applyBorder="1" applyAlignment="1">
      <alignment horizontal="left"/>
    </xf>
    <xf numFmtId="10" fontId="6" fillId="33" borderId="65" xfId="0" applyNumberFormat="1" applyFont="1" applyFill="1" applyBorder="1" applyAlignment="1">
      <alignment horizontal="center"/>
    </xf>
    <xf numFmtId="0" fontId="0" fillId="41" borderId="63" xfId="0" applyFill="1" applyBorder="1"/>
    <xf numFmtId="0" fontId="3" fillId="38" borderId="7" xfId="0" applyFont="1" applyFill="1" applyBorder="1" applyAlignment="1">
      <alignment horizontal="center" vertical="center" wrapText="1"/>
    </xf>
    <xf numFmtId="0" fontId="3" fillId="38" borderId="8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7" xfId="0" applyFont="1" applyFill="1" applyBorder="1" applyAlignment="1">
      <alignment horizontal="center" vertical="center" wrapText="1"/>
    </xf>
    <xf numFmtId="0" fontId="3" fillId="38" borderId="38" xfId="0" applyFont="1" applyFill="1" applyBorder="1" applyAlignment="1">
      <alignment horizontal="center" vertical="center" wrapText="1"/>
    </xf>
    <xf numFmtId="164" fontId="0" fillId="28" borderId="4" xfId="0" applyNumberFormat="1" applyFont="1" applyFill="1" applyBorder="1" applyAlignment="1">
      <alignment horizontal="center" vertical="center"/>
    </xf>
    <xf numFmtId="164" fontId="0" fillId="39" borderId="4" xfId="0" applyNumberFormat="1" applyFont="1" applyFill="1" applyBorder="1" applyAlignment="1">
      <alignment horizontal="center" vertical="center"/>
    </xf>
    <xf numFmtId="10" fontId="0" fillId="28" borderId="4" xfId="1" applyNumberFormat="1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 vertical="center"/>
    </xf>
    <xf numFmtId="2" fontId="0" fillId="28" borderId="20" xfId="0" applyNumberFormat="1" applyFont="1" applyFill="1" applyBorder="1" applyAlignment="1">
      <alignment horizontal="center" vertical="center"/>
    </xf>
    <xf numFmtId="2" fontId="0" fillId="28" borderId="21" xfId="0" applyNumberFormat="1" applyFont="1" applyFill="1" applyBorder="1" applyAlignment="1">
      <alignment horizontal="center" vertical="center"/>
    </xf>
    <xf numFmtId="2" fontId="0" fillId="31" borderId="20" xfId="0" applyNumberFormat="1" applyFont="1" applyFill="1" applyBorder="1" applyAlignment="1">
      <alignment horizontal="center" vertical="center"/>
    </xf>
    <xf numFmtId="2" fontId="0" fillId="31" borderId="21" xfId="0" applyNumberFormat="1" applyFont="1" applyFill="1" applyBorder="1" applyAlignment="1">
      <alignment horizontal="center" vertical="center"/>
    </xf>
    <xf numFmtId="2" fontId="0" fillId="28" borderId="18" xfId="0" applyNumberFormat="1" applyFont="1" applyFill="1" applyBorder="1" applyAlignment="1">
      <alignment horizontal="center" vertical="center"/>
    </xf>
    <xf numFmtId="2" fontId="0" fillId="31" borderId="16" xfId="0" applyNumberFormat="1" applyFont="1" applyFill="1" applyBorder="1" applyAlignment="1">
      <alignment horizontal="center" vertical="center"/>
    </xf>
    <xf numFmtId="2" fontId="0" fillId="31" borderId="18" xfId="0" applyNumberFormat="1" applyFont="1" applyFill="1" applyBorder="1" applyAlignment="1">
      <alignment horizontal="center" vertical="center"/>
    </xf>
    <xf numFmtId="2" fontId="0" fillId="37" borderId="20" xfId="0" applyNumberFormat="1" applyFont="1" applyFill="1" applyBorder="1" applyAlignment="1">
      <alignment horizontal="center" vertical="center"/>
    </xf>
    <xf numFmtId="164" fontId="0" fillId="28" borderId="20" xfId="0" applyNumberFormat="1" applyFont="1" applyFill="1" applyBorder="1" applyAlignment="1">
      <alignment horizontal="center" vertical="center"/>
    </xf>
    <xf numFmtId="164" fontId="0" fillId="28" borderId="16" xfId="0" applyNumberFormat="1" applyFont="1" applyFill="1" applyBorder="1" applyAlignment="1">
      <alignment horizontal="center" vertical="center"/>
    </xf>
    <xf numFmtId="164" fontId="0" fillId="28" borderId="41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72" xfId="0" applyFont="1" applyFill="1" applyBorder="1" applyAlignment="1">
      <alignment horizontal="center" vertical="center"/>
    </xf>
    <xf numFmtId="4" fontId="6" fillId="37" borderId="20" xfId="0" applyNumberFormat="1" applyFont="1" applyFill="1" applyBorder="1" applyAlignment="1">
      <alignment horizontal="center" vertical="center"/>
    </xf>
    <xf numFmtId="4" fontId="6" fillId="37" borderId="70" xfId="0" applyNumberFormat="1" applyFont="1" applyFill="1" applyBorder="1" applyAlignment="1">
      <alignment horizontal="center" vertical="center"/>
    </xf>
    <xf numFmtId="4" fontId="6" fillId="3" borderId="70" xfId="0" applyNumberFormat="1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center" vertical="center"/>
    </xf>
    <xf numFmtId="10" fontId="1" fillId="37" borderId="54" xfId="1" applyNumberFormat="1" applyFont="1" applyFill="1" applyBorder="1" applyAlignment="1">
      <alignment horizontal="center" vertical="center"/>
    </xf>
    <xf numFmtId="2" fontId="0" fillId="37" borderId="72" xfId="0" applyNumberFormat="1" applyFont="1" applyFill="1" applyBorder="1" applyAlignment="1">
      <alignment horizontal="center" vertical="center"/>
    </xf>
    <xf numFmtId="2" fontId="0" fillId="3" borderId="70" xfId="0" applyNumberFormat="1" applyFont="1" applyFill="1" applyBorder="1" applyAlignment="1">
      <alignment horizontal="center" vertical="center"/>
    </xf>
    <xf numFmtId="2" fontId="0" fillId="37" borderId="70" xfId="0" applyNumberFormat="1" applyFont="1" applyFill="1" applyBorder="1" applyAlignment="1">
      <alignment horizontal="center" vertical="center"/>
    </xf>
    <xf numFmtId="10" fontId="1" fillId="37" borderId="71" xfId="1" applyNumberFormat="1" applyFont="1" applyFill="1" applyBorder="1" applyAlignment="1">
      <alignment horizontal="center" vertical="center"/>
    </xf>
    <xf numFmtId="170" fontId="0" fillId="26" borderId="0" xfId="0" applyNumberForma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 wrapText="1"/>
    </xf>
    <xf numFmtId="170" fontId="6" fillId="26" borderId="43" xfId="0" applyNumberFormat="1" applyFont="1" applyFill="1" applyBorder="1" applyAlignment="1">
      <alignment horizontal="center" vertical="center"/>
    </xf>
    <xf numFmtId="170" fontId="6" fillId="26" borderId="41" xfId="0" applyNumberFormat="1" applyFont="1" applyFill="1" applyBorder="1" applyAlignment="1">
      <alignment horizontal="center" vertical="center"/>
    </xf>
    <xf numFmtId="170" fontId="6" fillId="26" borderId="74" xfId="0" applyNumberFormat="1" applyFont="1" applyFill="1" applyBorder="1" applyAlignment="1">
      <alignment horizontal="center" vertical="center"/>
    </xf>
    <xf numFmtId="170" fontId="6" fillId="29" borderId="72" xfId="0" applyNumberFormat="1" applyFont="1" applyFill="1" applyBorder="1" applyAlignment="1">
      <alignment horizontal="center" vertical="center"/>
    </xf>
    <xf numFmtId="170" fontId="6" fillId="29" borderId="0" xfId="0" applyNumberFormat="1" applyFont="1" applyFill="1" applyBorder="1" applyAlignment="1">
      <alignment horizontal="center" vertical="center"/>
    </xf>
    <xf numFmtId="0" fontId="6" fillId="26" borderId="7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9" borderId="16" xfId="0" applyFont="1" applyFill="1" applyBorder="1" applyAlignment="1">
      <alignment horizontal="center" vertical="center"/>
    </xf>
    <xf numFmtId="0" fontId="6" fillId="29" borderId="70" xfId="0" applyFont="1" applyFill="1" applyBorder="1" applyAlignment="1">
      <alignment horizontal="center" vertical="center"/>
    </xf>
    <xf numFmtId="0" fontId="6" fillId="29" borderId="20" xfId="0" applyFont="1" applyFill="1" applyBorder="1" applyAlignment="1">
      <alignment horizontal="center" vertical="center"/>
    </xf>
    <xf numFmtId="10" fontId="0" fillId="29" borderId="54" xfId="1" applyNumberFormat="1" applyFont="1" applyFill="1" applyBorder="1" applyAlignment="1">
      <alignment horizontal="center" vertical="center"/>
    </xf>
    <xf numFmtId="0" fontId="5" fillId="32" borderId="73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70" fontId="6" fillId="3" borderId="70" xfId="0" applyNumberFormat="1" applyFont="1" applyFill="1" applyBorder="1" applyAlignment="1">
      <alignment horizontal="center" vertical="center"/>
    </xf>
    <xf numFmtId="170" fontId="0" fillId="26" borderId="72" xfId="0" applyNumberFormat="1" applyFill="1" applyBorder="1" applyAlignment="1">
      <alignment horizontal="center" vertical="center"/>
    </xf>
    <xf numFmtId="170" fontId="0" fillId="3" borderId="70" xfId="0" applyNumberFormat="1" applyFill="1" applyBorder="1" applyAlignment="1">
      <alignment horizontal="center" vertical="center"/>
    </xf>
    <xf numFmtId="170" fontId="0" fillId="26" borderId="70" xfId="0" applyNumberFormat="1" applyFill="1" applyBorder="1" applyAlignment="1">
      <alignment horizontal="center" vertical="center"/>
    </xf>
    <xf numFmtId="10" fontId="0" fillId="26" borderId="71" xfId="1" applyNumberFormat="1" applyFont="1" applyFill="1" applyBorder="1" applyAlignment="1">
      <alignment horizontal="center" vertical="center"/>
    </xf>
    <xf numFmtId="170" fontId="0" fillId="29" borderId="72" xfId="0" applyNumberFormat="1" applyFill="1" applyBorder="1" applyAlignment="1">
      <alignment horizontal="center" vertical="center"/>
    </xf>
    <xf numFmtId="170" fontId="0" fillId="29" borderId="74" xfId="0" applyNumberFormat="1" applyFill="1" applyBorder="1" applyAlignment="1">
      <alignment horizontal="center" vertical="center"/>
    </xf>
    <xf numFmtId="10" fontId="0" fillId="29" borderId="71" xfId="1" applyNumberFormat="1" applyFont="1" applyFill="1" applyBorder="1" applyAlignment="1">
      <alignment horizontal="center" vertical="center"/>
    </xf>
    <xf numFmtId="0" fontId="0" fillId="28" borderId="70" xfId="0" applyFill="1" applyBorder="1" applyAlignment="1">
      <alignment horizontal="center" vertical="center"/>
    </xf>
    <xf numFmtId="170" fontId="6" fillId="28" borderId="74" xfId="0" applyNumberFormat="1" applyFont="1" applyFill="1" applyBorder="1" applyAlignment="1">
      <alignment horizontal="center" vertical="center"/>
    </xf>
    <xf numFmtId="170" fontId="0" fillId="28" borderId="72" xfId="0" applyNumberFormat="1" applyFill="1" applyBorder="1" applyAlignment="1">
      <alignment horizontal="center" vertical="center"/>
    </xf>
    <xf numFmtId="170" fontId="0" fillId="28" borderId="70" xfId="0" applyNumberFormat="1" applyFill="1" applyBorder="1" applyAlignment="1">
      <alignment horizontal="center" vertical="center"/>
    </xf>
    <xf numFmtId="10" fontId="0" fillId="28" borderId="71" xfId="1" applyNumberFormat="1" applyFont="1" applyFill="1" applyBorder="1" applyAlignment="1">
      <alignment horizontal="center" vertical="center"/>
    </xf>
    <xf numFmtId="170" fontId="6" fillId="29" borderId="74" xfId="0" applyNumberFormat="1" applyFont="1" applyFill="1" applyBorder="1" applyAlignment="1">
      <alignment horizontal="center" vertical="center"/>
    </xf>
    <xf numFmtId="170" fontId="0" fillId="29" borderId="70" xfId="0" applyNumberFormat="1" applyFill="1" applyBorder="1" applyAlignment="1">
      <alignment horizontal="center" vertical="center"/>
    </xf>
    <xf numFmtId="170" fontId="6" fillId="29" borderId="41" xfId="0" applyNumberFormat="1" applyFont="1" applyFill="1" applyBorder="1" applyAlignment="1">
      <alignment horizontal="center" vertical="center"/>
    </xf>
    <xf numFmtId="2" fontId="0" fillId="0" borderId="64" xfId="0" applyNumberFormat="1" applyBorder="1" applyAlignment="1">
      <alignment horizontal="center"/>
    </xf>
    <xf numFmtId="2" fontId="6" fillId="33" borderId="64" xfId="0" applyNumberFormat="1" applyFont="1" applyFill="1" applyBorder="1" applyAlignment="1">
      <alignment horizontal="center"/>
    </xf>
    <xf numFmtId="164" fontId="0" fillId="41" borderId="16" xfId="0" applyNumberFormat="1" applyFont="1" applyFill="1" applyBorder="1" applyAlignment="1">
      <alignment horizontal="center" vertical="center"/>
    </xf>
    <xf numFmtId="164" fontId="0" fillId="41" borderId="17" xfId="0" applyNumberFormat="1" applyFont="1" applyFill="1" applyBorder="1" applyAlignment="1">
      <alignment horizontal="center" vertical="center"/>
    </xf>
    <xf numFmtId="164" fontId="0" fillId="41" borderId="0" xfId="0" applyNumberFormat="1" applyFont="1" applyFill="1" applyBorder="1" applyAlignment="1">
      <alignment horizontal="center" vertical="center"/>
    </xf>
    <xf numFmtId="0" fontId="0" fillId="36" borderId="41" xfId="0" applyFill="1" applyBorder="1"/>
    <xf numFmtId="2" fontId="0" fillId="0" borderId="16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/>
    </xf>
    <xf numFmtId="10" fontId="6" fillId="33" borderId="60" xfId="0" applyNumberFormat="1" applyFont="1" applyFill="1" applyBorder="1" applyAlignment="1">
      <alignment horizontal="center"/>
    </xf>
    <xf numFmtId="0" fontId="5" fillId="28" borderId="33" xfId="0" applyFont="1" applyFill="1" applyBorder="1" applyAlignment="1">
      <alignment horizontal="center" vertical="center" wrapText="1"/>
    </xf>
    <xf numFmtId="0" fontId="5" fillId="28" borderId="39" xfId="0" applyFont="1" applyFill="1" applyBorder="1" applyAlignment="1">
      <alignment horizontal="center" vertical="center" wrapText="1"/>
    </xf>
    <xf numFmtId="0" fontId="5" fillId="28" borderId="37" xfId="0" applyFont="1" applyFill="1" applyBorder="1" applyAlignment="1">
      <alignment horizontal="center" vertical="center" wrapText="1"/>
    </xf>
    <xf numFmtId="0" fontId="5" fillId="28" borderId="38" xfId="0" applyFont="1" applyFill="1" applyBorder="1" applyAlignment="1">
      <alignment horizontal="center" vertical="center" wrapText="1"/>
    </xf>
    <xf numFmtId="164" fontId="0" fillId="39" borderId="16" xfId="0" applyNumberFormat="1" applyFont="1" applyFill="1" applyBorder="1" applyAlignment="1">
      <alignment horizontal="center" vertical="center"/>
    </xf>
    <xf numFmtId="164" fontId="0" fillId="28" borderId="18" xfId="0" applyNumberFormat="1" applyFont="1" applyFill="1" applyBorder="1" applyAlignment="1">
      <alignment horizontal="center" vertical="center"/>
    </xf>
    <xf numFmtId="10" fontId="0" fillId="28" borderId="16" xfId="1" applyNumberFormat="1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 wrapText="1"/>
    </xf>
    <xf numFmtId="0" fontId="0" fillId="28" borderId="78" xfId="0" applyFill="1" applyBorder="1" applyAlignment="1">
      <alignment horizontal="center" vertical="center"/>
    </xf>
    <xf numFmtId="170" fontId="6" fillId="28" borderId="79" xfId="0" applyNumberFormat="1" applyFont="1" applyFill="1" applyBorder="1" applyAlignment="1">
      <alignment horizontal="center" vertical="center"/>
    </xf>
    <xf numFmtId="170" fontId="6" fillId="3" borderId="78" xfId="0" applyNumberFormat="1" applyFont="1" applyFill="1" applyBorder="1" applyAlignment="1">
      <alignment horizontal="center" vertical="center"/>
    </xf>
    <xf numFmtId="170" fontId="0" fillId="26" borderId="80" xfId="0" applyNumberFormat="1" applyFill="1" applyBorder="1" applyAlignment="1">
      <alignment horizontal="center" vertical="center"/>
    </xf>
    <xf numFmtId="10" fontId="0" fillId="28" borderId="77" xfId="1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39" borderId="6" xfId="0" applyFill="1" applyBorder="1" applyAlignment="1">
      <alignment horizontal="center" vertical="center"/>
    </xf>
    <xf numFmtId="9" fontId="0" fillId="28" borderId="21" xfId="1" applyFont="1" applyFill="1" applyBorder="1" applyAlignment="1">
      <alignment horizontal="center" vertical="center"/>
    </xf>
    <xf numFmtId="2" fontId="6" fillId="31" borderId="21" xfId="0" applyNumberFormat="1" applyFont="1" applyFill="1" applyBorder="1" applyAlignment="1">
      <alignment horizontal="center" vertical="center"/>
    </xf>
    <xf numFmtId="2" fontId="6" fillId="28" borderId="20" xfId="0" applyNumberFormat="1" applyFont="1" applyFill="1" applyBorder="1" applyAlignment="1">
      <alignment horizontal="center" vertical="center"/>
    </xf>
    <xf numFmtId="14" fontId="6" fillId="39" borderId="60" xfId="0" applyNumberFormat="1" applyFont="1" applyFill="1" applyBorder="1" applyAlignment="1">
      <alignment horizontal="center" vertical="center"/>
    </xf>
    <xf numFmtId="170" fontId="0" fillId="28" borderId="81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64" xfId="0" applyNumberFormat="1" applyFill="1" applyBorder="1" applyAlignment="1">
      <alignment horizontal="center" vertical="center"/>
    </xf>
    <xf numFmtId="164" fontId="0" fillId="41" borderId="20" xfId="0" applyNumberFormat="1" applyFont="1" applyFill="1" applyBorder="1" applyAlignment="1">
      <alignment horizontal="center" vertical="center"/>
    </xf>
    <xf numFmtId="2" fontId="0" fillId="28" borderId="16" xfId="0" applyNumberFormat="1" applyFont="1" applyFill="1" applyBorder="1" applyAlignment="1">
      <alignment horizontal="center" vertical="center"/>
    </xf>
    <xf numFmtId="0" fontId="0" fillId="44" borderId="83" xfId="0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" fontId="3" fillId="38" borderId="86" xfId="0" applyNumberFormat="1" applyFont="1" applyFill="1" applyBorder="1" applyAlignment="1">
      <alignment horizontal="center" vertical="center"/>
    </xf>
    <xf numFmtId="1" fontId="3" fillId="38" borderId="52" xfId="0" applyNumberFormat="1" applyFont="1" applyFill="1" applyBorder="1" applyAlignment="1">
      <alignment horizontal="center" vertical="center"/>
    </xf>
    <xf numFmtId="9" fontId="3" fillId="38" borderId="61" xfId="1" applyFont="1" applyFill="1" applyBorder="1" applyAlignment="1">
      <alignment horizontal="center" vertical="center"/>
    </xf>
    <xf numFmtId="164" fontId="44" fillId="3" borderId="20" xfId="0" applyNumberFormat="1" applyFont="1" applyFill="1" applyBorder="1" applyAlignment="1">
      <alignment horizontal="center" vertical="center"/>
    </xf>
    <xf numFmtId="0" fontId="47" fillId="3" borderId="0" xfId="0" applyFont="1" applyFill="1" applyBorder="1"/>
    <xf numFmtId="0" fontId="48" fillId="3" borderId="0" xfId="0" applyFont="1" applyFill="1"/>
    <xf numFmtId="2" fontId="0" fillId="31" borderId="43" xfId="0" applyNumberFormat="1" applyFont="1" applyFill="1" applyBorder="1" applyAlignment="1">
      <alignment horizontal="center" vertical="center"/>
    </xf>
    <xf numFmtId="2" fontId="0" fillId="31" borderId="41" xfId="0" applyNumberFormat="1" applyFont="1" applyFill="1" applyBorder="1" applyAlignment="1">
      <alignment horizontal="center" vertical="center"/>
    </xf>
    <xf numFmtId="2" fontId="0" fillId="3" borderId="16" xfId="0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3" fillId="28" borderId="14" xfId="0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164" fontId="0" fillId="39" borderId="11" xfId="0" applyNumberFormat="1" applyFont="1" applyFill="1" applyBorder="1" applyAlignment="1">
      <alignment horizontal="center" vertical="center"/>
    </xf>
    <xf numFmtId="10" fontId="0" fillId="28" borderId="11" xfId="1" applyNumberFormat="1" applyFont="1" applyFill="1" applyBorder="1" applyAlignment="1">
      <alignment horizontal="center" vertical="center"/>
    </xf>
    <xf numFmtId="0" fontId="3" fillId="38" borderId="92" xfId="0" applyFont="1" applyFill="1" applyBorder="1" applyAlignment="1">
      <alignment horizontal="center" vertical="center"/>
    </xf>
    <xf numFmtId="164" fontId="3" fillId="38" borderId="11" xfId="0" applyNumberFormat="1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 vertical="center"/>
    </xf>
    <xf numFmtId="0" fontId="6" fillId="41" borderId="56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164" fontId="6" fillId="3" borderId="76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34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95" xfId="0" applyFont="1" applyFill="1" applyBorder="1"/>
    <xf numFmtId="0" fontId="6" fillId="3" borderId="96" xfId="0" applyFont="1" applyFill="1" applyBorder="1"/>
    <xf numFmtId="0" fontId="6" fillId="3" borderId="42" xfId="0" applyFont="1" applyFill="1" applyBorder="1"/>
    <xf numFmtId="14" fontId="6" fillId="3" borderId="95" xfId="0" applyNumberFormat="1" applyFont="1" applyFill="1" applyBorder="1"/>
    <xf numFmtId="9" fontId="6" fillId="3" borderId="6" xfId="1" applyNumberFormat="1" applyFont="1" applyFill="1" applyBorder="1" applyAlignment="1">
      <alignment horizontal="center"/>
    </xf>
    <xf numFmtId="9" fontId="6" fillId="3" borderId="51" xfId="1" applyNumberFormat="1" applyFont="1" applyFill="1" applyBorder="1" applyAlignment="1">
      <alignment horizontal="center"/>
    </xf>
    <xf numFmtId="9" fontId="6" fillId="3" borderId="38" xfId="1" applyNumberFormat="1" applyFont="1" applyFill="1" applyBorder="1" applyAlignment="1">
      <alignment horizontal="center"/>
    </xf>
    <xf numFmtId="0" fontId="0" fillId="32" borderId="90" xfId="0" applyFill="1" applyBorder="1" applyAlignment="1">
      <alignment horizontal="left"/>
    </xf>
    <xf numFmtId="9" fontId="37" fillId="3" borderId="6" xfId="1" applyNumberFormat="1" applyFont="1" applyFill="1" applyBorder="1" applyAlignment="1">
      <alignment horizontal="center"/>
    </xf>
    <xf numFmtId="0" fontId="0" fillId="26" borderId="56" xfId="0" applyFill="1" applyBorder="1" applyAlignment="1">
      <alignment horizontal="left"/>
    </xf>
    <xf numFmtId="0" fontId="0" fillId="26" borderId="90" xfId="0" applyFill="1" applyBorder="1" applyAlignment="1">
      <alignment horizontal="left"/>
    </xf>
    <xf numFmtId="0" fontId="0" fillId="26" borderId="33" xfId="0" applyFill="1" applyBorder="1"/>
    <xf numFmtId="1" fontId="3" fillId="26" borderId="67" xfId="0" applyNumberFormat="1" applyFont="1" applyFill="1" applyBorder="1" applyAlignment="1">
      <alignment horizontal="center" vertical="center"/>
    </xf>
    <xf numFmtId="1" fontId="3" fillId="26" borderId="11" xfId="0" applyNumberFormat="1" applyFont="1" applyFill="1" applyBorder="1" applyAlignment="1">
      <alignment horizontal="center" vertical="center"/>
    </xf>
    <xf numFmtId="1" fontId="3" fillId="26" borderId="66" xfId="0" applyNumberFormat="1" applyFont="1" applyFill="1" applyBorder="1" applyAlignment="1">
      <alignment horizontal="center" vertical="center"/>
    </xf>
    <xf numFmtId="1" fontId="3" fillId="26" borderId="69" xfId="0" applyNumberFormat="1" applyFont="1" applyFill="1" applyBorder="1" applyAlignment="1">
      <alignment horizontal="center" vertical="center"/>
    </xf>
    <xf numFmtId="9" fontId="3" fillId="26" borderId="51" xfId="1" applyFont="1" applyFill="1" applyBorder="1" applyAlignment="1">
      <alignment horizontal="center" vertical="center"/>
    </xf>
    <xf numFmtId="164" fontId="3" fillId="38" borderId="94" xfId="0" applyNumberFormat="1" applyFont="1" applyFill="1" applyBorder="1" applyAlignment="1">
      <alignment horizontal="center" vertical="center"/>
    </xf>
    <xf numFmtId="10" fontId="3" fillId="38" borderId="11" xfId="1" applyNumberFormat="1" applyFont="1" applyFill="1" applyBorder="1" applyAlignment="1">
      <alignment horizontal="center" vertical="center"/>
    </xf>
    <xf numFmtId="164" fontId="3" fillId="38" borderId="9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8" borderId="85" xfId="0" applyNumberFormat="1" applyFont="1" applyFill="1" applyBorder="1" applyAlignment="1">
      <alignment horizontal="center" vertical="center"/>
    </xf>
    <xf numFmtId="164" fontId="0" fillId="28" borderId="14" xfId="0" applyNumberFormat="1" applyFont="1" applyFill="1" applyBorder="1" applyAlignment="1">
      <alignment horizontal="center" vertical="center"/>
    </xf>
    <xf numFmtId="0" fontId="6" fillId="39" borderId="6" xfId="0" applyFont="1" applyFill="1" applyBorder="1" applyAlignment="1">
      <alignment horizontal="center" vertical="center"/>
    </xf>
    <xf numFmtId="164" fontId="3" fillId="38" borderId="20" xfId="0" applyNumberFormat="1" applyFont="1" applyFill="1" applyBorder="1" applyAlignment="1">
      <alignment horizontal="center" vertical="center"/>
    </xf>
    <xf numFmtId="0" fontId="0" fillId="0" borderId="98" xfId="0" applyBorder="1"/>
    <xf numFmtId="0" fontId="0" fillId="0" borderId="97" xfId="0" applyBorder="1"/>
    <xf numFmtId="0" fontId="6" fillId="28" borderId="99" xfId="0" applyFont="1" applyFill="1" applyBorder="1" applyAlignment="1">
      <alignment horizontal="center" vertical="center" wrapText="1"/>
    </xf>
    <xf numFmtId="0" fontId="6" fillId="28" borderId="99" xfId="42071" applyFont="1" applyFill="1" applyBorder="1" applyAlignment="1">
      <alignment horizontal="center" vertical="center" wrapText="1"/>
    </xf>
    <xf numFmtId="0" fontId="6" fillId="28" borderId="99" xfId="0" applyFont="1" applyFill="1" applyBorder="1" applyAlignment="1">
      <alignment horizontal="center" vertical="center"/>
    </xf>
    <xf numFmtId="169" fontId="6" fillId="28" borderId="99" xfId="0" applyNumberFormat="1" applyFont="1" applyFill="1" applyBorder="1" applyAlignment="1">
      <alignment horizontal="center" vertical="center"/>
    </xf>
    <xf numFmtId="171" fontId="6" fillId="28" borderId="9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164" fontId="0" fillId="28" borderId="101" xfId="0" applyNumberFormat="1" applyFont="1" applyFill="1" applyBorder="1" applyAlignment="1">
      <alignment horizontal="center" vertical="center"/>
    </xf>
    <xf numFmtId="164" fontId="0" fillId="28" borderId="100" xfId="0" applyNumberFormat="1" applyFont="1" applyFill="1" applyBorder="1" applyAlignment="1">
      <alignment horizontal="center" vertical="center"/>
    </xf>
    <xf numFmtId="164" fontId="0" fillId="41" borderId="100" xfId="0" applyNumberFormat="1" applyFont="1" applyFill="1" applyBorder="1" applyAlignment="1">
      <alignment horizontal="center" vertical="center"/>
    </xf>
    <xf numFmtId="164" fontId="0" fillId="41" borderId="101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0" fillId="0" borderId="0" xfId="0" applyNumberFormat="1"/>
    <xf numFmtId="0" fontId="3" fillId="28" borderId="106" xfId="0" applyFont="1" applyFill="1" applyBorder="1" applyAlignment="1">
      <alignment horizontal="center" vertical="center"/>
    </xf>
    <xf numFmtId="164" fontId="0" fillId="28" borderId="104" xfId="0" applyNumberFormat="1" applyFont="1" applyFill="1" applyBorder="1" applyAlignment="1">
      <alignment horizontal="center" vertical="center"/>
    </xf>
    <xf numFmtId="164" fontId="0" fillId="39" borderId="104" xfId="0" applyNumberFormat="1" applyFont="1" applyFill="1" applyBorder="1" applyAlignment="1">
      <alignment horizontal="center" vertical="center"/>
    </xf>
    <xf numFmtId="10" fontId="0" fillId="28" borderId="104" xfId="1" applyNumberFormat="1" applyFont="1" applyFill="1" applyBorder="1" applyAlignment="1">
      <alignment horizontal="center" vertical="center"/>
    </xf>
    <xf numFmtId="0" fontId="0" fillId="39" borderId="107" xfId="0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164" fontId="3" fillId="38" borderId="18" xfId="0" applyNumberFormat="1" applyFont="1" applyFill="1" applyBorder="1" applyAlignment="1">
      <alignment horizontal="center" vertical="center"/>
    </xf>
    <xf numFmtId="164" fontId="3" fillId="38" borderId="41" xfId="0" applyNumberFormat="1" applyFont="1" applyFill="1" applyBorder="1" applyAlignment="1">
      <alignment horizontal="center" vertical="center"/>
    </xf>
    <xf numFmtId="10" fontId="3" fillId="38" borderId="16" xfId="1" applyNumberFormat="1" applyFont="1" applyFill="1" applyBorder="1" applyAlignment="1">
      <alignment horizontal="center" vertical="center"/>
    </xf>
    <xf numFmtId="0" fontId="37" fillId="39" borderId="60" xfId="0" applyFont="1" applyFill="1" applyBorder="1" applyAlignment="1">
      <alignment horizontal="center" vertical="center"/>
    </xf>
    <xf numFmtId="0" fontId="0" fillId="0" borderId="4" xfId="0" applyNumberFormat="1" applyBorder="1"/>
    <xf numFmtId="0" fontId="3" fillId="28" borderId="108" xfId="0" applyFont="1" applyFill="1" applyBorder="1" applyAlignment="1">
      <alignment horizontal="center" vertical="center"/>
    </xf>
    <xf numFmtId="164" fontId="0" fillId="39" borderId="103" xfId="0" applyNumberFormat="1" applyFont="1" applyFill="1" applyBorder="1" applyAlignment="1">
      <alignment horizontal="center" vertical="center"/>
    </xf>
    <xf numFmtId="164" fontId="0" fillId="28" borderId="109" xfId="0" applyNumberFormat="1" applyFont="1" applyFill="1" applyBorder="1" applyAlignment="1">
      <alignment horizontal="center" vertical="center"/>
    </xf>
    <xf numFmtId="164" fontId="6" fillId="3" borderId="103" xfId="0" applyNumberFormat="1" applyFont="1" applyFill="1" applyBorder="1" applyAlignment="1">
      <alignment vertical="center"/>
    </xf>
    <xf numFmtId="164" fontId="0" fillId="28" borderId="108" xfId="0" applyNumberFormat="1" applyFont="1" applyFill="1" applyBorder="1" applyAlignment="1">
      <alignment horizontal="center" vertical="center"/>
    </xf>
    <xf numFmtId="10" fontId="0" fillId="28" borderId="103" xfId="1" applyNumberFormat="1" applyFont="1" applyFill="1" applyBorder="1" applyAlignment="1">
      <alignment horizontal="center" vertical="center"/>
    </xf>
    <xf numFmtId="0" fontId="6" fillId="39" borderId="110" xfId="0" applyFont="1" applyFill="1" applyBorder="1" applyAlignment="1">
      <alignment horizontal="center" vertical="center"/>
    </xf>
    <xf numFmtId="0" fontId="0" fillId="0" borderId="103" xfId="0" applyNumberFormat="1" applyBorder="1"/>
    <xf numFmtId="0" fontId="0" fillId="3" borderId="103" xfId="0" applyNumberFormat="1" applyFont="1" applyFill="1" applyBorder="1" applyAlignment="1">
      <alignment vertical="center"/>
    </xf>
    <xf numFmtId="0" fontId="3" fillId="28" borderId="112" xfId="0" applyFont="1" applyFill="1" applyBorder="1" applyAlignment="1">
      <alignment horizontal="center" vertical="center"/>
    </xf>
    <xf numFmtId="164" fontId="0" fillId="28" borderId="113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vertical="center"/>
    </xf>
    <xf numFmtId="164" fontId="0" fillId="28" borderId="112" xfId="0" applyNumberFormat="1" applyFont="1" applyFill="1" applyBorder="1" applyAlignment="1">
      <alignment horizontal="center" vertical="center"/>
    </xf>
    <xf numFmtId="9" fontId="0" fillId="28" borderId="18" xfId="1" applyFont="1" applyFill="1" applyBorder="1" applyAlignment="1">
      <alignment horizontal="center" vertical="center"/>
    </xf>
    <xf numFmtId="2" fontId="0" fillId="28" borderId="43" xfId="0" applyNumberFormat="1" applyFont="1" applyFill="1" applyBorder="1" applyAlignment="1">
      <alignment horizontal="center" vertical="center"/>
    </xf>
    <xf numFmtId="2" fontId="0" fillId="28" borderId="41" xfId="0" applyNumberFormat="1" applyFont="1" applyFill="1" applyBorder="1" applyAlignment="1">
      <alignment horizontal="center" vertical="center"/>
    </xf>
    <xf numFmtId="2" fontId="6" fillId="28" borderId="43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right"/>
    </xf>
    <xf numFmtId="164" fontId="0" fillId="3" borderId="16" xfId="0" applyNumberFormat="1" applyFont="1" applyFill="1" applyBorder="1" applyAlignment="1">
      <alignment horizontal="right" vertical="center"/>
    </xf>
    <xf numFmtId="164" fontId="0" fillId="3" borderId="20" xfId="0" applyNumberFormat="1" applyFont="1" applyFill="1" applyBorder="1" applyAlignment="1">
      <alignment horizontal="right" vertical="center"/>
    </xf>
    <xf numFmtId="9" fontId="1" fillId="38" borderId="20" xfId="1" applyFont="1" applyFill="1" applyBorder="1" applyAlignment="1">
      <alignment horizontal="center" vertical="center"/>
    </xf>
    <xf numFmtId="9" fontId="1" fillId="38" borderId="16" xfId="1" applyFont="1" applyFill="1" applyBorder="1" applyAlignment="1">
      <alignment horizontal="center" vertical="center"/>
    </xf>
    <xf numFmtId="9" fontId="1" fillId="41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164" fontId="48" fillId="3" borderId="119" xfId="0" applyNumberFormat="1" applyFont="1" applyFill="1" applyBorder="1" applyAlignment="1">
      <alignment horizontal="center" vertical="center"/>
    </xf>
    <xf numFmtId="164" fontId="48" fillId="3" borderId="16" xfId="0" applyNumberFormat="1" applyFont="1" applyFill="1" applyBorder="1" applyAlignment="1">
      <alignment horizontal="center" vertical="center"/>
    </xf>
    <xf numFmtId="164" fontId="48" fillId="3" borderId="20" xfId="0" applyNumberFormat="1" applyFont="1" applyFill="1" applyBorder="1" applyAlignment="1">
      <alignment horizontal="center" vertical="center"/>
    </xf>
    <xf numFmtId="0" fontId="52" fillId="3" borderId="0" xfId="0" applyFont="1" applyFill="1"/>
    <xf numFmtId="0" fontId="52" fillId="42" borderId="118" xfId="0" applyFont="1" applyFill="1" applyBorder="1" applyAlignment="1">
      <alignment horizontal="left" vertical="center" wrapText="1"/>
    </xf>
    <xf numFmtId="0" fontId="52" fillId="42" borderId="118" xfId="0" applyFont="1" applyFill="1" applyBorder="1" applyAlignment="1">
      <alignment horizontal="center" vertical="center" wrapText="1"/>
    </xf>
    <xf numFmtId="0" fontId="52" fillId="42" borderId="118" xfId="0" applyFont="1" applyFill="1" applyBorder="1" applyAlignment="1">
      <alignment horizontal="center" vertical="center"/>
    </xf>
    <xf numFmtId="0" fontId="52" fillId="3" borderId="118" xfId="0" applyFont="1" applyFill="1" applyBorder="1" applyAlignment="1">
      <alignment vertical="center"/>
    </xf>
    <xf numFmtId="166" fontId="52" fillId="3" borderId="118" xfId="0" applyNumberFormat="1" applyFont="1" applyFill="1" applyBorder="1" applyAlignment="1">
      <alignment vertical="center"/>
    </xf>
    <xf numFmtId="166" fontId="52" fillId="28" borderId="118" xfId="0" applyNumberFormat="1" applyFont="1" applyFill="1" applyBorder="1" applyAlignment="1">
      <alignment horizontal="center" vertical="center"/>
    </xf>
    <xf numFmtId="166" fontId="52" fillId="42" borderId="118" xfId="0" applyNumberFormat="1" applyFont="1" applyFill="1" applyBorder="1" applyAlignment="1">
      <alignment vertical="center"/>
    </xf>
    <xf numFmtId="0" fontId="52" fillId="3" borderId="0" xfId="0" applyFont="1" applyFill="1" applyBorder="1" applyAlignment="1">
      <alignment horizontal="left" wrapText="1"/>
    </xf>
    <xf numFmtId="166" fontId="52" fillId="3" borderId="0" xfId="0" applyNumberFormat="1" applyFont="1" applyFill="1" applyBorder="1"/>
    <xf numFmtId="175" fontId="52" fillId="3" borderId="87" xfId="0" applyNumberFormat="1" applyFont="1" applyFill="1" applyBorder="1" applyAlignment="1">
      <alignment horizontal="center" vertical="center"/>
    </xf>
    <xf numFmtId="164" fontId="52" fillId="3" borderId="87" xfId="0" applyNumberFormat="1" applyFont="1" applyFill="1" applyBorder="1" applyAlignment="1">
      <alignment horizontal="center" vertical="center"/>
    </xf>
    <xf numFmtId="176" fontId="52" fillId="3" borderId="87" xfId="0" applyNumberFormat="1" applyFont="1" applyFill="1" applyBorder="1" applyAlignment="1">
      <alignment horizontal="center" vertical="center"/>
    </xf>
    <xf numFmtId="172" fontId="52" fillId="3" borderId="87" xfId="0" applyNumberFormat="1" applyFont="1" applyFill="1" applyBorder="1" applyAlignment="1">
      <alignment horizontal="center" vertical="center"/>
    </xf>
    <xf numFmtId="164" fontId="52" fillId="28" borderId="87" xfId="0" applyNumberFormat="1" applyFont="1" applyFill="1" applyBorder="1" applyAlignment="1">
      <alignment horizontal="center" vertical="center"/>
    </xf>
    <xf numFmtId="0" fontId="52" fillId="3" borderId="118" xfId="0" applyFont="1" applyFill="1" applyBorder="1"/>
    <xf numFmtId="166" fontId="52" fillId="3" borderId="118" xfId="0" applyNumberFormat="1" applyFont="1" applyFill="1" applyBorder="1"/>
    <xf numFmtId="0" fontId="52" fillId="3" borderId="0" xfId="0" applyFont="1" applyFill="1" applyBorder="1" applyAlignment="1">
      <alignment horizontal="center" vertical="center" wrapText="1"/>
    </xf>
    <xf numFmtId="164" fontId="52" fillId="3" borderId="20" xfId="0" applyNumberFormat="1" applyFont="1" applyFill="1" applyBorder="1" applyAlignment="1">
      <alignment horizontal="center" vertical="center"/>
    </xf>
    <xf numFmtId="164" fontId="52" fillId="3" borderId="16" xfId="0" applyNumberFormat="1" applyFont="1" applyFill="1" applyBorder="1" applyAlignment="1">
      <alignment horizontal="center" vertical="center"/>
    </xf>
    <xf numFmtId="172" fontId="52" fillId="28" borderId="87" xfId="0" applyNumberFormat="1" applyFont="1" applyFill="1" applyBorder="1" applyAlignment="1">
      <alignment horizontal="center" vertical="center" wrapText="1"/>
    </xf>
    <xf numFmtId="164" fontId="48" fillId="3" borderId="120" xfId="0" applyNumberFormat="1" applyFont="1" applyFill="1" applyBorder="1" applyAlignment="1">
      <alignment horizontal="center" vertical="center"/>
    </xf>
    <xf numFmtId="164" fontId="48" fillId="3" borderId="21" xfId="0" applyNumberFormat="1" applyFont="1" applyFill="1" applyBorder="1" applyAlignment="1">
      <alignment horizontal="center" vertical="center"/>
    </xf>
    <xf numFmtId="0" fontId="38" fillId="28" borderId="122" xfId="42071" applyFont="1" applyFill="1" applyBorder="1" applyAlignment="1">
      <alignment horizontal="center" vertical="center" wrapText="1"/>
    </xf>
    <xf numFmtId="10" fontId="0" fillId="28" borderId="21" xfId="1" applyNumberFormat="1" applyFont="1" applyFill="1" applyBorder="1" applyAlignment="1">
      <alignment horizontal="center" vertical="center"/>
    </xf>
    <xf numFmtId="10" fontId="0" fillId="28" borderId="18" xfId="1" applyNumberFormat="1" applyFont="1" applyFill="1" applyBorder="1" applyAlignment="1">
      <alignment horizontal="center" vertical="center"/>
    </xf>
    <xf numFmtId="10" fontId="0" fillId="28" borderId="120" xfId="1" applyNumberFormat="1" applyFont="1" applyFill="1" applyBorder="1" applyAlignment="1">
      <alignment horizontal="center" vertical="center"/>
    </xf>
    <xf numFmtId="9" fontId="1" fillId="45" borderId="120" xfId="1" applyFont="1" applyFill="1" applyBorder="1" applyAlignment="1">
      <alignment horizontal="center" vertical="center"/>
    </xf>
    <xf numFmtId="9" fontId="1" fillId="45" borderId="18" xfId="1" applyFont="1" applyFill="1" applyBorder="1" applyAlignment="1">
      <alignment horizontal="center" vertical="center"/>
    </xf>
    <xf numFmtId="10" fontId="0" fillId="41" borderId="120" xfId="1" applyNumberFormat="1" applyFont="1" applyFill="1" applyBorder="1" applyAlignment="1">
      <alignment horizontal="center" vertical="center"/>
    </xf>
    <xf numFmtId="10" fontId="0" fillId="41" borderId="21" xfId="1" applyNumberFormat="1" applyFont="1" applyFill="1" applyBorder="1" applyAlignment="1">
      <alignment horizontal="center" vertical="center"/>
    </xf>
    <xf numFmtId="9" fontId="1" fillId="45" borderId="21" xfId="1" applyFont="1" applyFill="1" applyBorder="1" applyAlignment="1">
      <alignment horizontal="center" vertical="center"/>
    </xf>
    <xf numFmtId="9" fontId="1" fillId="38" borderId="120" xfId="1" applyFont="1" applyFill="1" applyBorder="1" applyAlignment="1">
      <alignment horizontal="center" vertical="center"/>
    </xf>
    <xf numFmtId="9" fontId="1" fillId="38" borderId="122" xfId="1" applyFont="1" applyFill="1" applyBorder="1" applyAlignment="1">
      <alignment horizontal="center" vertical="center"/>
    </xf>
    <xf numFmtId="0" fontId="6" fillId="26" borderId="118" xfId="42071" applyFont="1" applyFill="1" applyBorder="1" applyAlignment="1">
      <alignment horizontal="center" vertical="center" wrapText="1"/>
    </xf>
    <xf numFmtId="0" fontId="6" fillId="26" borderId="118" xfId="0" applyFont="1" applyFill="1" applyBorder="1" applyAlignment="1">
      <alignment horizontal="center" vertical="center" wrapText="1"/>
    </xf>
    <xf numFmtId="0" fontId="38" fillId="26" borderId="118" xfId="42071" applyFont="1" applyFill="1" applyBorder="1" applyAlignment="1">
      <alignment horizontal="center" vertical="center" wrapText="1"/>
    </xf>
    <xf numFmtId="0" fontId="6" fillId="28" borderId="121" xfId="0" applyFont="1" applyFill="1" applyBorder="1" applyAlignment="1">
      <alignment horizontal="center" vertical="center" wrapText="1"/>
    </xf>
    <xf numFmtId="164" fontId="0" fillId="28" borderId="123" xfId="0" applyNumberFormat="1" applyFont="1" applyFill="1" applyBorder="1" applyAlignment="1">
      <alignment horizontal="center" vertical="center"/>
    </xf>
    <xf numFmtId="164" fontId="0" fillId="41" borderId="123" xfId="0" applyNumberFormat="1" applyFont="1" applyFill="1" applyBorder="1" applyAlignment="1">
      <alignment horizontal="center" vertical="center"/>
    </xf>
    <xf numFmtId="169" fontId="6" fillId="28" borderId="121" xfId="0" applyNumberFormat="1" applyFont="1" applyFill="1" applyBorder="1" applyAlignment="1">
      <alignment horizontal="center" vertical="center"/>
    </xf>
    <xf numFmtId="0" fontId="38" fillId="35" borderId="118" xfId="0" applyFont="1" applyFill="1" applyBorder="1" applyAlignment="1">
      <alignment horizontal="center" vertical="center" wrapText="1"/>
    </xf>
    <xf numFmtId="0" fontId="38" fillId="35" borderId="118" xfId="42071" applyFont="1" applyFill="1" applyBorder="1" applyAlignment="1">
      <alignment horizontal="center" vertical="center" wrapText="1"/>
    </xf>
    <xf numFmtId="9" fontId="1" fillId="38" borderId="118" xfId="1" applyFont="1" applyFill="1" applyBorder="1" applyAlignment="1">
      <alignment horizontal="center" vertical="center"/>
    </xf>
    <xf numFmtId="169" fontId="6" fillId="28" borderId="118" xfId="0" applyNumberFormat="1" applyFont="1" applyFill="1" applyBorder="1" applyAlignment="1">
      <alignment horizontal="center" vertical="center"/>
    </xf>
    <xf numFmtId="171" fontId="6" fillId="28" borderId="118" xfId="0" applyNumberFormat="1" applyFont="1" applyFill="1" applyBorder="1" applyAlignment="1">
      <alignment horizontal="center" vertical="center"/>
    </xf>
    <xf numFmtId="164" fontId="0" fillId="34" borderId="21" xfId="0" applyNumberFormat="1" applyFont="1" applyFill="1" applyBorder="1" applyAlignment="1">
      <alignment horizontal="center" vertical="center"/>
    </xf>
    <xf numFmtId="164" fontId="0" fillId="34" borderId="123" xfId="0" applyNumberFormat="1" applyFont="1" applyFill="1" applyBorder="1" applyAlignment="1">
      <alignment horizontal="center" vertical="center"/>
    </xf>
    <xf numFmtId="164" fontId="0" fillId="3" borderId="119" xfId="0" applyNumberFormat="1" applyFont="1" applyFill="1" applyBorder="1" applyAlignment="1">
      <alignment horizontal="right" vertical="center"/>
    </xf>
    <xf numFmtId="9" fontId="1" fillId="38" borderId="119" xfId="1" applyFont="1" applyFill="1" applyBorder="1" applyAlignment="1">
      <alignment horizontal="center" vertical="center"/>
    </xf>
    <xf numFmtId="164" fontId="0" fillId="34" borderId="124" xfId="0" applyNumberFormat="1" applyFont="1" applyFill="1" applyBorder="1" applyAlignment="1">
      <alignment horizontal="center" vertical="center"/>
    </xf>
    <xf numFmtId="9" fontId="1" fillId="41" borderId="119" xfId="1" applyFont="1" applyFill="1" applyBorder="1" applyAlignment="1">
      <alignment horizontal="center" vertical="center"/>
    </xf>
    <xf numFmtId="164" fontId="0" fillId="34" borderId="120" xfId="0" applyNumberFormat="1" applyFont="1" applyFill="1" applyBorder="1" applyAlignment="1">
      <alignment horizontal="center" vertical="center"/>
    </xf>
    <xf numFmtId="164" fontId="0" fillId="3" borderId="119" xfId="0" applyNumberFormat="1" applyFont="1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20" xfId="0" applyFill="1" applyBorder="1" applyAlignment="1">
      <alignment horizontal="center" vertical="center"/>
    </xf>
    <xf numFmtId="0" fontId="0" fillId="41" borderId="120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6" fillId="28" borderId="120" xfId="0" applyFont="1" applyFill="1" applyBorder="1" applyAlignment="1">
      <alignment horizontal="center" vertical="center"/>
    </xf>
    <xf numFmtId="0" fontId="40" fillId="34" borderId="118" xfId="0" applyFont="1" applyFill="1" applyBorder="1" applyAlignment="1">
      <alignment horizontal="center" vertical="center" wrapText="1"/>
    </xf>
    <xf numFmtId="0" fontId="38" fillId="34" borderId="118" xfId="0" applyFont="1" applyFill="1" applyBorder="1" applyAlignment="1">
      <alignment horizontal="center" vertical="center" wrapText="1"/>
    </xf>
    <xf numFmtId="0" fontId="38" fillId="34" borderId="118" xfId="42071" applyFont="1" applyFill="1" applyBorder="1" applyAlignment="1">
      <alignment horizontal="center" vertical="center" wrapText="1"/>
    </xf>
    <xf numFmtId="9" fontId="1" fillId="28" borderId="20" xfId="1" applyFont="1" applyFill="1" applyBorder="1" applyAlignment="1">
      <alignment horizontal="center" vertical="center"/>
    </xf>
    <xf numFmtId="9" fontId="1" fillId="28" borderId="16" xfId="1" applyFont="1" applyFill="1" applyBorder="1" applyAlignment="1">
      <alignment horizontal="center" vertical="center"/>
    </xf>
    <xf numFmtId="9" fontId="1" fillId="28" borderId="119" xfId="1" applyFont="1" applyFill="1" applyBorder="1" applyAlignment="1">
      <alignment horizontal="center" vertical="center"/>
    </xf>
    <xf numFmtId="10" fontId="6" fillId="28" borderId="118" xfId="1" applyNumberFormat="1" applyFont="1" applyFill="1" applyBorder="1" applyAlignment="1">
      <alignment horizontal="center" vertical="center"/>
    </xf>
    <xf numFmtId="0" fontId="38" fillId="28" borderId="118" xfId="0" applyFont="1" applyFill="1" applyBorder="1" applyAlignment="1">
      <alignment horizontal="center" vertical="center" wrapText="1"/>
    </xf>
    <xf numFmtId="0" fontId="38" fillId="28" borderId="118" xfId="42071" applyFont="1" applyFill="1" applyBorder="1" applyAlignment="1">
      <alignment horizontal="center" vertical="center" wrapText="1"/>
    </xf>
    <xf numFmtId="0" fontId="40" fillId="31" borderId="118" xfId="0" applyFont="1" applyFill="1" applyBorder="1" applyAlignment="1">
      <alignment horizontal="center" vertical="center" wrapText="1"/>
    </xf>
    <xf numFmtId="0" fontId="38" fillId="31" borderId="118" xfId="0" applyFont="1" applyFill="1" applyBorder="1" applyAlignment="1">
      <alignment horizontal="center" vertical="center" wrapText="1"/>
    </xf>
    <xf numFmtId="0" fontId="38" fillId="31" borderId="118" xfId="42071" applyFont="1" applyFill="1" applyBorder="1" applyAlignment="1">
      <alignment horizontal="center" vertical="center" wrapText="1"/>
    </xf>
    <xf numFmtId="0" fontId="38" fillId="28" borderId="121" xfId="0" applyFont="1" applyFill="1" applyBorder="1" applyAlignment="1">
      <alignment horizontal="center" vertical="center" wrapText="1"/>
    </xf>
    <xf numFmtId="0" fontId="38" fillId="38" borderId="118" xfId="0" applyFont="1" applyFill="1" applyBorder="1" applyAlignment="1">
      <alignment horizontal="center" vertical="center" wrapText="1"/>
    </xf>
    <xf numFmtId="0" fontId="38" fillId="38" borderId="118" xfId="42071" applyFont="1" applyFill="1" applyBorder="1" applyAlignment="1">
      <alignment horizontal="center" vertical="center" wrapText="1"/>
    </xf>
    <xf numFmtId="164" fontId="44" fillId="3" borderId="119" xfId="0" applyNumberFormat="1" applyFont="1" applyFill="1" applyBorder="1" applyAlignment="1">
      <alignment horizontal="center" vertical="center"/>
    </xf>
    <xf numFmtId="2" fontId="0" fillId="28" borderId="119" xfId="0" applyNumberFormat="1" applyFont="1" applyFill="1" applyBorder="1" applyAlignment="1">
      <alignment horizontal="center" vertical="center"/>
    </xf>
    <xf numFmtId="2" fontId="0" fillId="28" borderId="120" xfId="0" applyNumberFormat="1" applyFont="1" applyFill="1" applyBorder="1" applyAlignment="1">
      <alignment horizontal="center" vertical="center"/>
    </xf>
    <xf numFmtId="2" fontId="0" fillId="31" borderId="119" xfId="0" applyNumberFormat="1" applyFont="1" applyFill="1" applyBorder="1" applyAlignment="1">
      <alignment horizontal="center" vertical="center"/>
    </xf>
    <xf numFmtId="2" fontId="0" fillId="31" borderId="120" xfId="0" applyNumberFormat="1" applyFont="1" applyFill="1" applyBorder="1" applyAlignment="1">
      <alignment horizontal="center" vertical="center"/>
    </xf>
    <xf numFmtId="2" fontId="0" fillId="28" borderId="124" xfId="0" applyNumberFormat="1" applyFont="1" applyFill="1" applyBorder="1" applyAlignment="1">
      <alignment horizontal="center" vertical="center"/>
    </xf>
    <xf numFmtId="2" fontId="0" fillId="3" borderId="119" xfId="0" applyNumberFormat="1" applyFont="1" applyFill="1" applyBorder="1" applyAlignment="1">
      <alignment horizontal="center" vertical="center"/>
    </xf>
    <xf numFmtId="9" fontId="0" fillId="28" borderId="120" xfId="1" applyFont="1" applyFill="1" applyBorder="1" applyAlignment="1">
      <alignment horizontal="center" vertical="center"/>
    </xf>
    <xf numFmtId="2" fontId="6" fillId="31" borderId="120" xfId="0" applyNumberFormat="1" applyFont="1" applyFill="1" applyBorder="1" applyAlignment="1">
      <alignment horizontal="center" vertical="center"/>
    </xf>
    <xf numFmtId="2" fontId="6" fillId="28" borderId="124" xfId="0" applyNumberFormat="1" applyFont="1" applyFill="1" applyBorder="1" applyAlignment="1">
      <alignment horizontal="center" vertical="center"/>
    </xf>
    <xf numFmtId="169" fontId="6" fillId="26" borderId="118" xfId="0" applyNumberFormat="1" applyFont="1" applyFill="1" applyBorder="1" applyAlignment="1">
      <alignment horizontal="center" vertical="center"/>
    </xf>
    <xf numFmtId="169" fontId="6" fillId="37" borderId="118" xfId="0" applyNumberFormat="1" applyFont="1" applyFill="1" applyBorder="1" applyAlignment="1">
      <alignment horizontal="center" vertical="center"/>
    </xf>
    <xf numFmtId="169" fontId="6" fillId="37" borderId="119" xfId="0" applyNumberFormat="1" applyFont="1" applyFill="1" applyBorder="1" applyAlignment="1">
      <alignment horizontal="center" vertical="center"/>
    </xf>
    <xf numFmtId="9" fontId="6" fillId="37" borderId="120" xfId="1" applyFont="1" applyFill="1" applyBorder="1" applyAlignment="1">
      <alignment horizontal="center" vertical="center"/>
    </xf>
    <xf numFmtId="164" fontId="0" fillId="37" borderId="118" xfId="0" applyNumberFormat="1" applyFont="1" applyFill="1" applyBorder="1" applyAlignment="1">
      <alignment horizontal="center" vertical="center"/>
    </xf>
    <xf numFmtId="9" fontId="6" fillId="37" borderId="122" xfId="1" applyFont="1" applyFill="1" applyBorder="1" applyAlignment="1">
      <alignment horizontal="center" vertical="center"/>
    </xf>
    <xf numFmtId="9" fontId="6" fillId="26" borderId="122" xfId="1" applyFont="1" applyFill="1" applyBorder="1" applyAlignment="1">
      <alignment horizontal="center" vertical="center"/>
    </xf>
    <xf numFmtId="9" fontId="0" fillId="31" borderId="20" xfId="1" applyFont="1" applyFill="1" applyBorder="1" applyAlignment="1">
      <alignment horizontal="center" vertical="center"/>
    </xf>
    <xf numFmtId="9" fontId="0" fillId="31" borderId="16" xfId="1" applyFont="1" applyFill="1" applyBorder="1" applyAlignment="1">
      <alignment horizontal="center" vertical="center"/>
    </xf>
    <xf numFmtId="9" fontId="6" fillId="31" borderId="20" xfId="1" applyFont="1" applyFill="1" applyBorder="1" applyAlignment="1">
      <alignment horizontal="center" vertical="center"/>
    </xf>
    <xf numFmtId="9" fontId="6" fillId="31" borderId="119" xfId="1" applyFont="1" applyFill="1" applyBorder="1" applyAlignment="1">
      <alignment horizontal="center" vertical="center"/>
    </xf>
    <xf numFmtId="9" fontId="0" fillId="31" borderId="119" xfId="1" applyFont="1" applyFill="1" applyBorder="1" applyAlignment="1">
      <alignment horizontal="center" vertical="center"/>
    </xf>
    <xf numFmtId="9" fontId="0" fillId="28" borderId="20" xfId="1" applyFont="1" applyFill="1" applyBorder="1" applyAlignment="1">
      <alignment horizontal="center" vertical="center"/>
    </xf>
    <xf numFmtId="9" fontId="6" fillId="37" borderId="119" xfId="1" applyFont="1" applyFill="1" applyBorder="1" applyAlignment="1">
      <alignment horizontal="center" vertical="center"/>
    </xf>
    <xf numFmtId="9" fontId="6" fillId="37" borderId="118" xfId="1" applyFont="1" applyFill="1" applyBorder="1" applyAlignment="1">
      <alignment horizontal="center" vertical="center"/>
    </xf>
    <xf numFmtId="0" fontId="40" fillId="28" borderId="118" xfId="0" applyFont="1" applyFill="1" applyBorder="1" applyAlignment="1">
      <alignment horizontal="center" vertical="center" wrapText="1"/>
    </xf>
    <xf numFmtId="9" fontId="0" fillId="28" borderId="16" xfId="1" applyFont="1" applyFill="1" applyBorder="1" applyAlignment="1">
      <alignment horizontal="center" vertical="center"/>
    </xf>
    <xf numFmtId="9" fontId="0" fillId="28" borderId="119" xfId="1" applyFont="1" applyFill="1" applyBorder="1" applyAlignment="1">
      <alignment horizontal="center" vertical="center"/>
    </xf>
    <xf numFmtId="174" fontId="6" fillId="26" borderId="118" xfId="0" applyNumberFormat="1" applyFont="1" applyFill="1" applyBorder="1" applyAlignment="1">
      <alignment horizontal="center" vertical="center"/>
    </xf>
    <xf numFmtId="9" fontId="6" fillId="26" borderId="118" xfId="1" applyFont="1" applyFill="1" applyBorder="1" applyAlignment="1">
      <alignment horizontal="center" vertical="center"/>
    </xf>
    <xf numFmtId="2" fontId="52" fillId="3" borderId="120" xfId="0" applyNumberFormat="1" applyFont="1" applyFill="1" applyBorder="1" applyAlignment="1">
      <alignment horizontal="center" vertical="center"/>
    </xf>
    <xf numFmtId="2" fontId="52" fillId="3" borderId="21" xfId="0" applyNumberFormat="1" applyFont="1" applyFill="1" applyBorder="1" applyAlignment="1">
      <alignment horizontal="center" vertical="center"/>
    </xf>
    <xf numFmtId="0" fontId="52" fillId="28" borderId="87" xfId="0" applyFont="1" applyFill="1" applyBorder="1" applyAlignment="1">
      <alignment horizontal="center" vertical="center" wrapText="1"/>
    </xf>
    <xf numFmtId="175" fontId="52" fillId="28" borderId="87" xfId="0" applyNumberFormat="1" applyFont="1" applyFill="1" applyBorder="1" applyAlignment="1">
      <alignment horizontal="center" vertical="center"/>
    </xf>
    <xf numFmtId="0" fontId="51" fillId="3" borderId="0" xfId="0" applyFont="1" applyFill="1" applyAlignment="1">
      <alignment horizontal="right"/>
    </xf>
    <xf numFmtId="0" fontId="54" fillId="46" borderId="118" xfId="0" applyFont="1" applyFill="1" applyBorder="1" applyAlignment="1">
      <alignment horizontal="center" vertical="center"/>
    </xf>
    <xf numFmtId="0" fontId="55" fillId="46" borderId="118" xfId="0" applyFont="1" applyFill="1" applyBorder="1" applyAlignment="1">
      <alignment horizontal="center" vertical="center"/>
    </xf>
    <xf numFmtId="0" fontId="53" fillId="46" borderId="122" xfId="0" applyFont="1" applyFill="1" applyBorder="1" applyAlignment="1">
      <alignment horizontal="center" vertical="center" wrapText="1"/>
    </xf>
    <xf numFmtId="14" fontId="48" fillId="3" borderId="118" xfId="0" applyNumberFormat="1" applyFont="1" applyFill="1" applyBorder="1" applyAlignment="1">
      <alignment horizontal="center" vertical="center" wrapText="1"/>
    </xf>
    <xf numFmtId="0" fontId="6" fillId="27" borderId="118" xfId="0" applyFont="1" applyFill="1" applyBorder="1" applyAlignment="1">
      <alignment horizontal="center" vertical="center"/>
    </xf>
    <xf numFmtId="176" fontId="48" fillId="3" borderId="118" xfId="0" applyNumberFormat="1" applyFont="1" applyFill="1" applyBorder="1" applyAlignment="1">
      <alignment horizontal="center" vertical="center"/>
    </xf>
    <xf numFmtId="2" fontId="56" fillId="3" borderId="118" xfId="0" applyNumberFormat="1" applyFont="1" applyFill="1" applyBorder="1" applyAlignment="1">
      <alignment horizontal="center" vertical="center" wrapText="1"/>
    </xf>
    <xf numFmtId="2" fontId="48" fillId="3" borderId="118" xfId="0" applyNumberFormat="1" applyFont="1" applyFill="1" applyBorder="1"/>
    <xf numFmtId="0" fontId="47" fillId="3" borderId="118" xfId="0" applyFont="1" applyFill="1" applyBorder="1" applyAlignment="1">
      <alignment horizontal="center" vertical="top" wrapText="1"/>
    </xf>
    <xf numFmtId="43" fontId="56" fillId="3" borderId="118" xfId="42096" applyFont="1" applyFill="1" applyBorder="1" applyAlignment="1">
      <alignment horizontal="center" vertical="center" wrapText="1"/>
    </xf>
    <xf numFmtId="0" fontId="48" fillId="3" borderId="118" xfId="0" applyFont="1" applyFill="1" applyBorder="1" applyAlignment="1">
      <alignment horizontal="center"/>
    </xf>
    <xf numFmtId="164" fontId="52" fillId="28" borderId="88" xfId="0" applyNumberFormat="1" applyFont="1" applyFill="1" applyBorder="1" applyAlignment="1">
      <alignment horizontal="center" vertical="center" wrapText="1"/>
    </xf>
    <xf numFmtId="2" fontId="52" fillId="28" borderId="89" xfId="0" applyNumberFormat="1" applyFont="1" applyFill="1" applyBorder="1" applyAlignment="1">
      <alignment horizontal="center" vertical="center"/>
    </xf>
    <xf numFmtId="173" fontId="52" fillId="28" borderId="87" xfId="0" applyNumberFormat="1" applyFont="1" applyFill="1" applyBorder="1" applyAlignment="1">
      <alignment horizontal="center" vertical="center"/>
    </xf>
    <xf numFmtId="164" fontId="52" fillId="28" borderId="16" xfId="0" applyNumberFormat="1" applyFont="1" applyFill="1" applyBorder="1" applyAlignment="1">
      <alignment horizontal="center" vertical="center" wrapText="1"/>
    </xf>
    <xf numFmtId="2" fontId="52" fillId="28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166" fontId="0" fillId="3" borderId="0" xfId="0" applyNumberFormat="1" applyFill="1"/>
    <xf numFmtId="164" fontId="0" fillId="3" borderId="0" xfId="0" applyNumberFormat="1" applyFill="1"/>
    <xf numFmtId="0" fontId="0" fillId="3" borderId="0" xfId="0" applyFill="1" applyBorder="1"/>
    <xf numFmtId="164" fontId="0" fillId="3" borderId="0" xfId="0" applyNumberFormat="1" applyFill="1" applyBorder="1"/>
    <xf numFmtId="0" fontId="2" fillId="3" borderId="0" xfId="0" applyFont="1" applyFill="1"/>
    <xf numFmtId="2" fontId="0" fillId="3" borderId="0" xfId="0" applyNumberFormat="1" applyFill="1"/>
    <xf numFmtId="1" fontId="0" fillId="3" borderId="0" xfId="0" applyNumberFormat="1" applyFill="1"/>
    <xf numFmtId="0" fontId="5" fillId="3" borderId="35" xfId="0" applyFont="1" applyFill="1" applyBorder="1" applyAlignment="1">
      <alignment horizontal="center" vertical="center" wrapText="1"/>
    </xf>
    <xf numFmtId="0" fontId="30" fillId="3" borderId="0" xfId="0" applyFont="1" applyFill="1"/>
    <xf numFmtId="0" fontId="0" fillId="3" borderId="0" xfId="0" applyFont="1" applyFill="1"/>
    <xf numFmtId="0" fontId="49" fillId="3" borderId="0" xfId="0" applyFont="1" applyFill="1"/>
    <xf numFmtId="0" fontId="36" fillId="3" borderId="0" xfId="0" applyFont="1" applyFill="1" applyAlignment="1">
      <alignment horizontal="left"/>
    </xf>
    <xf numFmtId="0" fontId="50" fillId="3" borderId="0" xfId="0" applyFont="1" applyFill="1" applyBorder="1" applyAlignment="1">
      <alignment horizontal="center" vertical="center" wrapText="1"/>
    </xf>
    <xf numFmtId="0" fontId="47" fillId="30" borderId="126" xfId="0" applyFont="1" applyFill="1" applyBorder="1" applyAlignment="1">
      <alignment horizontal="center" vertical="top" wrapText="1"/>
    </xf>
    <xf numFmtId="14" fontId="47" fillId="0" borderId="126" xfId="0" applyNumberFormat="1" applyFont="1" applyFill="1" applyBorder="1" applyAlignment="1">
      <alignment horizontal="center" vertical="top" wrapText="1"/>
    </xf>
    <xf numFmtId="0" fontId="52" fillId="3" borderId="126" xfId="0" applyFont="1" applyFill="1" applyBorder="1" applyAlignment="1">
      <alignment horizontal="center"/>
    </xf>
    <xf numFmtId="0" fontId="47" fillId="30" borderId="118" xfId="0" applyFont="1" applyFill="1" applyBorder="1" applyAlignment="1">
      <alignment horizontal="center" vertical="top" wrapText="1"/>
    </xf>
    <xf numFmtId="0" fontId="48" fillId="28" borderId="121" xfId="0" applyFont="1" applyFill="1" applyBorder="1" applyAlignment="1">
      <alignment horizontal="center" vertical="center" wrapText="1"/>
    </xf>
    <xf numFmtId="0" fontId="53" fillId="46" borderId="118" xfId="0" applyFont="1" applyFill="1" applyBorder="1" applyAlignment="1">
      <alignment horizontal="center" vertical="center"/>
    </xf>
    <xf numFmtId="2" fontId="56" fillId="30" borderId="118" xfId="0" applyNumberFormat="1" applyFont="1" applyFill="1" applyBorder="1" applyAlignment="1">
      <alignment horizontal="center" vertical="center" wrapText="1"/>
    </xf>
    <xf numFmtId="164" fontId="2" fillId="30" borderId="119" xfId="0" applyNumberFormat="1" applyFont="1" applyFill="1" applyBorder="1" applyAlignment="1">
      <alignment horizontal="center" vertical="center"/>
    </xf>
    <xf numFmtId="0" fontId="0" fillId="47" borderId="20" xfId="0" applyNumberFormat="1" applyFill="1" applyBorder="1" applyAlignment="1">
      <alignment horizontal="right"/>
    </xf>
    <xf numFmtId="0" fontId="47" fillId="3" borderId="126" xfId="0" applyFont="1" applyFill="1" applyBorder="1" applyAlignment="1">
      <alignment horizontal="center" vertical="top" wrapText="1"/>
    </xf>
    <xf numFmtId="14" fontId="47" fillId="3" borderId="126" xfId="0" applyNumberFormat="1" applyFont="1" applyFill="1" applyBorder="1" applyAlignment="1">
      <alignment horizontal="center" vertical="top" wrapText="1"/>
    </xf>
    <xf numFmtId="0" fontId="6" fillId="3" borderId="118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 wrapText="1"/>
    </xf>
    <xf numFmtId="0" fontId="48" fillId="36" borderId="118" xfId="0" applyFont="1" applyFill="1" applyBorder="1" applyAlignment="1">
      <alignment horizontal="center" vertical="center" wrapText="1"/>
    </xf>
    <xf numFmtId="0" fontId="48" fillId="36" borderId="121" xfId="0" applyFont="1" applyFill="1" applyBorder="1" applyAlignment="1">
      <alignment horizontal="center" vertical="center" wrapText="1"/>
    </xf>
    <xf numFmtId="0" fontId="52" fillId="36" borderId="87" xfId="0" applyFont="1" applyFill="1" applyBorder="1" applyAlignment="1">
      <alignment horizontal="center" vertical="center" wrapText="1"/>
    </xf>
    <xf numFmtId="0" fontId="52" fillId="40" borderId="87" xfId="0" applyFont="1" applyFill="1" applyBorder="1" applyAlignment="1">
      <alignment horizontal="center" vertical="center" wrapText="1"/>
    </xf>
    <xf numFmtId="0" fontId="52" fillId="40" borderId="118" xfId="0" applyFont="1" applyFill="1" applyBorder="1" applyAlignment="1">
      <alignment horizontal="left" wrapText="1"/>
    </xf>
    <xf numFmtId="0" fontId="52" fillId="40" borderId="118" xfId="0" applyFont="1" applyFill="1" applyBorder="1" applyAlignment="1">
      <alignment horizontal="center" vertical="center" wrapText="1"/>
    </xf>
    <xf numFmtId="0" fontId="52" fillId="40" borderId="118" xfId="0" applyFont="1" applyFill="1" applyBorder="1" applyAlignment="1">
      <alignment horizontal="center"/>
    </xf>
    <xf numFmtId="0" fontId="52" fillId="40" borderId="118" xfId="0" applyFont="1" applyFill="1" applyBorder="1"/>
    <xf numFmtId="166" fontId="52" fillId="40" borderId="118" xfId="0" applyNumberFormat="1" applyFont="1" applyFill="1" applyBorder="1"/>
    <xf numFmtId="1" fontId="52" fillId="40" borderId="87" xfId="0" applyNumberFormat="1" applyFont="1" applyFill="1" applyBorder="1" applyAlignment="1">
      <alignment horizontal="center" vertical="center"/>
    </xf>
    <xf numFmtId="164" fontId="52" fillId="40" borderId="87" xfId="0" applyNumberFormat="1" applyFont="1" applyFill="1" applyBorder="1" applyAlignment="1">
      <alignment horizontal="center" vertical="center"/>
    </xf>
    <xf numFmtId="164" fontId="48" fillId="41" borderId="43" xfId="0" applyNumberFormat="1" applyFont="1" applyFill="1" applyBorder="1" applyAlignment="1">
      <alignment horizontal="center" vertical="center"/>
    </xf>
    <xf numFmtId="164" fontId="48" fillId="41" borderId="21" xfId="0" applyNumberFormat="1" applyFont="1" applyFill="1" applyBorder="1" applyAlignment="1">
      <alignment horizontal="center" vertical="center"/>
    </xf>
    <xf numFmtId="164" fontId="48" fillId="41" borderId="41" xfId="0" applyNumberFormat="1" applyFont="1" applyFill="1" applyBorder="1" applyAlignment="1">
      <alignment horizontal="center" vertical="center"/>
    </xf>
    <xf numFmtId="164" fontId="48" fillId="41" borderId="18" xfId="0" applyNumberFormat="1" applyFont="1" applyFill="1" applyBorder="1" applyAlignment="1">
      <alignment horizontal="center" vertical="center"/>
    </xf>
    <xf numFmtId="0" fontId="48" fillId="40" borderId="118" xfId="0" applyFont="1" applyFill="1" applyBorder="1" applyAlignment="1">
      <alignment horizontal="center" vertical="center" wrapText="1"/>
    </xf>
    <xf numFmtId="0" fontId="52" fillId="48" borderId="87" xfId="0" applyFont="1" applyFill="1" applyBorder="1" applyAlignment="1">
      <alignment horizontal="center" vertical="center" wrapText="1"/>
    </xf>
    <xf numFmtId="0" fontId="48" fillId="48" borderId="122" xfId="0" applyFont="1" applyFill="1" applyBorder="1" applyAlignment="1">
      <alignment horizontal="center" vertical="center" wrapText="1"/>
    </xf>
    <xf numFmtId="0" fontId="48" fillId="48" borderId="118" xfId="0" applyFont="1" applyFill="1" applyBorder="1" applyAlignment="1">
      <alignment horizontal="center" vertical="center" wrapText="1"/>
    </xf>
    <xf numFmtId="175" fontId="52" fillId="3" borderId="0" xfId="0" applyNumberFormat="1" applyFont="1" applyFill="1"/>
    <xf numFmtId="0" fontId="0" fillId="0" borderId="0" xfId="0" applyNumberFormat="1" applyAlignment="1">
      <alignment horizontal="center"/>
    </xf>
    <xf numFmtId="0" fontId="58" fillId="0" borderId="0" xfId="0" applyFont="1"/>
    <xf numFmtId="0" fontId="0" fillId="0" borderId="0" xfId="0" applyFill="1"/>
    <xf numFmtId="0" fontId="59" fillId="49" borderId="136" xfId="0" applyFont="1" applyFill="1" applyBorder="1"/>
    <xf numFmtId="0" fontId="0" fillId="49" borderId="0" xfId="0" applyFill="1"/>
    <xf numFmtId="0" fontId="60" fillId="49" borderId="136" xfId="0" applyFont="1" applyFill="1" applyBorder="1"/>
    <xf numFmtId="2" fontId="60" fillId="50" borderId="136" xfId="0" applyNumberFormat="1" applyFont="1" applyFill="1" applyBorder="1"/>
    <xf numFmtId="2" fontId="60" fillId="0" borderId="136" xfId="0" applyNumberFormat="1" applyFont="1" applyFill="1" applyBorder="1"/>
    <xf numFmtId="175" fontId="60" fillId="50" borderId="136" xfId="0" applyNumberFormat="1" applyFont="1" applyFill="1" applyBorder="1"/>
    <xf numFmtId="2" fontId="58" fillId="49" borderId="136" xfId="0" applyNumberFormat="1" applyFont="1" applyFill="1" applyBorder="1" applyAlignment="1">
      <alignment horizontal="center"/>
    </xf>
    <xf numFmtId="0" fontId="0" fillId="30" borderId="136" xfId="0" applyFill="1" applyBorder="1" applyAlignment="1">
      <alignment horizontal="center"/>
    </xf>
    <xf numFmtId="0" fontId="0" fillId="0" borderId="136" xfId="0" applyBorder="1"/>
    <xf numFmtId="2" fontId="0" fillId="0" borderId="136" xfId="0" applyNumberFormat="1" applyBorder="1"/>
    <xf numFmtId="0" fontId="0" fillId="41" borderId="136" xfId="0" applyFill="1" applyBorder="1" applyAlignment="1">
      <alignment horizontal="center"/>
    </xf>
    <xf numFmtId="0" fontId="3" fillId="51" borderId="128" xfId="0" applyNumberFormat="1" applyFont="1" applyFill="1" applyBorder="1"/>
    <xf numFmtId="0" fontId="0" fillId="3" borderId="139" xfId="0" applyNumberFormat="1" applyFill="1" applyBorder="1"/>
    <xf numFmtId="0" fontId="0" fillId="3" borderId="138" xfId="0" applyNumberFormat="1" applyFill="1" applyBorder="1"/>
    <xf numFmtId="164" fontId="2" fillId="3" borderId="11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 vertical="top" wrapText="1"/>
    </xf>
    <xf numFmtId="14" fontId="47" fillId="3" borderId="0" xfId="0" applyNumberFormat="1" applyFont="1" applyFill="1" applyBorder="1" applyAlignment="1">
      <alignment horizontal="center" vertical="top" wrapText="1"/>
    </xf>
    <xf numFmtId="0" fontId="56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/>
    </xf>
    <xf numFmtId="2" fontId="56" fillId="3" borderId="0" xfId="0" applyNumberFormat="1" applyFont="1" applyFill="1" applyBorder="1" applyAlignment="1">
      <alignment horizontal="center" vertical="center" wrapText="1"/>
    </xf>
    <xf numFmtId="2" fontId="48" fillId="3" borderId="0" xfId="0" applyNumberFormat="1" applyFont="1" applyFill="1" applyBorder="1"/>
    <xf numFmtId="0" fontId="48" fillId="30" borderId="118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171" fontId="0" fillId="3" borderId="0" xfId="0" applyNumberFormat="1" applyFill="1" applyAlignment="1">
      <alignment horizontal="center" vertical="center"/>
    </xf>
    <xf numFmtId="0" fontId="43" fillId="3" borderId="0" xfId="0" applyFont="1" applyFill="1" applyAlignment="1">
      <alignment horizontal="left"/>
    </xf>
    <xf numFmtId="0" fontId="42" fillId="3" borderId="0" xfId="0" applyFont="1" applyFill="1"/>
    <xf numFmtId="0" fontId="36" fillId="3" borderId="0" xfId="0" applyFont="1" applyFill="1"/>
    <xf numFmtId="169" fontId="45" fillId="3" borderId="0" xfId="0" applyNumberFormat="1" applyFont="1" applyFill="1" applyAlignment="1">
      <alignment horizontal="center"/>
    </xf>
    <xf numFmtId="169" fontId="46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1" fontId="45" fillId="3" borderId="0" xfId="0" applyNumberFormat="1" applyFont="1" applyFill="1" applyAlignment="1">
      <alignment horizontal="center"/>
    </xf>
    <xf numFmtId="171" fontId="46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vertical="center"/>
    </xf>
    <xf numFmtId="164" fontId="42" fillId="3" borderId="0" xfId="0" applyNumberFormat="1" applyFont="1" applyFill="1"/>
    <xf numFmtId="0" fontId="42" fillId="3" borderId="0" xfId="0" applyFont="1" applyFill="1" applyAlignment="1">
      <alignment horizontal="left"/>
    </xf>
    <xf numFmtId="2" fontId="42" fillId="3" borderId="0" xfId="0" applyNumberFormat="1" applyFont="1" applyFill="1"/>
    <xf numFmtId="9" fontId="42" fillId="3" borderId="0" xfId="1" applyFont="1" applyFill="1"/>
    <xf numFmtId="0" fontId="0" fillId="3" borderId="139" xfId="0" applyFill="1" applyBorder="1" applyAlignment="1">
      <alignment horizontal="center"/>
    </xf>
    <xf numFmtId="0" fontId="0" fillId="3" borderId="137" xfId="0" applyFill="1" applyBorder="1" applyAlignment="1">
      <alignment horizontal="center"/>
    </xf>
    <xf numFmtId="0" fontId="0" fillId="3" borderId="130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20" xfId="0" applyNumberFormat="1" applyFill="1" applyBorder="1"/>
    <xf numFmtId="0" fontId="0" fillId="3" borderId="139" xfId="0" applyFill="1" applyBorder="1" applyAlignment="1">
      <alignment horizontal="left"/>
    </xf>
    <xf numFmtId="0" fontId="0" fillId="3" borderId="114" xfId="0" applyFill="1" applyBorder="1"/>
    <xf numFmtId="0" fontId="0" fillId="3" borderId="16" xfId="0" applyFill="1" applyBorder="1"/>
    <xf numFmtId="0" fontId="0" fillId="3" borderId="18" xfId="0" applyFill="1" applyBorder="1"/>
    <xf numFmtId="0" fontId="3" fillId="3" borderId="131" xfId="0" applyFont="1" applyFill="1" applyBorder="1"/>
    <xf numFmtId="164" fontId="0" fillId="3" borderId="0" xfId="0" applyNumberFormat="1" applyFont="1" applyFill="1"/>
    <xf numFmtId="0" fontId="6" fillId="3" borderId="0" xfId="0" applyFont="1" applyFill="1"/>
    <xf numFmtId="0" fontId="0" fillId="52" borderId="20" xfId="0" applyFont="1" applyFill="1" applyBorder="1" applyAlignment="1">
      <alignment horizontal="center" vertical="center"/>
    </xf>
    <xf numFmtId="0" fontId="0" fillId="52" borderId="21" xfId="0" applyFont="1" applyFill="1" applyBorder="1" applyAlignment="1">
      <alignment horizontal="center" vertical="center"/>
    </xf>
    <xf numFmtId="0" fontId="0" fillId="52" borderId="16" xfId="0" applyFont="1" applyFill="1" applyBorder="1" applyAlignment="1">
      <alignment horizontal="center" vertical="center"/>
    </xf>
    <xf numFmtId="0" fontId="0" fillId="52" borderId="18" xfId="0" applyFont="1" applyFill="1" applyBorder="1" applyAlignment="1">
      <alignment horizontal="center" vertical="center"/>
    </xf>
    <xf numFmtId="0" fontId="0" fillId="52" borderId="119" xfId="0" applyFont="1" applyFill="1" applyBorder="1" applyAlignment="1">
      <alignment horizontal="center" vertical="center"/>
    </xf>
    <xf numFmtId="0" fontId="0" fillId="52" borderId="120" xfId="0" applyFont="1" applyFill="1" applyBorder="1" applyAlignment="1">
      <alignment horizontal="center" vertical="center"/>
    </xf>
    <xf numFmtId="0" fontId="5" fillId="40" borderId="73" xfId="0" applyFont="1" applyFill="1" applyBorder="1" applyAlignment="1">
      <alignment horizontal="center" vertical="center" wrapText="1"/>
    </xf>
    <xf numFmtId="1" fontId="3" fillId="40" borderId="11" xfId="0" applyNumberFormat="1" applyFont="1" applyFill="1" applyBorder="1" applyAlignment="1">
      <alignment horizontal="center" vertical="center"/>
    </xf>
    <xf numFmtId="1" fontId="3" fillId="40" borderId="66" xfId="0" applyNumberFormat="1" applyFont="1" applyFill="1" applyBorder="1" applyAlignment="1">
      <alignment horizontal="center" vertical="center"/>
    </xf>
    <xf numFmtId="9" fontId="3" fillId="40" borderId="51" xfId="1" applyFont="1" applyFill="1" applyBorder="1" applyAlignment="1">
      <alignment horizontal="center" vertical="center"/>
    </xf>
    <xf numFmtId="0" fontId="5" fillId="40" borderId="64" xfId="0" applyFont="1" applyFill="1" applyBorder="1" applyAlignment="1">
      <alignment horizontal="center" vertical="center" wrapText="1"/>
    </xf>
    <xf numFmtId="0" fontId="5" fillId="40" borderId="68" xfId="0" applyFont="1" applyFill="1" applyBorder="1" applyAlignment="1">
      <alignment horizontal="center" vertical="center" wrapText="1"/>
    </xf>
    <xf numFmtId="0" fontId="5" fillId="40" borderId="65" xfId="0" applyFont="1" applyFill="1" applyBorder="1" applyAlignment="1">
      <alignment horizontal="center" vertical="center" wrapText="1"/>
    </xf>
    <xf numFmtId="0" fontId="59" fillId="49" borderId="141" xfId="0" applyFont="1" applyFill="1" applyBorder="1"/>
    <xf numFmtId="2" fontId="60" fillId="50" borderId="141" xfId="0" applyNumberFormat="1" applyFont="1" applyFill="1" applyBorder="1"/>
    <xf numFmtId="2" fontId="60" fillId="0" borderId="141" xfId="0" applyNumberFormat="1" applyFont="1" applyFill="1" applyBorder="1"/>
    <xf numFmtId="175" fontId="60" fillId="50" borderId="141" xfId="0" applyNumberFormat="1" applyFont="1" applyFill="1" applyBorder="1"/>
    <xf numFmtId="2" fontId="58" fillId="49" borderId="141" xfId="0" applyNumberFormat="1" applyFont="1" applyFill="1" applyBorder="1" applyAlignment="1">
      <alignment horizontal="center"/>
    </xf>
    <xf numFmtId="14" fontId="59" fillId="49" borderId="136" xfId="0" applyNumberFormat="1" applyFont="1" applyFill="1" applyBorder="1"/>
    <xf numFmtId="0" fontId="0" fillId="3" borderId="0" xfId="0" applyFill="1" applyAlignment="1">
      <alignment horizontal="left" vertical="center" wrapText="1"/>
    </xf>
    <xf numFmtId="0" fontId="0" fillId="3" borderId="0" xfId="0" applyNumberFormat="1" applyFont="1" applyFill="1"/>
    <xf numFmtId="2" fontId="60" fillId="50" borderId="147" xfId="0" applyNumberFormat="1" applyFont="1" applyFill="1" applyBorder="1"/>
    <xf numFmtId="2" fontId="60" fillId="0" borderId="147" xfId="0" applyNumberFormat="1" applyFont="1" applyFill="1" applyBorder="1"/>
    <xf numFmtId="175" fontId="60" fillId="50" borderId="147" xfId="0" applyNumberFormat="1" applyFont="1" applyFill="1" applyBorder="1"/>
    <xf numFmtId="2" fontId="0" fillId="41" borderId="136" xfId="0" applyNumberFormat="1" applyFill="1" applyBorder="1"/>
    <xf numFmtId="0" fontId="3" fillId="54" borderId="148" xfId="0" applyFont="1" applyFill="1" applyBorder="1" applyAlignment="1">
      <alignment horizontal="center"/>
    </xf>
    <xf numFmtId="0" fontId="0" fillId="31" borderId="148" xfId="0" applyNumberFormat="1" applyFill="1" applyBorder="1"/>
    <xf numFmtId="0" fontId="2" fillId="31" borderId="148" xfId="0" applyNumberFormat="1" applyFont="1" applyFill="1" applyBorder="1"/>
    <xf numFmtId="0" fontId="37" fillId="31" borderId="148" xfId="0" applyNumberFormat="1" applyFont="1" applyFill="1" applyBorder="1"/>
    <xf numFmtId="0" fontId="3" fillId="31" borderId="148" xfId="0" applyFont="1" applyFill="1" applyBorder="1"/>
    <xf numFmtId="0" fontId="3" fillId="55" borderId="148" xfId="0" applyFont="1" applyFill="1" applyBorder="1" applyAlignment="1">
      <alignment horizontal="center"/>
    </xf>
    <xf numFmtId="0" fontId="0" fillId="52" borderId="148" xfId="0" applyNumberFormat="1" applyFill="1" applyBorder="1"/>
    <xf numFmtId="0" fontId="64" fillId="52" borderId="148" xfId="0" applyFont="1" applyFill="1" applyBorder="1"/>
    <xf numFmtId="0" fontId="6" fillId="52" borderId="148" xfId="0" applyNumberFormat="1" applyFont="1" applyFill="1" applyBorder="1" applyAlignment="1">
      <alignment horizontal="center"/>
    </xf>
    <xf numFmtId="0" fontId="2" fillId="52" borderId="148" xfId="0" applyNumberFormat="1" applyFont="1" applyFill="1" applyBorder="1"/>
    <xf numFmtId="0" fontId="37" fillId="52" borderId="148" xfId="0" applyNumberFormat="1" applyFont="1" applyFill="1" applyBorder="1"/>
    <xf numFmtId="0" fontId="6" fillId="52" borderId="148" xfId="0" applyNumberFormat="1" applyFont="1" applyFill="1" applyBorder="1"/>
    <xf numFmtId="0" fontId="3" fillId="52" borderId="148" xfId="0" applyFont="1" applyFill="1" applyBorder="1"/>
    <xf numFmtId="0" fontId="0" fillId="31" borderId="148" xfId="0" applyFill="1" applyBorder="1" applyAlignment="1">
      <alignment horizontal="left" indent="1"/>
    </xf>
    <xf numFmtId="0" fontId="6" fillId="31" borderId="148" xfId="0" applyFont="1" applyFill="1" applyBorder="1" applyAlignment="1">
      <alignment horizontal="center"/>
    </xf>
    <xf numFmtId="0" fontId="6" fillId="31" borderId="148" xfId="0" applyFont="1" applyFill="1" applyBorder="1" applyAlignment="1">
      <alignment horizontal="left" indent="1"/>
    </xf>
    <xf numFmtId="0" fontId="63" fillId="38" borderId="148" xfId="0" applyFont="1" applyFill="1" applyBorder="1" applyAlignment="1">
      <alignment horizontal="center"/>
    </xf>
    <xf numFmtId="0" fontId="64" fillId="38" borderId="148" xfId="0" applyFont="1" applyFill="1" applyBorder="1"/>
    <xf numFmtId="0" fontId="3" fillId="38" borderId="148" xfId="0" applyFont="1" applyFill="1" applyBorder="1"/>
    <xf numFmtId="0" fontId="3" fillId="56" borderId="148" xfId="0" applyFont="1" applyFill="1" applyBorder="1" applyAlignment="1">
      <alignment horizontal="center"/>
    </xf>
    <xf numFmtId="0" fontId="3" fillId="56" borderId="148" xfId="0" applyFont="1" applyFill="1" applyBorder="1" applyAlignment="1">
      <alignment horizontal="center" wrapText="1"/>
    </xf>
    <xf numFmtId="0" fontId="0" fillId="0" borderId="41" xfId="0" applyBorder="1"/>
    <xf numFmtId="0" fontId="0" fillId="38" borderId="41" xfId="0" applyFill="1" applyBorder="1"/>
    <xf numFmtId="0" fontId="0" fillId="30" borderId="0" xfId="0" applyNumberFormat="1" applyFill="1"/>
    <xf numFmtId="0" fontId="3" fillId="26" borderId="148" xfId="0" applyFont="1" applyFill="1" applyBorder="1"/>
    <xf numFmtId="0" fontId="0" fillId="28" borderId="148" xfId="0" applyFill="1" applyBorder="1" applyAlignment="1">
      <alignment horizontal="left" indent="1"/>
    </xf>
    <xf numFmtId="0" fontId="0" fillId="28" borderId="0" xfId="0" applyNumberFormat="1" applyFill="1"/>
    <xf numFmtId="0" fontId="0" fillId="28" borderId="148" xfId="0" applyNumberFormat="1" applyFill="1" applyBorder="1"/>
    <xf numFmtId="0" fontId="6" fillId="28" borderId="148" xfId="0" applyFont="1" applyFill="1" applyBorder="1" applyAlignment="1">
      <alignment horizontal="center"/>
    </xf>
    <xf numFmtId="0" fontId="2" fillId="28" borderId="148" xfId="0" applyNumberFormat="1" applyFont="1" applyFill="1" applyBorder="1"/>
    <xf numFmtId="0" fontId="6" fillId="28" borderId="148" xfId="0" applyFont="1" applyFill="1" applyBorder="1" applyAlignment="1">
      <alignment horizontal="left" indent="1"/>
    </xf>
    <xf numFmtId="0" fontId="37" fillId="28" borderId="148" xfId="0" applyNumberFormat="1" applyFont="1" applyFill="1" applyBorder="1"/>
    <xf numFmtId="0" fontId="3" fillId="28" borderId="148" xfId="0" applyFont="1" applyFill="1" applyBorder="1"/>
    <xf numFmtId="168" fontId="6" fillId="40" borderId="9" xfId="0" applyNumberFormat="1" applyFont="1" applyFill="1" applyBorder="1" applyAlignment="1">
      <alignment horizontal="center" vertical="center"/>
    </xf>
    <xf numFmtId="168" fontId="6" fillId="40" borderId="10" xfId="0" applyNumberFormat="1" applyFont="1" applyFill="1" applyBorder="1" applyAlignment="1">
      <alignment horizontal="center" vertical="center"/>
    </xf>
    <xf numFmtId="168" fontId="6" fillId="40" borderId="12" xfId="0" applyNumberFormat="1" applyFont="1" applyFill="1" applyBorder="1" applyAlignment="1">
      <alignment horizontal="center" vertic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59" xfId="0" applyFont="1" applyFill="1" applyBorder="1" applyAlignment="1">
      <alignment horizontal="center" vertical="center" wrapText="1"/>
    </xf>
    <xf numFmtId="168" fontId="6" fillId="28" borderId="9" xfId="0" applyNumberFormat="1" applyFont="1" applyFill="1" applyBorder="1" applyAlignment="1">
      <alignment horizontal="center" vertical="center"/>
    </xf>
    <xf numFmtId="168" fontId="6" fillId="28" borderId="10" xfId="0" applyNumberFormat="1" applyFont="1" applyFill="1" applyBorder="1" applyAlignment="1">
      <alignment horizontal="center" vertical="center"/>
    </xf>
    <xf numFmtId="168" fontId="6" fillId="28" borderId="12" xfId="0" applyNumberFormat="1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0" fontId="52" fillId="28" borderId="19" xfId="0" applyFont="1" applyFill="1" applyBorder="1" applyAlignment="1">
      <alignment horizontal="center" wrapText="1"/>
    </xf>
    <xf numFmtId="0" fontId="52" fillId="28" borderId="0" xfId="0" applyFont="1" applyFill="1" applyBorder="1" applyAlignment="1">
      <alignment horizontal="center" wrapText="1"/>
    </xf>
    <xf numFmtId="0" fontId="52" fillId="28" borderId="36" xfId="0" applyFont="1" applyFill="1" applyBorder="1" applyAlignment="1">
      <alignment horizontal="center" wrapText="1"/>
    </xf>
    <xf numFmtId="0" fontId="4" fillId="40" borderId="8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/>
    </xf>
    <xf numFmtId="0" fontId="4" fillId="40" borderId="35" xfId="0" applyFont="1" applyFill="1" applyBorder="1" applyAlignment="1">
      <alignment horizontal="center" vertical="center"/>
    </xf>
    <xf numFmtId="0" fontId="0" fillId="40" borderId="19" xfId="0" applyFill="1" applyBorder="1" applyAlignment="1">
      <alignment horizontal="center" wrapText="1"/>
    </xf>
    <xf numFmtId="0" fontId="0" fillId="40" borderId="0" xfId="0" applyFont="1" applyFill="1" applyBorder="1" applyAlignment="1">
      <alignment horizontal="center" wrapText="1"/>
    </xf>
    <xf numFmtId="0" fontId="0" fillId="40" borderId="36" xfId="0" applyFont="1" applyFill="1" applyBorder="1" applyAlignment="1">
      <alignment horizont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5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5" xfId="0" applyBorder="1"/>
    <xf numFmtId="0" fontId="0" fillId="26" borderId="70" xfId="0" applyFill="1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3" fillId="40" borderId="66" xfId="0" applyFont="1" applyFill="1" applyBorder="1" applyAlignment="1">
      <alignment horizontal="center" vertical="center"/>
    </xf>
    <xf numFmtId="0" fontId="3" fillId="40" borderId="73" xfId="0" applyFont="1" applyFill="1" applyBorder="1" applyAlignment="1">
      <alignment horizontal="center" vertical="center" wrapText="1"/>
    </xf>
    <xf numFmtId="0" fontId="3" fillId="40" borderId="75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wrapText="1"/>
    </xf>
    <xf numFmtId="0" fontId="0" fillId="28" borderId="0" xfId="0" applyFont="1" applyFill="1" applyBorder="1" applyAlignment="1">
      <alignment horizontal="center" wrapText="1"/>
    </xf>
    <xf numFmtId="0" fontId="0" fillId="28" borderId="36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center"/>
    </xf>
    <xf numFmtId="0" fontId="3" fillId="26" borderId="145" xfId="0" applyFont="1" applyFill="1" applyBorder="1" applyAlignment="1">
      <alignment horizontal="center" vertical="center"/>
    </xf>
    <xf numFmtId="0" fontId="3" fillId="26" borderId="146" xfId="0" applyFont="1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29" borderId="70" xfId="0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168" fontId="32" fillId="28" borderId="19" xfId="0" applyNumberFormat="1" applyFont="1" applyFill="1" applyBorder="1" applyAlignment="1">
      <alignment horizontal="center" vertical="center"/>
    </xf>
    <xf numFmtId="168" fontId="32" fillId="28" borderId="0" xfId="0" applyNumberFormat="1" applyFont="1" applyFill="1" applyBorder="1" applyAlignment="1">
      <alignment horizontal="center" vertical="center"/>
    </xf>
    <xf numFmtId="168" fontId="32" fillId="28" borderId="36" xfId="0" applyNumberFormat="1" applyFont="1" applyFill="1" applyBorder="1" applyAlignment="1">
      <alignment horizontal="center" vertical="center"/>
    </xf>
    <xf numFmtId="168" fontId="6" fillId="40" borderId="19" xfId="0" applyNumberFormat="1" applyFont="1" applyFill="1" applyBorder="1" applyAlignment="1">
      <alignment horizontal="center" vertical="center"/>
    </xf>
    <xf numFmtId="168" fontId="6" fillId="40" borderId="0" xfId="0" applyNumberFormat="1" applyFont="1" applyFill="1" applyBorder="1" applyAlignment="1">
      <alignment horizontal="center" vertical="center"/>
    </xf>
    <xf numFmtId="168" fontId="6" fillId="40" borderId="36" xfId="0" applyNumberFormat="1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169" fontId="37" fillId="38" borderId="8" xfId="0" applyNumberFormat="1" applyFont="1" applyFill="1" applyBorder="1" applyAlignment="1">
      <alignment horizontal="center" vertical="center"/>
    </xf>
    <xf numFmtId="169" fontId="37" fillId="38" borderId="36" xfId="0" applyNumberFormat="1" applyFont="1" applyFill="1" applyBorder="1" applyAlignment="1">
      <alignment horizontal="center" vertical="center"/>
    </xf>
    <xf numFmtId="169" fontId="37" fillId="38" borderId="9" xfId="0" applyNumberFormat="1" applyFont="1" applyFill="1" applyBorder="1" applyAlignment="1">
      <alignment horizontal="center" vertical="center"/>
    </xf>
    <xf numFmtId="169" fontId="37" fillId="38" borderId="12" xfId="0" applyNumberFormat="1" applyFont="1" applyFill="1" applyBorder="1" applyAlignment="1">
      <alignment horizontal="center" vertical="center"/>
    </xf>
    <xf numFmtId="2" fontId="3" fillId="38" borderId="4" xfId="0" applyNumberFormat="1" applyFont="1" applyFill="1" applyBorder="1" applyAlignment="1">
      <alignment horizontal="center" vertical="center"/>
    </xf>
    <xf numFmtId="2" fontId="3" fillId="38" borderId="11" xfId="0" applyNumberFormat="1" applyFont="1" applyFill="1" applyBorder="1" applyAlignment="1">
      <alignment horizontal="center" vertical="center"/>
    </xf>
    <xf numFmtId="2" fontId="3" fillId="38" borderId="6" xfId="0" applyNumberFormat="1" applyFont="1" applyFill="1" applyBorder="1" applyAlignment="1">
      <alignment horizontal="center" vertical="center"/>
    </xf>
    <xf numFmtId="2" fontId="3" fillId="38" borderId="51" xfId="0" applyNumberFormat="1" applyFont="1" applyFill="1" applyBorder="1" applyAlignment="1">
      <alignment horizontal="center" vertical="center"/>
    </xf>
    <xf numFmtId="2" fontId="3" fillId="38" borderId="3" xfId="0" applyNumberFormat="1" applyFont="1" applyFill="1" applyBorder="1" applyAlignment="1">
      <alignment horizontal="center" vertical="center"/>
    </xf>
    <xf numFmtId="2" fontId="3" fillId="38" borderId="34" xfId="0" applyNumberFormat="1" applyFont="1" applyFill="1" applyBorder="1" applyAlignment="1">
      <alignment horizontal="center" vertical="center"/>
    </xf>
    <xf numFmtId="10" fontId="6" fillId="43" borderId="84" xfId="0" applyNumberFormat="1" applyFont="1" applyFill="1" applyBorder="1" applyAlignment="1">
      <alignment horizontal="center" vertical="center"/>
    </xf>
    <xf numFmtId="10" fontId="6" fillId="43" borderId="36" xfId="0" applyNumberFormat="1" applyFont="1" applyFill="1" applyBorder="1" applyAlignment="1">
      <alignment horizontal="center" vertical="center"/>
    </xf>
    <xf numFmtId="0" fontId="3" fillId="28" borderId="111" xfId="0" applyFont="1" applyFill="1" applyBorder="1" applyAlignment="1">
      <alignment horizontal="center" vertical="center"/>
    </xf>
    <xf numFmtId="0" fontId="3" fillId="28" borderId="53" xfId="0" applyFont="1" applyFill="1" applyBorder="1" applyAlignment="1">
      <alignment horizontal="center" vertical="center"/>
    </xf>
    <xf numFmtId="2" fontId="0" fillId="3" borderId="62" xfId="0" applyNumberFormat="1" applyFont="1" applyFill="1" applyBorder="1" applyAlignment="1">
      <alignment horizontal="center" vertical="center"/>
    </xf>
    <xf numFmtId="2" fontId="0" fillId="3" borderId="93" xfId="0" applyNumberFormat="1" applyFont="1" applyFill="1" applyBorder="1" applyAlignment="1">
      <alignment horizontal="center" vertical="center"/>
    </xf>
    <xf numFmtId="2" fontId="0" fillId="3" borderId="57" xfId="0" applyNumberFormat="1" applyFont="1" applyFill="1" applyBorder="1" applyAlignment="1">
      <alignment horizontal="center" vertical="center"/>
    </xf>
    <xf numFmtId="2" fontId="0" fillId="3" borderId="91" xfId="0" applyNumberFormat="1" applyFont="1" applyFill="1" applyBorder="1" applyAlignment="1">
      <alignment horizontal="center" vertical="center"/>
    </xf>
    <xf numFmtId="10" fontId="6" fillId="43" borderId="82" xfId="0" applyNumberFormat="1" applyFont="1" applyFill="1" applyBorder="1" applyAlignment="1">
      <alignment horizontal="center" vertical="center"/>
    </xf>
    <xf numFmtId="10" fontId="1" fillId="3" borderId="55" xfId="1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3" fillId="28" borderId="56" xfId="0" applyFont="1" applyFill="1" applyBorder="1" applyAlignment="1">
      <alignment horizontal="center" vertical="center"/>
    </xf>
    <xf numFmtId="0" fontId="3" fillId="28" borderId="105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  <xf numFmtId="0" fontId="37" fillId="38" borderId="5" xfId="0" applyFont="1" applyFill="1" applyBorder="1" applyAlignment="1">
      <alignment horizontal="center" vertical="center"/>
    </xf>
    <xf numFmtId="0" fontId="37" fillId="38" borderId="7" xfId="0" applyFont="1" applyFill="1" applyBorder="1" applyAlignment="1">
      <alignment horizontal="center" vertical="center"/>
    </xf>
    <xf numFmtId="0" fontId="3" fillId="38" borderId="8" xfId="0" applyFont="1" applyFill="1" applyBorder="1" applyAlignment="1">
      <alignment horizontal="center" vertical="center" wrapText="1"/>
    </xf>
    <xf numFmtId="0" fontId="3" fillId="38" borderId="9" xfId="0" applyFont="1" applyFill="1" applyBorder="1" applyAlignment="1">
      <alignment horizontal="center" vertical="center" wrapText="1"/>
    </xf>
    <xf numFmtId="2" fontId="0" fillId="3" borderId="34" xfId="0" applyNumberFormat="1" applyFont="1" applyFill="1" applyBorder="1" applyAlignment="1">
      <alignment horizontal="center" vertical="center"/>
    </xf>
    <xf numFmtId="2" fontId="0" fillId="3" borderId="58" xfId="0" applyNumberFormat="1" applyFont="1" applyFill="1" applyBorder="1" applyAlignment="1">
      <alignment horizontal="center" vertical="center"/>
    </xf>
    <xf numFmtId="10" fontId="0" fillId="3" borderId="6" xfId="1" applyNumberFormat="1" applyFont="1" applyFill="1" applyBorder="1" applyAlignment="1">
      <alignment horizontal="center" vertical="center"/>
    </xf>
    <xf numFmtId="10" fontId="0" fillId="3" borderId="51" xfId="1" applyNumberFormat="1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167" fontId="4" fillId="26" borderId="9" xfId="0" applyNumberFormat="1" applyFont="1" applyFill="1" applyBorder="1" applyAlignment="1">
      <alignment horizontal="center" vertical="top" wrapText="1"/>
    </xf>
    <xf numFmtId="167" fontId="4" fillId="26" borderId="10" xfId="0" applyNumberFormat="1" applyFont="1" applyFill="1" applyBorder="1" applyAlignment="1">
      <alignment horizontal="center" vertical="top" wrapText="1"/>
    </xf>
    <xf numFmtId="167" fontId="4" fillId="26" borderId="12" xfId="0" applyNumberFormat="1" applyFont="1" applyFill="1" applyBorder="1" applyAlignment="1">
      <alignment horizontal="center" vertical="top" wrapText="1"/>
    </xf>
    <xf numFmtId="0" fontId="3" fillId="28" borderId="40" xfId="0" applyFont="1" applyFill="1" applyBorder="1" applyAlignment="1">
      <alignment horizontal="center" vertical="center"/>
    </xf>
    <xf numFmtId="0" fontId="0" fillId="28" borderId="99" xfId="0" applyFill="1" applyBorder="1" applyAlignment="1">
      <alignment horizontal="center" vertical="center" wrapText="1"/>
    </xf>
    <xf numFmtId="0" fontId="0" fillId="28" borderId="101" xfId="0" applyFill="1" applyBorder="1" applyAlignment="1">
      <alignment horizontal="center" vertical="center" wrapText="1"/>
    </xf>
    <xf numFmtId="164" fontId="6" fillId="41" borderId="118" xfId="0" applyNumberFormat="1" applyFont="1" applyFill="1" applyBorder="1" applyAlignment="1">
      <alignment horizontal="center" vertical="center"/>
    </xf>
    <xf numFmtId="164" fontId="6" fillId="28" borderId="118" xfId="0" applyNumberFormat="1" applyFont="1" applyFill="1" applyBorder="1" applyAlignment="1">
      <alignment horizontal="center" vertical="center"/>
    </xf>
    <xf numFmtId="164" fontId="6" fillId="3" borderId="118" xfId="0" applyNumberFormat="1" applyFont="1" applyFill="1" applyBorder="1" applyAlignment="1">
      <alignment horizontal="center" vertical="center"/>
    </xf>
    <xf numFmtId="9" fontId="1" fillId="38" borderId="118" xfId="1" applyFont="1" applyFill="1" applyBorder="1" applyAlignment="1">
      <alignment horizontal="center" vertical="center"/>
    </xf>
    <xf numFmtId="169" fontId="6" fillId="28" borderId="101" xfId="0" applyNumberFormat="1" applyFont="1" applyFill="1" applyBorder="1" applyAlignment="1">
      <alignment horizontal="center" vertical="center"/>
    </xf>
    <xf numFmtId="169" fontId="6" fillId="28" borderId="16" xfId="0" applyNumberFormat="1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 textRotation="90" wrapText="1"/>
    </xf>
    <xf numFmtId="0" fontId="4" fillId="28" borderId="18" xfId="0" applyFont="1" applyFill="1" applyBorder="1" applyAlignment="1">
      <alignment horizontal="center" vertical="center" textRotation="90" wrapText="1"/>
    </xf>
    <xf numFmtId="2" fontId="41" fillId="28" borderId="8" xfId="0" applyNumberFormat="1" applyFont="1" applyFill="1" applyBorder="1" applyAlignment="1">
      <alignment horizontal="center" vertical="center"/>
    </xf>
    <xf numFmtId="2" fontId="41" fillId="28" borderId="13" xfId="0" applyNumberFormat="1" applyFont="1" applyFill="1" applyBorder="1" applyAlignment="1">
      <alignment horizontal="center" vertical="center"/>
    </xf>
    <xf numFmtId="2" fontId="41" fillId="28" borderId="35" xfId="0" applyNumberFormat="1" applyFont="1" applyFill="1" applyBorder="1" applyAlignment="1">
      <alignment horizontal="center" vertical="center"/>
    </xf>
    <xf numFmtId="167" fontId="41" fillId="28" borderId="9" xfId="0" applyNumberFormat="1" applyFont="1" applyFill="1" applyBorder="1" applyAlignment="1">
      <alignment horizontal="center" vertical="top"/>
    </xf>
    <xf numFmtId="167" fontId="41" fillId="28" borderId="10" xfId="0" applyNumberFormat="1" applyFont="1" applyFill="1" applyBorder="1" applyAlignment="1">
      <alignment horizontal="center" vertical="top"/>
    </xf>
    <xf numFmtId="167" fontId="41" fillId="28" borderId="12" xfId="0" applyNumberFormat="1" applyFont="1" applyFill="1" applyBorder="1" applyAlignment="1">
      <alignment horizontal="center" vertical="top"/>
    </xf>
    <xf numFmtId="0" fontId="38" fillId="28" borderId="120" xfId="42052" applyFont="1" applyFill="1" applyBorder="1" applyAlignment="1">
      <alignment horizontal="center" vertical="center" wrapText="1"/>
    </xf>
    <xf numFmtId="0" fontId="38" fillId="28" borderId="18" xfId="42052" applyFont="1" applyFill="1" applyBorder="1" applyAlignment="1">
      <alignment horizontal="center" vertical="center" wrapText="1"/>
    </xf>
    <xf numFmtId="0" fontId="6" fillId="28" borderId="101" xfId="27278" applyFont="1" applyFill="1" applyBorder="1" applyAlignment="1">
      <alignment horizontal="center" vertical="center" wrapText="1"/>
    </xf>
    <xf numFmtId="0" fontId="6" fillId="28" borderId="16" xfId="27278" applyFont="1" applyFill="1" applyBorder="1" applyAlignment="1">
      <alignment horizontal="center" vertical="center" wrapText="1"/>
    </xf>
    <xf numFmtId="0" fontId="38" fillId="28" borderId="102" xfId="27278" applyFont="1" applyFill="1" applyBorder="1" applyAlignment="1">
      <alignment horizontal="center" vertical="center" wrapText="1"/>
    </xf>
    <xf numFmtId="0" fontId="38" fillId="28" borderId="18" xfId="27278" applyFont="1" applyFill="1" applyBorder="1" applyAlignment="1">
      <alignment horizontal="center" vertical="center" wrapText="1"/>
    </xf>
    <xf numFmtId="164" fontId="6" fillId="28" borderId="118" xfId="0" applyNumberFormat="1" applyFont="1" applyFill="1" applyBorder="1" applyAlignment="1">
      <alignment horizontal="center" vertical="center" wrapText="1"/>
    </xf>
    <xf numFmtId="10" fontId="6" fillId="28" borderId="118" xfId="0" applyNumberFormat="1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4" borderId="124" xfId="0" applyFont="1" applyFill="1" applyBorder="1" applyAlignment="1">
      <alignment horizontal="center" vertical="center"/>
    </xf>
    <xf numFmtId="0" fontId="6" fillId="35" borderId="120" xfId="0" applyFont="1" applyFill="1" applyBorder="1" applyAlignment="1">
      <alignment horizontal="center" vertical="center"/>
    </xf>
    <xf numFmtId="0" fontId="6" fillId="35" borderId="123" xfId="0" applyFont="1" applyFill="1" applyBorder="1" applyAlignment="1">
      <alignment horizontal="center" vertical="center"/>
    </xf>
    <xf numFmtId="0" fontId="6" fillId="35" borderId="124" xfId="0" applyFont="1" applyFill="1" applyBorder="1" applyAlignment="1">
      <alignment horizontal="center" vertical="center"/>
    </xf>
    <xf numFmtId="0" fontId="6" fillId="26" borderId="118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6" fillId="28" borderId="124" xfId="0" applyFont="1" applyFill="1" applyBorder="1" applyAlignment="1">
      <alignment horizontal="center" vertical="center"/>
    </xf>
    <xf numFmtId="0" fontId="6" fillId="28" borderId="101" xfId="0" applyFont="1" applyFill="1" applyBorder="1" applyAlignment="1">
      <alignment horizontal="center" vertical="center"/>
    </xf>
    <xf numFmtId="0" fontId="6" fillId="28" borderId="120" xfId="0" applyFont="1" applyFill="1" applyBorder="1" applyAlignment="1">
      <alignment horizontal="center" vertical="center"/>
    </xf>
    <xf numFmtId="0" fontId="2" fillId="41" borderId="99" xfId="0" applyFont="1" applyFill="1" applyBorder="1" applyAlignment="1">
      <alignment horizontal="center" vertical="center" wrapText="1"/>
    </xf>
    <xf numFmtId="9" fontId="1" fillId="41" borderId="118" xfId="1" applyFont="1" applyFill="1" applyBorder="1" applyAlignment="1">
      <alignment horizontal="center" vertical="center"/>
    </xf>
    <xf numFmtId="0" fontId="0" fillId="3" borderId="114" xfId="0" applyFill="1" applyBorder="1" applyAlignment="1">
      <alignment horizontal="center"/>
    </xf>
    <xf numFmtId="0" fontId="0" fillId="3" borderId="129" xfId="0" applyFill="1" applyBorder="1" applyAlignment="1">
      <alignment horizontal="center"/>
    </xf>
    <xf numFmtId="0" fontId="0" fillId="3" borderId="130" xfId="0" applyFill="1" applyBorder="1" applyAlignment="1">
      <alignment horizontal="center"/>
    </xf>
    <xf numFmtId="0" fontId="42" fillId="52" borderId="20" xfId="0" applyFont="1" applyFill="1" applyBorder="1" applyAlignment="1">
      <alignment horizontal="center" vertical="center" textRotation="90" wrapText="1"/>
    </xf>
    <xf numFmtId="0" fontId="42" fillId="52" borderId="16" xfId="0" applyFont="1" applyFill="1" applyBorder="1" applyAlignment="1">
      <alignment horizontal="center" vertical="center" textRotation="90" wrapText="1"/>
    </xf>
    <xf numFmtId="2" fontId="6" fillId="52" borderId="120" xfId="0" applyNumberFormat="1" applyFont="1" applyFill="1" applyBorder="1" applyAlignment="1">
      <alignment horizontal="center" vertical="center"/>
    </xf>
    <xf numFmtId="2" fontId="6" fillId="52" borderId="18" xfId="0" applyNumberFormat="1" applyFont="1" applyFill="1" applyBorder="1" applyAlignment="1">
      <alignment horizontal="center" vertical="center"/>
    </xf>
    <xf numFmtId="1" fontId="6" fillId="38" borderId="118" xfId="0" applyNumberFormat="1" applyFont="1" applyFill="1" applyBorder="1" applyAlignment="1">
      <alignment horizontal="center" vertical="center"/>
    </xf>
    <xf numFmtId="166" fontId="6" fillId="38" borderId="118" xfId="0" applyNumberFormat="1" applyFont="1" applyFill="1" applyBorder="1" applyAlignment="1">
      <alignment horizontal="center" vertical="center"/>
    </xf>
    <xf numFmtId="164" fontId="6" fillId="38" borderId="118" xfId="0" applyNumberFormat="1" applyFont="1" applyFill="1" applyBorder="1" applyAlignment="1">
      <alignment horizontal="center" vertical="center"/>
    </xf>
    <xf numFmtId="2" fontId="6" fillId="38" borderId="118" xfId="0" applyNumberFormat="1" applyFont="1" applyFill="1" applyBorder="1" applyAlignment="1">
      <alignment horizontal="center" vertical="center"/>
    </xf>
    <xf numFmtId="164" fontId="44" fillId="3" borderId="118" xfId="0" applyNumberFormat="1" applyFont="1" applyFill="1" applyBorder="1" applyAlignment="1">
      <alignment horizontal="center" vertical="center"/>
    </xf>
    <xf numFmtId="164" fontId="0" fillId="52" borderId="21" xfId="0" applyNumberFormat="1" applyFont="1" applyFill="1" applyBorder="1" applyAlignment="1">
      <alignment horizontal="center" vertical="center"/>
    </xf>
    <xf numFmtId="164" fontId="0" fillId="52" borderId="18" xfId="0" applyNumberFormat="1" applyFont="1" applyFill="1" applyBorder="1" applyAlignment="1">
      <alignment horizontal="center" vertical="center"/>
    </xf>
    <xf numFmtId="9" fontId="6" fillId="38" borderId="118" xfId="1" applyFont="1" applyFill="1" applyBorder="1" applyAlignment="1">
      <alignment horizontal="center" vertical="center"/>
    </xf>
    <xf numFmtId="169" fontId="6" fillId="52" borderId="119" xfId="0" applyNumberFormat="1" applyFont="1" applyFill="1" applyBorder="1" applyAlignment="1">
      <alignment horizontal="center" vertical="center" wrapText="1"/>
    </xf>
    <xf numFmtId="169" fontId="6" fillId="52" borderId="16" xfId="0" applyNumberFormat="1" applyFont="1" applyFill="1" applyBorder="1" applyAlignment="1">
      <alignment horizontal="center" vertical="center" wrapText="1"/>
    </xf>
    <xf numFmtId="2" fontId="39" fillId="40" borderId="116" xfId="0" applyNumberFormat="1" applyFont="1" applyFill="1" applyBorder="1" applyAlignment="1">
      <alignment horizontal="center" vertical="center"/>
    </xf>
    <xf numFmtId="2" fontId="39" fillId="40" borderId="115" xfId="0" applyNumberFormat="1" applyFont="1" applyFill="1" applyBorder="1" applyAlignment="1">
      <alignment horizontal="center" vertical="center"/>
    </xf>
    <xf numFmtId="2" fontId="39" fillId="40" borderId="117" xfId="0" applyNumberFormat="1" applyFont="1" applyFill="1" applyBorder="1" applyAlignment="1">
      <alignment horizontal="center" vertical="center"/>
    </xf>
    <xf numFmtId="167" fontId="39" fillId="40" borderId="18" xfId="0" applyNumberFormat="1" applyFont="1" applyFill="1" applyBorder="1" applyAlignment="1">
      <alignment horizontal="center" vertical="center"/>
    </xf>
    <xf numFmtId="167" fontId="39" fillId="40" borderId="17" xfId="0" applyNumberFormat="1" applyFont="1" applyFill="1" applyBorder="1" applyAlignment="1">
      <alignment horizontal="center" vertical="center"/>
    </xf>
    <xf numFmtId="167" fontId="39" fillId="40" borderId="41" xfId="0" applyNumberFormat="1" applyFont="1" applyFill="1" applyBorder="1" applyAlignment="1">
      <alignment horizontal="center" vertical="center"/>
    </xf>
    <xf numFmtId="0" fontId="38" fillId="28" borderId="118" xfId="0" applyFont="1" applyFill="1" applyBorder="1" applyAlignment="1">
      <alignment horizontal="center" vertical="center"/>
    </xf>
    <xf numFmtId="0" fontId="38" fillId="52" borderId="118" xfId="42052" applyFont="1" applyFill="1" applyBorder="1" applyAlignment="1">
      <alignment horizontal="center" vertical="center" wrapText="1"/>
    </xf>
    <xf numFmtId="0" fontId="38" fillId="52" borderId="118" xfId="27278" applyFont="1" applyFill="1" applyBorder="1" applyAlignment="1">
      <alignment horizontal="center" vertical="center" wrapText="1"/>
    </xf>
    <xf numFmtId="0" fontId="38" fillId="28" borderId="121" xfId="0" applyFont="1" applyFill="1" applyBorder="1" applyAlignment="1">
      <alignment horizontal="center" vertical="center"/>
    </xf>
    <xf numFmtId="0" fontId="38" fillId="28" borderId="122" xfId="0" applyFont="1" applyFill="1" applyBorder="1" applyAlignment="1">
      <alignment horizontal="center" vertical="center"/>
    </xf>
    <xf numFmtId="0" fontId="38" fillId="38" borderId="118" xfId="0" applyFont="1" applyFill="1" applyBorder="1" applyAlignment="1">
      <alignment horizontal="center" vertical="center"/>
    </xf>
    <xf numFmtId="0" fontId="38" fillId="52" borderId="122" xfId="42052" applyFont="1" applyFill="1" applyBorder="1" applyAlignment="1">
      <alignment horizontal="center" vertical="center" wrapText="1"/>
    </xf>
    <xf numFmtId="0" fontId="38" fillId="26" borderId="118" xfId="0" applyFont="1" applyFill="1" applyBorder="1" applyAlignment="1">
      <alignment horizontal="center" vertical="center"/>
    </xf>
    <xf numFmtId="164" fontId="6" fillId="38" borderId="16" xfId="0" applyNumberFormat="1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9" fontId="6" fillId="38" borderId="16" xfId="1" applyFont="1" applyFill="1" applyBorder="1" applyAlignment="1">
      <alignment horizontal="center" vertical="center"/>
    </xf>
    <xf numFmtId="164" fontId="44" fillId="3" borderId="16" xfId="0" applyNumberFormat="1" applyFont="1" applyFill="1" applyBorder="1" applyAlignment="1">
      <alignment horizontal="center" vertical="center"/>
    </xf>
    <xf numFmtId="0" fontId="3" fillId="56" borderId="148" xfId="0" applyFont="1" applyFill="1" applyBorder="1" applyAlignment="1">
      <alignment horizontal="center"/>
    </xf>
    <xf numFmtId="0" fontId="0" fillId="38" borderId="149" xfId="0" applyFill="1" applyBorder="1" applyAlignment="1">
      <alignment horizontal="center"/>
    </xf>
    <xf numFmtId="0" fontId="0" fillId="38" borderId="150" xfId="0" applyFill="1" applyBorder="1" applyAlignment="1">
      <alignment horizontal="center"/>
    </xf>
    <xf numFmtId="0" fontId="0" fillId="38" borderId="151" xfId="0" applyFill="1" applyBorder="1" applyAlignment="1">
      <alignment horizontal="center"/>
    </xf>
    <xf numFmtId="0" fontId="62" fillId="38" borderId="148" xfId="42097" applyFont="1" applyFill="1" applyBorder="1" applyAlignment="1">
      <alignment horizontal="center" wrapText="1"/>
    </xf>
    <xf numFmtId="0" fontId="3" fillId="38" borderId="149" xfId="0" applyFont="1" applyFill="1" applyBorder="1" applyAlignment="1">
      <alignment horizontal="center"/>
    </xf>
    <xf numFmtId="0" fontId="3" fillId="38" borderId="150" xfId="0" applyFont="1" applyFill="1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1" fontId="52" fillId="40" borderId="127" xfId="0" applyNumberFormat="1" applyFont="1" applyFill="1" applyBorder="1" applyAlignment="1">
      <alignment horizontal="center" vertical="center"/>
    </xf>
    <xf numFmtId="1" fontId="52" fillId="40" borderId="16" xfId="0" applyNumberFormat="1" applyFont="1" applyFill="1" applyBorder="1" applyAlignment="1">
      <alignment horizontal="center" vertical="center"/>
    </xf>
    <xf numFmtId="0" fontId="47" fillId="41" borderId="120" xfId="0" applyFont="1" applyFill="1" applyBorder="1" applyAlignment="1">
      <alignment horizontal="center" vertical="center"/>
    </xf>
    <xf numFmtId="0" fontId="47" fillId="41" borderId="123" xfId="0" applyFont="1" applyFill="1" applyBorder="1" applyAlignment="1">
      <alignment horizontal="center" vertical="center"/>
    </xf>
    <xf numFmtId="0" fontId="47" fillId="41" borderId="124" xfId="0" applyFont="1" applyFill="1" applyBorder="1" applyAlignment="1">
      <alignment horizontal="center" vertical="center"/>
    </xf>
    <xf numFmtId="0" fontId="47" fillId="41" borderId="18" xfId="0" applyFont="1" applyFill="1" applyBorder="1" applyAlignment="1">
      <alignment horizontal="center" vertical="center"/>
    </xf>
    <xf numFmtId="0" fontId="47" fillId="41" borderId="17" xfId="0" applyFont="1" applyFill="1" applyBorder="1" applyAlignment="1">
      <alignment horizontal="center" vertical="center"/>
    </xf>
    <xf numFmtId="0" fontId="47" fillId="41" borderId="41" xfId="0" applyFont="1" applyFill="1" applyBorder="1" applyAlignment="1">
      <alignment horizontal="center" vertical="center"/>
    </xf>
    <xf numFmtId="166" fontId="52" fillId="48" borderId="122" xfId="0" applyNumberFormat="1" applyFont="1" applyFill="1" applyBorder="1" applyAlignment="1">
      <alignment horizontal="center" vertical="center"/>
    </xf>
    <xf numFmtId="166" fontId="52" fillId="48" borderId="121" xfId="0" applyNumberFormat="1" applyFont="1" applyFill="1" applyBorder="1" applyAlignment="1">
      <alignment horizontal="center" vertical="center"/>
    </xf>
    <xf numFmtId="166" fontId="52" fillId="28" borderId="122" xfId="0" applyNumberFormat="1" applyFont="1" applyFill="1" applyBorder="1" applyAlignment="1">
      <alignment horizontal="center" vertical="center"/>
    </xf>
    <xf numFmtId="166" fontId="52" fillId="28" borderId="121" xfId="0" applyNumberFormat="1" applyFont="1" applyFill="1" applyBorder="1" applyAlignment="1">
      <alignment horizontal="center" vertical="center"/>
    </xf>
    <xf numFmtId="166" fontId="52" fillId="36" borderId="122" xfId="0" applyNumberFormat="1" applyFont="1" applyFill="1" applyBorder="1" applyAlignment="1">
      <alignment horizontal="center" vertical="center"/>
    </xf>
    <xf numFmtId="166" fontId="52" fillId="36" borderId="121" xfId="0" applyNumberFormat="1" applyFont="1" applyFill="1" applyBorder="1" applyAlignment="1">
      <alignment horizontal="center" vertical="center"/>
    </xf>
    <xf numFmtId="166" fontId="52" fillId="40" borderId="122" xfId="0" applyNumberFormat="1" applyFont="1" applyFill="1" applyBorder="1" applyAlignment="1">
      <alignment horizontal="center" vertical="center"/>
    </xf>
    <xf numFmtId="166" fontId="52" fillId="40" borderId="121" xfId="0" applyNumberFormat="1" applyFont="1" applyFill="1" applyBorder="1" applyAlignment="1">
      <alignment horizontal="center" vertical="center"/>
    </xf>
    <xf numFmtId="0" fontId="47" fillId="28" borderId="120" xfId="0" applyFont="1" applyFill="1" applyBorder="1" applyAlignment="1">
      <alignment horizontal="center" vertical="center"/>
    </xf>
    <xf numFmtId="0" fontId="47" fillId="28" borderId="123" xfId="0" applyFont="1" applyFill="1" applyBorder="1" applyAlignment="1">
      <alignment horizontal="center" vertical="center"/>
    </xf>
    <xf numFmtId="0" fontId="47" fillId="28" borderId="124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/>
    </xf>
    <xf numFmtId="0" fontId="47" fillId="28" borderId="17" xfId="0" applyFont="1" applyFill="1" applyBorder="1" applyAlignment="1">
      <alignment horizontal="center" vertical="center"/>
    </xf>
    <xf numFmtId="0" fontId="47" fillId="28" borderId="41" xfId="0" applyFont="1" applyFill="1" applyBorder="1" applyAlignment="1">
      <alignment horizontal="center" vertical="center"/>
    </xf>
    <xf numFmtId="0" fontId="52" fillId="41" borderId="122" xfId="0" applyFont="1" applyFill="1" applyBorder="1" applyAlignment="1">
      <alignment horizontal="center" vertical="center" wrapText="1"/>
    </xf>
    <xf numFmtId="0" fontId="52" fillId="41" borderId="125" xfId="0" applyFont="1" applyFill="1" applyBorder="1" applyAlignment="1">
      <alignment horizontal="center" vertical="center" wrapText="1"/>
    </xf>
    <xf numFmtId="0" fontId="52" fillId="41" borderId="121" xfId="0" applyFont="1" applyFill="1" applyBorder="1" applyAlignment="1">
      <alignment horizontal="center" vertical="center" wrapText="1"/>
    </xf>
    <xf numFmtId="0" fontId="52" fillId="40" borderId="122" xfId="0" applyFont="1" applyFill="1" applyBorder="1" applyAlignment="1">
      <alignment horizontal="center" vertical="center" wrapText="1"/>
    </xf>
    <xf numFmtId="0" fontId="52" fillId="40" borderId="125" xfId="0" applyFont="1" applyFill="1" applyBorder="1" applyAlignment="1">
      <alignment horizontal="center" vertical="center" wrapText="1"/>
    </xf>
    <xf numFmtId="0" fontId="52" fillId="40" borderId="121" xfId="0" applyFont="1" applyFill="1" applyBorder="1" applyAlignment="1">
      <alignment horizontal="center" vertical="center" wrapText="1"/>
    </xf>
    <xf numFmtId="0" fontId="57" fillId="48" borderId="132" xfId="0" applyFont="1" applyFill="1" applyBorder="1" applyAlignment="1">
      <alignment horizontal="center" wrapText="1"/>
    </xf>
    <xf numFmtId="0" fontId="57" fillId="48" borderId="133" xfId="0" applyFont="1" applyFill="1" applyBorder="1" applyAlignment="1">
      <alignment horizontal="center" wrapText="1"/>
    </xf>
    <xf numFmtId="0" fontId="57" fillId="48" borderId="134" xfId="0" applyFont="1" applyFill="1" applyBorder="1" applyAlignment="1">
      <alignment horizontal="center" wrapText="1"/>
    </xf>
    <xf numFmtId="175" fontId="52" fillId="41" borderId="135" xfId="0" applyNumberFormat="1" applyFont="1" applyFill="1" applyBorder="1" applyAlignment="1">
      <alignment horizontal="center" vertical="center" wrapText="1"/>
    </xf>
    <xf numFmtId="175" fontId="52" fillId="41" borderId="16" xfId="0" applyNumberFormat="1" applyFont="1" applyFill="1" applyBorder="1" applyAlignment="1">
      <alignment horizontal="center" vertical="center" wrapText="1"/>
    </xf>
    <xf numFmtId="0" fontId="56" fillId="3" borderId="139" xfId="0" applyFont="1" applyFill="1" applyBorder="1" applyAlignment="1">
      <alignment horizontal="center" vertical="top" wrapText="1"/>
    </xf>
    <xf numFmtId="0" fontId="56" fillId="3" borderId="138" xfId="0" applyFont="1" applyFill="1" applyBorder="1" applyAlignment="1">
      <alignment horizontal="center" vertical="top" wrapText="1"/>
    </xf>
    <xf numFmtId="0" fontId="56" fillId="3" borderId="140" xfId="0" applyFont="1" applyFill="1" applyBorder="1" applyAlignment="1">
      <alignment horizontal="center" vertical="top" wrapText="1"/>
    </xf>
    <xf numFmtId="0" fontId="48" fillId="36" borderId="132" xfId="0" applyFont="1" applyFill="1" applyBorder="1" applyAlignment="1">
      <alignment horizontal="center" vertical="center" wrapText="1"/>
    </xf>
    <xf numFmtId="0" fontId="48" fillId="36" borderId="133" xfId="0" applyFont="1" applyFill="1" applyBorder="1" applyAlignment="1">
      <alignment horizontal="center" vertical="center" wrapText="1"/>
    </xf>
    <xf numFmtId="0" fontId="48" fillId="36" borderId="134" xfId="0" applyFont="1" applyFill="1" applyBorder="1" applyAlignment="1">
      <alignment horizontal="center" vertical="center" wrapText="1"/>
    </xf>
    <xf numFmtId="164" fontId="52" fillId="40" borderId="127" xfId="0" applyNumberFormat="1" applyFont="1" applyFill="1" applyBorder="1" applyAlignment="1">
      <alignment horizontal="center" vertical="center"/>
    </xf>
    <xf numFmtId="164" fontId="52" fillId="40" borderId="16" xfId="0" applyNumberFormat="1" applyFont="1" applyFill="1" applyBorder="1" applyAlignment="1">
      <alignment horizontal="center" vertical="center"/>
    </xf>
    <xf numFmtId="0" fontId="52" fillId="48" borderId="118" xfId="0" applyFont="1" applyFill="1" applyBorder="1" applyAlignment="1">
      <alignment horizontal="center" vertical="center" wrapText="1"/>
    </xf>
    <xf numFmtId="0" fontId="47" fillId="40" borderId="120" xfId="0" applyFont="1" applyFill="1" applyBorder="1" applyAlignment="1">
      <alignment horizontal="center" vertical="center"/>
    </xf>
    <xf numFmtId="0" fontId="47" fillId="40" borderId="123" xfId="0" applyFont="1" applyFill="1" applyBorder="1" applyAlignment="1">
      <alignment horizontal="center" vertical="center"/>
    </xf>
    <xf numFmtId="0" fontId="47" fillId="40" borderId="124" xfId="0" applyFont="1" applyFill="1" applyBorder="1" applyAlignment="1">
      <alignment horizontal="center" vertical="center"/>
    </xf>
    <xf numFmtId="0" fontId="47" fillId="40" borderId="18" xfId="0" applyFont="1" applyFill="1" applyBorder="1" applyAlignment="1">
      <alignment horizontal="center" vertical="center"/>
    </xf>
    <xf numFmtId="0" fontId="47" fillId="40" borderId="17" xfId="0" applyFont="1" applyFill="1" applyBorder="1" applyAlignment="1">
      <alignment horizontal="center" vertical="center"/>
    </xf>
    <xf numFmtId="0" fontId="47" fillId="40" borderId="41" xfId="0" applyFont="1" applyFill="1" applyBorder="1" applyAlignment="1">
      <alignment horizontal="center" vertical="center"/>
    </xf>
    <xf numFmtId="0" fontId="52" fillId="40" borderId="118" xfId="0" applyFont="1" applyFill="1" applyBorder="1" applyAlignment="1">
      <alignment horizontal="center" vertical="center"/>
    </xf>
    <xf numFmtId="0" fontId="53" fillId="46" borderId="139" xfId="0" applyFont="1" applyFill="1" applyBorder="1" applyAlignment="1">
      <alignment horizontal="center" vertical="center"/>
    </xf>
    <xf numFmtId="0" fontId="53" fillId="46" borderId="138" xfId="0" applyFont="1" applyFill="1" applyBorder="1" applyAlignment="1">
      <alignment horizontal="center" vertical="center"/>
    </xf>
    <xf numFmtId="0" fontId="53" fillId="46" borderId="140" xfId="0" applyFont="1" applyFill="1" applyBorder="1" applyAlignment="1">
      <alignment horizontal="center" vertical="center"/>
    </xf>
    <xf numFmtId="0" fontId="56" fillId="3" borderId="142" xfId="0" applyFont="1" applyFill="1" applyBorder="1" applyAlignment="1">
      <alignment horizontal="left" vertical="top" wrapText="1"/>
    </xf>
    <xf numFmtId="0" fontId="56" fillId="3" borderId="143" xfId="0" applyFont="1" applyFill="1" applyBorder="1" applyAlignment="1">
      <alignment horizontal="left" vertical="top" wrapText="1"/>
    </xf>
    <xf numFmtId="0" fontId="56" fillId="3" borderId="144" xfId="0" applyFont="1" applyFill="1" applyBorder="1" applyAlignment="1">
      <alignment horizontal="left" vertical="top" wrapText="1"/>
    </xf>
    <xf numFmtId="0" fontId="53" fillId="46" borderId="142" xfId="0" applyFont="1" applyFill="1" applyBorder="1" applyAlignment="1">
      <alignment horizontal="center" vertical="center"/>
    </xf>
    <xf numFmtId="0" fontId="53" fillId="46" borderId="143" xfId="0" applyFont="1" applyFill="1" applyBorder="1" applyAlignment="1">
      <alignment horizontal="center" vertical="center"/>
    </xf>
    <xf numFmtId="0" fontId="53" fillId="46" borderId="144" xfId="0" applyFont="1" applyFill="1" applyBorder="1" applyAlignment="1">
      <alignment horizontal="center" vertical="center"/>
    </xf>
    <xf numFmtId="0" fontId="0" fillId="53" borderId="128" xfId="0" applyNumberFormat="1" applyFont="1" applyFill="1" applyBorder="1"/>
    <xf numFmtId="0" fontId="0" fillId="0" borderId="152" xfId="0" applyBorder="1"/>
    <xf numFmtId="0" fontId="0" fillId="0" borderId="153" xfId="0" applyNumberFormat="1" applyBorder="1" applyAlignment="1">
      <alignment horizontal="left"/>
    </xf>
    <xf numFmtId="0" fontId="0" fillId="0" borderId="154" xfId="0" applyNumberFormat="1" applyBorder="1"/>
    <xf numFmtId="0" fontId="0" fillId="0" borderId="155" xfId="0" applyNumberFormat="1" applyBorder="1"/>
    <xf numFmtId="0" fontId="0" fillId="0" borderId="21" xfId="0" applyNumberFormat="1" applyBorder="1" applyAlignment="1">
      <alignment horizontal="left"/>
    </xf>
    <xf numFmtId="0" fontId="0" fillId="0" borderId="0" xfId="0" applyNumberFormat="1" applyBorder="1"/>
    <xf numFmtId="0" fontId="0" fillId="0" borderId="43" xfId="0" applyNumberFormat="1" applyBorder="1"/>
    <xf numFmtId="0" fontId="0" fillId="0" borderId="18" xfId="0" applyNumberFormat="1" applyBorder="1" applyAlignment="1">
      <alignment horizontal="left"/>
    </xf>
    <xf numFmtId="0" fontId="0" fillId="0" borderId="17" xfId="0" applyNumberFormat="1" applyBorder="1"/>
    <xf numFmtId="0" fontId="0" fillId="0" borderId="41" xfId="0" applyNumberFormat="1" applyBorder="1"/>
    <xf numFmtId="0" fontId="0" fillId="3" borderId="148" xfId="0" applyFill="1" applyBorder="1" applyAlignment="1">
      <alignment horizontal="left" indent="1"/>
    </xf>
    <xf numFmtId="0" fontId="0" fillId="3" borderId="0" xfId="0" applyFill="1" applyAlignment="1">
      <alignment horizontal="left" indent="2"/>
    </xf>
    <xf numFmtId="0" fontId="0" fillId="3" borderId="0" xfId="0" applyFill="1" applyAlignment="1">
      <alignment horizontal="left" indent="1"/>
    </xf>
  </cellXfs>
  <cellStyles count="42098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1 8" xfId="41711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2 8" xfId="41712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3 8" xfId="41713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4 8" xfId="41714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5 8" xfId="41715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20% - Énfasis6 8" xfId="41716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1 8" xfId="41717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2 8" xfId="41718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3 8" xfId="41719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4 8" xfId="41720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5 8" xfId="41721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41722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1 8" xfId="41723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2 8" xfId="41724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41725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4 8" xfId="41726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5 8" xfId="41727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60% - Énfasis6 8" xfId="41728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Buena 8" xfId="41729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álculo 9" xfId="41730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de comprobación 8" xfId="4173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Celda vinculada 8" xfId="41732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Encabezado 4 8" xfId="41733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1 8" xfId="41734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2 8" xfId="41735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3 8" xfId="4173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4 8" xfId="41737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5 8" xfId="41738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Énfasis6 8" xfId="41739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ntrada 9" xfId="41740"/>
    <cellStyle name="Excel Built-in Normal" xfId="5734"/>
    <cellStyle name="Hipervínculo 2" xfId="41741"/>
    <cellStyle name="Hipervínculo 2 2" xfId="41742"/>
    <cellStyle name="Hipervínculo 3" xfId="41743"/>
    <cellStyle name="Hipervínculo 3 2" xfId="4174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Incorrecto 8" xfId="41745"/>
    <cellStyle name="Millares" xfId="42096" builtinId="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16" xfId="41746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Moneda 8" xfId="41747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eutral 8" xfId="41748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2 2" xfId="41749"/>
    <cellStyle name="Normal 10 20" xfId="41750"/>
    <cellStyle name="Normal 10 3" xfId="6076"/>
    <cellStyle name="Normal 10 3 2" xfId="41751"/>
    <cellStyle name="Normal 10 4" xfId="6077"/>
    <cellStyle name="Normal 10 4 2" xfId="41752"/>
    <cellStyle name="Normal 10 5" xfId="6078"/>
    <cellStyle name="Normal 10 5 2" xfId="41753"/>
    <cellStyle name="Normal 10 6" xfId="6079"/>
    <cellStyle name="Normal 10 6 2" xfId="41754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4 2" xfId="41755"/>
    <cellStyle name="Normal 11 5" xfId="6172"/>
    <cellStyle name="Normal 11 5 2" xfId="41756"/>
    <cellStyle name="Normal 11 6" xfId="6173"/>
    <cellStyle name="Normal 11 6 2" xfId="41757"/>
    <cellStyle name="Normal 11 7" xfId="41758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3 2 2" xfId="41759"/>
    <cellStyle name="Normal 13 3" xfId="41760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16" xfId="41761"/>
    <cellStyle name="Normal 14 2" xfId="6218"/>
    <cellStyle name="Normal 14 2 2" xfId="41762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16" xfId="41763"/>
    <cellStyle name="Normal 15 2" xfId="6300"/>
    <cellStyle name="Normal 15 2 2" xfId="41764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14" xfId="41765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13" xfId="41766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2 6" xfId="41767"/>
    <cellStyle name="Normal 2 11 2 3" xfId="6928"/>
    <cellStyle name="Normal 2 11 2 3 2" xfId="41768"/>
    <cellStyle name="Normal 2 11 2 4" xfId="6929"/>
    <cellStyle name="Normal 2 11 2 4 2" xfId="41769"/>
    <cellStyle name="Normal 2 11 2 5" xfId="6930"/>
    <cellStyle name="Normal 2 11 2 5 2" xfId="4177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1 7" xfId="41771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5 6" xfId="41772"/>
    <cellStyle name="Normal 2 16" xfId="7876"/>
    <cellStyle name="Normal 2 16 2" xfId="41773"/>
    <cellStyle name="Normal 2 17" xfId="7877"/>
    <cellStyle name="Normal 2 17 2" xfId="41774"/>
    <cellStyle name="Normal 2 18" xfId="7878"/>
    <cellStyle name="Normal 2 18 2" xfId="41775"/>
    <cellStyle name="Normal 2 19" xfId="7879"/>
    <cellStyle name="Normal 2 2" xfId="7880"/>
    <cellStyle name="Normal 2 2 10" xfId="7881"/>
    <cellStyle name="Normal 2 2 10 2" xfId="41776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2 2" xfId="41777"/>
    <cellStyle name="Normal 2 2 11 2 2 3" xfId="7918"/>
    <cellStyle name="Normal 2 2 11 2 2 3 2" xfId="41778"/>
    <cellStyle name="Normal 2 2 11 2 2 4" xfId="7919"/>
    <cellStyle name="Normal 2 2 11 2 2 4 2" xfId="41779"/>
    <cellStyle name="Normal 2 2 11 2 2 5" xfId="7920"/>
    <cellStyle name="Normal 2 2 11 2 2 5 2" xfId="4178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2 6" xfId="41781"/>
    <cellStyle name="Normal 2 2 11 3" xfId="8225"/>
    <cellStyle name="Normal 2 2 11 3 2" xfId="41782"/>
    <cellStyle name="Normal 2 2 11 4" xfId="8226"/>
    <cellStyle name="Normal 2 2 11 4 2" xfId="41783"/>
    <cellStyle name="Normal 2 2 11 5" xfId="8227"/>
    <cellStyle name="Normal 2 2 11 5 2" xfId="41784"/>
    <cellStyle name="Normal 2 2 11 6" xfId="8228"/>
    <cellStyle name="Normal 2 2 11 6 2" xfId="41785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2 2" xfId="41786"/>
    <cellStyle name="Normal 2 2 13" xfId="8292"/>
    <cellStyle name="Normal 2 2 13 2" xfId="41787"/>
    <cellStyle name="Normal 2 2 14" xfId="8293"/>
    <cellStyle name="Normal 2 2 14 2" xfId="41788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2 2" xfId="41789"/>
    <cellStyle name="Normal 2 2 15 3" xfId="8311"/>
    <cellStyle name="Normal 2 2 15 3 2" xfId="41790"/>
    <cellStyle name="Normal 2 2 15 4" xfId="8312"/>
    <cellStyle name="Normal 2 2 15 4 2" xfId="41791"/>
    <cellStyle name="Normal 2 2 15 5" xfId="8313"/>
    <cellStyle name="Normal 2 2 15 5 2" xfId="41792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3 6" xfId="41793"/>
    <cellStyle name="Normal 2 2 2 14" xfId="9181"/>
    <cellStyle name="Normal 2 2 2 14 2" xfId="41794"/>
    <cellStyle name="Normal 2 2 2 15" xfId="9182"/>
    <cellStyle name="Normal 2 2 2 15 2" xfId="41795"/>
    <cellStyle name="Normal 2 2 2 16" xfId="9183"/>
    <cellStyle name="Normal 2 2 2 16 2" xfId="41796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0 2" xfId="41797"/>
    <cellStyle name="Normal 2 2 2 2 11" xfId="9266"/>
    <cellStyle name="Normal 2 2 2 2 11 2" xfId="41798"/>
    <cellStyle name="Normal 2 2 2 2 12" xfId="9267"/>
    <cellStyle name="Normal 2 2 2 2 12 2" xfId="41799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2 2" xfId="41800"/>
    <cellStyle name="Normal 2 2 2 2 13 3" xfId="9285"/>
    <cellStyle name="Normal 2 2 2 2 13 3 2" xfId="41801"/>
    <cellStyle name="Normal 2 2 2 2 13 4" xfId="9286"/>
    <cellStyle name="Normal 2 2 2 2 13 4 2" xfId="41802"/>
    <cellStyle name="Normal 2 2 2 2 13 5" xfId="9287"/>
    <cellStyle name="Normal 2 2 2 2 13 5 2" xfId="41803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17" xfId="41804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10" xfId="41805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2 2" xfId="41806"/>
    <cellStyle name="Normal 2 2 2 2 2 2 2 2 2 3" xfId="9706"/>
    <cellStyle name="Normal 2 2 2 2 2 2 2 2 2 3 2" xfId="41807"/>
    <cellStyle name="Normal 2 2 2 2 2 2 2 2 2 4" xfId="9707"/>
    <cellStyle name="Normal 2 2 2 2 2 2 2 2 2 4 2" xfId="41808"/>
    <cellStyle name="Normal 2 2 2 2 2 2 2 2 2 5" xfId="9708"/>
    <cellStyle name="Normal 2 2 2 2 2 2 2 2 2 5 2" xfId="41809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2 6" xfId="41810"/>
    <cellStyle name="Normal 2 2 2 2 2 2 2 3" xfId="10013"/>
    <cellStyle name="Normal 2 2 2 2 2 2 2 3 2" xfId="41811"/>
    <cellStyle name="Normal 2 2 2 2 2 2 2 4" xfId="10014"/>
    <cellStyle name="Normal 2 2 2 2 2 2 2 4 2" xfId="41812"/>
    <cellStyle name="Normal 2 2 2 2 2 2 2 5" xfId="10015"/>
    <cellStyle name="Normal 2 2 2 2 2 2 2 5 2" xfId="41813"/>
    <cellStyle name="Normal 2 2 2 2 2 2 2 6" xfId="10016"/>
    <cellStyle name="Normal 2 2 2 2 2 2 2 6 2" xfId="41814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3 2" xfId="41815"/>
    <cellStyle name="Normal 2 2 2 2 2 2 4" xfId="10080"/>
    <cellStyle name="Normal 2 2 2 2 2 2 4 2" xfId="41816"/>
    <cellStyle name="Normal 2 2 2 2 2 2 5" xfId="10081"/>
    <cellStyle name="Normal 2 2 2 2 2 2 5 2" xfId="41817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2 2" xfId="41818"/>
    <cellStyle name="Normal 2 2 2 2 2 2 6 3" xfId="10099"/>
    <cellStyle name="Normal 2 2 2 2 2 2 6 3 2" xfId="41819"/>
    <cellStyle name="Normal 2 2 2 2 2 2 6 4" xfId="10100"/>
    <cellStyle name="Normal 2 2 2 2 2 2 6 4 2" xfId="41820"/>
    <cellStyle name="Normal 2 2 2 2 2 2 6 5" xfId="10101"/>
    <cellStyle name="Normal 2 2 2 2 2 2 6 5 2" xfId="4182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2 6" xfId="41822"/>
    <cellStyle name="Normal 2 2 2 2 2 3 2 3" xfId="10747"/>
    <cellStyle name="Normal 2 2 2 2 2 3 2 3 2" xfId="41823"/>
    <cellStyle name="Normal 2 2 2 2 2 3 2 4" xfId="10748"/>
    <cellStyle name="Normal 2 2 2 2 2 3 2 4 2" xfId="41824"/>
    <cellStyle name="Normal 2 2 2 2 2 3 2 5" xfId="10749"/>
    <cellStyle name="Normal 2 2 2 2 2 3 2 5 2" xfId="41825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3 7" xfId="41826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6 6" xfId="41827"/>
    <cellStyle name="Normal 2 2 2 2 2 7" xfId="11615"/>
    <cellStyle name="Normal 2 2 2 2 2 7 2" xfId="41828"/>
    <cellStyle name="Normal 2 2 2 2 2 8" xfId="11616"/>
    <cellStyle name="Normal 2 2 2 2 2 8 2" xfId="41829"/>
    <cellStyle name="Normal 2 2 2 2 2 9" xfId="11617"/>
    <cellStyle name="Normal 2 2 2 2 2 9 2" xfId="41830"/>
    <cellStyle name="Normal 2 2 2 2 3" xfId="11618"/>
    <cellStyle name="Normal 2 2 2 2 3 2" xfId="41831"/>
    <cellStyle name="Normal 2 2 2 2 4" xfId="11619"/>
    <cellStyle name="Normal 2 2 2 2 4 2" xfId="41832"/>
    <cellStyle name="Normal 2 2 2 2 5" xfId="11620"/>
    <cellStyle name="Normal 2 2 2 2 5 2" xfId="41833"/>
    <cellStyle name="Normal 2 2 2 2 6" xfId="11621"/>
    <cellStyle name="Normal 2 2 2 2 6 2" xfId="41834"/>
    <cellStyle name="Normal 2 2 2 2 7" xfId="11622"/>
    <cellStyle name="Normal 2 2 2 2 7 2" xfId="41835"/>
    <cellStyle name="Normal 2 2 2 2 8" xfId="11623"/>
    <cellStyle name="Normal 2 2 2 2 8 2" xfId="41836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2 2" xfId="41837"/>
    <cellStyle name="Normal 2 2 2 2 9 2 2 3" xfId="11660"/>
    <cellStyle name="Normal 2 2 2 2 9 2 2 3 2" xfId="41838"/>
    <cellStyle name="Normal 2 2 2 2 9 2 2 4" xfId="11661"/>
    <cellStyle name="Normal 2 2 2 2 9 2 2 4 2" xfId="41839"/>
    <cellStyle name="Normal 2 2 2 2 9 2 2 5" xfId="11662"/>
    <cellStyle name="Normal 2 2 2 2 9 2 2 5 2" xfId="41840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2 6" xfId="41841"/>
    <cellStyle name="Normal 2 2 2 2 9 3" xfId="11967"/>
    <cellStyle name="Normal 2 2 2 2 9 3 2" xfId="41842"/>
    <cellStyle name="Normal 2 2 2 2 9 4" xfId="11968"/>
    <cellStyle name="Normal 2 2 2 2 9 4 2" xfId="41843"/>
    <cellStyle name="Normal 2 2 2 2 9 5" xfId="11969"/>
    <cellStyle name="Normal 2 2 2 2 9 5 2" xfId="41844"/>
    <cellStyle name="Normal 2 2 2 2 9 6" xfId="11970"/>
    <cellStyle name="Normal 2 2 2 2 9 6 2" xfId="41845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10" xfId="41846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2 6" xfId="41847"/>
    <cellStyle name="Normal 2 2 2 3 2 2 2 3" xfId="12449"/>
    <cellStyle name="Normal 2 2 2 3 2 2 2 3 2" xfId="41848"/>
    <cellStyle name="Normal 2 2 2 3 2 2 2 4" xfId="12450"/>
    <cellStyle name="Normal 2 2 2 3 2 2 2 4 2" xfId="41849"/>
    <cellStyle name="Normal 2 2 2 3 2 2 2 5" xfId="12451"/>
    <cellStyle name="Normal 2 2 2 3 2 2 2 5 2" xfId="41850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 7" xfId="41851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6 6" xfId="41852"/>
    <cellStyle name="Normal 2 2 2 3 2 7" xfId="13400"/>
    <cellStyle name="Normal 2 2 2 3 2 7 2" xfId="41853"/>
    <cellStyle name="Normal 2 2 2 3 2 8" xfId="13401"/>
    <cellStyle name="Normal 2 2 2 3 2 8 2" xfId="41854"/>
    <cellStyle name="Normal 2 2 2 3 2 9" xfId="13402"/>
    <cellStyle name="Normal 2 2 2 3 2 9 2" xfId="41855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2 2" xfId="41856"/>
    <cellStyle name="Normal 2 2 2 3 3 2 2 3" xfId="13439"/>
    <cellStyle name="Normal 2 2 2 3 3 2 2 3 2" xfId="41857"/>
    <cellStyle name="Normal 2 2 2 3 3 2 2 4" xfId="13440"/>
    <cellStyle name="Normal 2 2 2 3 3 2 2 4 2" xfId="41858"/>
    <cellStyle name="Normal 2 2 2 3 3 2 2 5" xfId="13441"/>
    <cellStyle name="Normal 2 2 2 3 3 2 2 5 2" xfId="41859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2 6" xfId="41860"/>
    <cellStyle name="Normal 2 2 2 3 3 3" xfId="13746"/>
    <cellStyle name="Normal 2 2 2 3 3 3 2" xfId="41861"/>
    <cellStyle name="Normal 2 2 2 3 3 4" xfId="13747"/>
    <cellStyle name="Normal 2 2 2 3 3 4 2" xfId="41862"/>
    <cellStyle name="Normal 2 2 2 3 3 5" xfId="13748"/>
    <cellStyle name="Normal 2 2 2 3 3 5 2" xfId="41863"/>
    <cellStyle name="Normal 2 2 2 3 3 6" xfId="13749"/>
    <cellStyle name="Normal 2 2 2 3 3 6 2" xfId="41864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4 2" xfId="41865"/>
    <cellStyle name="Normal 2 2 2 3 5" xfId="13813"/>
    <cellStyle name="Normal 2 2 2 3 5 2" xfId="41866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2 2" xfId="41867"/>
    <cellStyle name="Normal 2 2 2 3 6 3" xfId="13831"/>
    <cellStyle name="Normal 2 2 2 3 6 3 2" xfId="41868"/>
    <cellStyle name="Normal 2 2 2 3 6 4" xfId="13832"/>
    <cellStyle name="Normal 2 2 2 3 6 4 2" xfId="41869"/>
    <cellStyle name="Normal 2 2 2 3 6 5" xfId="13833"/>
    <cellStyle name="Normal 2 2 2 3 6 5 2" xfId="41870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2 6" xfId="41871"/>
    <cellStyle name="Normal 2 2 2 9 2 3" xfId="14876"/>
    <cellStyle name="Normal 2 2 2 9 2 3 2" xfId="41872"/>
    <cellStyle name="Normal 2 2 2 9 2 4" xfId="14877"/>
    <cellStyle name="Normal 2 2 2 9 2 4 2" xfId="41873"/>
    <cellStyle name="Normal 2 2 2 9 2 5" xfId="14878"/>
    <cellStyle name="Normal 2 2 2 9 2 5 2" xfId="41874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 9 7" xfId="41875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 2" xfId="41876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10" xfId="41877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2 2" xfId="41878"/>
    <cellStyle name="Normal 2 2 4 2 2 2 2 3" xfId="15390"/>
    <cellStyle name="Normal 2 2 4 2 2 2 2 3 2" xfId="41879"/>
    <cellStyle name="Normal 2 2 4 2 2 2 2 4" xfId="15391"/>
    <cellStyle name="Normal 2 2 4 2 2 2 2 4 2" xfId="41880"/>
    <cellStyle name="Normal 2 2 4 2 2 2 2 5" xfId="15392"/>
    <cellStyle name="Normal 2 2 4 2 2 2 2 5 2" xfId="41881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2 6" xfId="41882"/>
    <cellStyle name="Normal 2 2 4 2 2 3" xfId="15697"/>
    <cellStyle name="Normal 2 2 4 2 2 3 2" xfId="41883"/>
    <cellStyle name="Normal 2 2 4 2 2 4" xfId="15698"/>
    <cellStyle name="Normal 2 2 4 2 2 4 2" xfId="41884"/>
    <cellStyle name="Normal 2 2 4 2 2 5" xfId="15699"/>
    <cellStyle name="Normal 2 2 4 2 2 5 2" xfId="41885"/>
    <cellStyle name="Normal 2 2 4 2 2 6" xfId="15700"/>
    <cellStyle name="Normal 2 2 4 2 2 6 2" xfId="41886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3 2" xfId="41887"/>
    <cellStyle name="Normal 2 2 4 2 4" xfId="15764"/>
    <cellStyle name="Normal 2 2 4 2 4 2" xfId="41888"/>
    <cellStyle name="Normal 2 2 4 2 5" xfId="15765"/>
    <cellStyle name="Normal 2 2 4 2 5 2" xfId="41889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2 2" xfId="41890"/>
    <cellStyle name="Normal 2 2 4 2 6 3" xfId="15783"/>
    <cellStyle name="Normal 2 2 4 2 6 3 2" xfId="41891"/>
    <cellStyle name="Normal 2 2 4 2 6 4" xfId="15784"/>
    <cellStyle name="Normal 2 2 4 2 6 4 2" xfId="41892"/>
    <cellStyle name="Normal 2 2 4 2 6 5" xfId="15785"/>
    <cellStyle name="Normal 2 2 4 2 6 5 2" xfId="41893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2 6" xfId="41894"/>
    <cellStyle name="Normal 2 2 4 3 2 3" xfId="16431"/>
    <cellStyle name="Normal 2 2 4 3 2 3 2" xfId="41895"/>
    <cellStyle name="Normal 2 2 4 3 2 4" xfId="16432"/>
    <cellStyle name="Normal 2 2 4 3 2 4 2" xfId="41896"/>
    <cellStyle name="Normal 2 2 4 3 2 5" xfId="16433"/>
    <cellStyle name="Normal 2 2 4 3 2 5 2" xfId="41897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3 7" xfId="41898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6 6" xfId="41899"/>
    <cellStyle name="Normal 2 2 4 7" xfId="17299"/>
    <cellStyle name="Normal 2 2 4 7 2" xfId="41900"/>
    <cellStyle name="Normal 2 2 4 8" xfId="17300"/>
    <cellStyle name="Normal 2 2 4 8 2" xfId="41901"/>
    <cellStyle name="Normal 2 2 4 9" xfId="17301"/>
    <cellStyle name="Normal 2 2 4 9 2" xfId="41902"/>
    <cellStyle name="Normal 2 2 5" xfId="17302"/>
    <cellStyle name="Normal 2 2 5 2" xfId="41903"/>
    <cellStyle name="Normal 2 2 6" xfId="17303"/>
    <cellStyle name="Normal 2 2 6 2" xfId="41904"/>
    <cellStyle name="Normal 2 2 7" xfId="17304"/>
    <cellStyle name="Normal 2 2 7 2" xfId="41905"/>
    <cellStyle name="Normal 2 2 8" xfId="17305"/>
    <cellStyle name="Normal 2 2 8 2" xfId="41906"/>
    <cellStyle name="Normal 2 2 9" xfId="17306"/>
    <cellStyle name="Normal 2 2 9 2" xfId="41907"/>
    <cellStyle name="Normal 2 20" xfId="17307"/>
    <cellStyle name="Normal 2 20 2" xfId="41908"/>
    <cellStyle name="Normal 2 21" xfId="17308"/>
    <cellStyle name="Normal 2 22" xfId="17309"/>
    <cellStyle name="Normal 2 22 2" xfId="41909"/>
    <cellStyle name="Normal 2 23" xfId="41710"/>
    <cellStyle name="Normal 2 3" xfId="17310"/>
    <cellStyle name="Normal 2 3 10" xfId="17311"/>
    <cellStyle name="Normal 2 3 10 2" xfId="41910"/>
    <cellStyle name="Normal 2 3 11" xfId="17312"/>
    <cellStyle name="Normal 2 3 11 2" xfId="41911"/>
    <cellStyle name="Normal 2 3 12" xfId="17313"/>
    <cellStyle name="Normal 2 3 12 2" xfId="41912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2 2" xfId="41913"/>
    <cellStyle name="Normal 2 3 13 3" xfId="17331"/>
    <cellStyle name="Normal 2 3 13 3 2" xfId="41914"/>
    <cellStyle name="Normal 2 3 13 4" xfId="17332"/>
    <cellStyle name="Normal 2 3 13 4 2" xfId="41915"/>
    <cellStyle name="Normal 2 3 13 5" xfId="17333"/>
    <cellStyle name="Normal 2 3 13 5 2" xfId="41916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3 6" xfId="41917"/>
    <cellStyle name="Normal 2 3 2 14" xfId="18203"/>
    <cellStyle name="Normal 2 3 2 14 2" xfId="41918"/>
    <cellStyle name="Normal 2 3 2 15" xfId="18204"/>
    <cellStyle name="Normal 2 3 2 15 2" xfId="41919"/>
    <cellStyle name="Normal 2 3 2 16" xfId="18205"/>
    <cellStyle name="Normal 2 3 2 16 2" xfId="41920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10" xfId="41921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2 6" xfId="41922"/>
    <cellStyle name="Normal 2 3 2 2 2 2 2 3" xfId="18704"/>
    <cellStyle name="Normal 2 3 2 2 2 2 2 3 2" xfId="41923"/>
    <cellStyle name="Normal 2 3 2 2 2 2 2 4" xfId="18705"/>
    <cellStyle name="Normal 2 3 2 2 2 2 2 4 2" xfId="41924"/>
    <cellStyle name="Normal 2 3 2 2 2 2 2 5" xfId="18706"/>
    <cellStyle name="Normal 2 3 2 2 2 2 2 5 2" xfId="41925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 7" xfId="41926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6 6" xfId="41927"/>
    <cellStyle name="Normal 2 3 2 2 2 7" xfId="19655"/>
    <cellStyle name="Normal 2 3 2 2 2 7 2" xfId="41928"/>
    <cellStyle name="Normal 2 3 2 2 2 8" xfId="19656"/>
    <cellStyle name="Normal 2 3 2 2 2 8 2" xfId="41929"/>
    <cellStyle name="Normal 2 3 2 2 2 9" xfId="19657"/>
    <cellStyle name="Normal 2 3 2 2 2 9 2" xfId="41930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2 2" xfId="41931"/>
    <cellStyle name="Normal 2 3 2 2 3 2 2 3" xfId="19694"/>
    <cellStyle name="Normal 2 3 2 2 3 2 2 3 2" xfId="41932"/>
    <cellStyle name="Normal 2 3 2 2 3 2 2 4" xfId="19695"/>
    <cellStyle name="Normal 2 3 2 2 3 2 2 4 2" xfId="41933"/>
    <cellStyle name="Normal 2 3 2 2 3 2 2 5" xfId="19696"/>
    <cellStyle name="Normal 2 3 2 2 3 2 2 5 2" xfId="41934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2 6" xfId="41935"/>
    <cellStyle name="Normal 2 3 2 2 3 3" xfId="20001"/>
    <cellStyle name="Normal 2 3 2 2 3 3 2" xfId="41936"/>
    <cellStyle name="Normal 2 3 2 2 3 4" xfId="20002"/>
    <cellStyle name="Normal 2 3 2 2 3 4 2" xfId="41937"/>
    <cellStyle name="Normal 2 3 2 2 3 5" xfId="20003"/>
    <cellStyle name="Normal 2 3 2 2 3 5 2" xfId="41938"/>
    <cellStyle name="Normal 2 3 2 2 3 6" xfId="20004"/>
    <cellStyle name="Normal 2 3 2 2 3 6 2" xfId="41939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4 2" xfId="41940"/>
    <cellStyle name="Normal 2 3 2 2 5" xfId="20068"/>
    <cellStyle name="Normal 2 3 2 2 5 2" xfId="41941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2 2" xfId="41942"/>
    <cellStyle name="Normal 2 3 2 2 6 3" xfId="20086"/>
    <cellStyle name="Normal 2 3 2 2 6 3 2" xfId="41943"/>
    <cellStyle name="Normal 2 3 2 2 6 4" xfId="20087"/>
    <cellStyle name="Normal 2 3 2 2 6 4 2" xfId="41944"/>
    <cellStyle name="Normal 2 3 2 2 6 5" xfId="20088"/>
    <cellStyle name="Normal 2 3 2 2 6 5 2" xfId="41945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2 6" xfId="41946"/>
    <cellStyle name="Normal 2 3 2 9 2 3" xfId="21221"/>
    <cellStyle name="Normal 2 3 2 9 2 3 2" xfId="41947"/>
    <cellStyle name="Normal 2 3 2 9 2 4" xfId="21222"/>
    <cellStyle name="Normal 2 3 2 9 2 4 2" xfId="41948"/>
    <cellStyle name="Normal 2 3 2 9 2 5" xfId="21223"/>
    <cellStyle name="Normal 2 3 2 9 2 5 2" xfId="41949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 9 7" xfId="41950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10" xfId="41951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2 2" xfId="41952"/>
    <cellStyle name="Normal 2 3 3 2 2 2 2 3" xfId="21736"/>
    <cellStyle name="Normal 2 3 3 2 2 2 2 3 2" xfId="41953"/>
    <cellStyle name="Normal 2 3 3 2 2 2 2 4" xfId="21737"/>
    <cellStyle name="Normal 2 3 3 2 2 2 2 4 2" xfId="41954"/>
    <cellStyle name="Normal 2 3 3 2 2 2 2 5" xfId="21738"/>
    <cellStyle name="Normal 2 3 3 2 2 2 2 5 2" xfId="41955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2 6" xfId="41956"/>
    <cellStyle name="Normal 2 3 3 2 2 3" xfId="22043"/>
    <cellStyle name="Normal 2 3 3 2 2 3 2" xfId="41957"/>
    <cellStyle name="Normal 2 3 3 2 2 4" xfId="22044"/>
    <cellStyle name="Normal 2 3 3 2 2 4 2" xfId="41958"/>
    <cellStyle name="Normal 2 3 3 2 2 5" xfId="22045"/>
    <cellStyle name="Normal 2 3 3 2 2 5 2" xfId="41959"/>
    <cellStyle name="Normal 2 3 3 2 2 6" xfId="22046"/>
    <cellStyle name="Normal 2 3 3 2 2 6 2" xfId="41960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3 2" xfId="41961"/>
    <cellStyle name="Normal 2 3 3 2 4" xfId="22110"/>
    <cellStyle name="Normal 2 3 3 2 4 2" xfId="41962"/>
    <cellStyle name="Normal 2 3 3 2 5" xfId="22111"/>
    <cellStyle name="Normal 2 3 3 2 5 2" xfId="41963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2 2" xfId="41964"/>
    <cellStyle name="Normal 2 3 3 2 6 3" xfId="22129"/>
    <cellStyle name="Normal 2 3 3 2 6 3 2" xfId="41965"/>
    <cellStyle name="Normal 2 3 3 2 6 4" xfId="22130"/>
    <cellStyle name="Normal 2 3 3 2 6 4 2" xfId="41966"/>
    <cellStyle name="Normal 2 3 3 2 6 5" xfId="22131"/>
    <cellStyle name="Normal 2 3 3 2 6 5 2" xfId="41967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2 6" xfId="41968"/>
    <cellStyle name="Normal 2 3 3 3 2 3" xfId="22774"/>
    <cellStyle name="Normal 2 3 3 3 2 3 2" xfId="41969"/>
    <cellStyle name="Normal 2 3 3 3 2 4" xfId="22775"/>
    <cellStyle name="Normal 2 3 3 3 2 4 2" xfId="41970"/>
    <cellStyle name="Normal 2 3 3 3 2 5" xfId="22776"/>
    <cellStyle name="Normal 2 3 3 3 2 5 2" xfId="41971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3 7" xfId="41972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6 6" xfId="41973"/>
    <cellStyle name="Normal 2 3 3 7" xfId="23642"/>
    <cellStyle name="Normal 2 3 3 7 2" xfId="41974"/>
    <cellStyle name="Normal 2 3 3 8" xfId="23643"/>
    <cellStyle name="Normal 2 3 3 8 2" xfId="41975"/>
    <cellStyle name="Normal 2 3 3 9" xfId="23644"/>
    <cellStyle name="Normal 2 3 3 9 2" xfId="41976"/>
    <cellStyle name="Normal 2 3 4" xfId="23645"/>
    <cellStyle name="Normal 2 3 4 2" xfId="41977"/>
    <cellStyle name="Normal 2 3 5" xfId="23646"/>
    <cellStyle name="Normal 2 3 5 2" xfId="41978"/>
    <cellStyle name="Normal 2 3 6" xfId="23647"/>
    <cellStyle name="Normal 2 3 6 2" xfId="41979"/>
    <cellStyle name="Normal 2 3 7" xfId="23648"/>
    <cellStyle name="Normal 2 3 7 2" xfId="41980"/>
    <cellStyle name="Normal 2 3 8" xfId="23649"/>
    <cellStyle name="Normal 2 3 8 2" xfId="41981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2 2" xfId="41982"/>
    <cellStyle name="Normal 2 3 9 2 2 3" xfId="23686"/>
    <cellStyle name="Normal 2 3 9 2 2 3 2" xfId="41983"/>
    <cellStyle name="Normal 2 3 9 2 2 4" xfId="23687"/>
    <cellStyle name="Normal 2 3 9 2 2 4 2" xfId="41984"/>
    <cellStyle name="Normal 2 3 9 2 2 5" xfId="23688"/>
    <cellStyle name="Normal 2 3 9 2 2 5 2" xfId="41985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2 6" xfId="41986"/>
    <cellStyle name="Normal 2 3 9 3" xfId="23993"/>
    <cellStyle name="Normal 2 3 9 3 2" xfId="41987"/>
    <cellStyle name="Normal 2 3 9 4" xfId="23994"/>
    <cellStyle name="Normal 2 3 9 4 2" xfId="41988"/>
    <cellStyle name="Normal 2 3 9 5" xfId="23995"/>
    <cellStyle name="Normal 2 3 9 5 2" xfId="41989"/>
    <cellStyle name="Normal 2 3 9 6" xfId="23996"/>
    <cellStyle name="Normal 2 3 9 6 2" xfId="41990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2 6" xfId="41991"/>
    <cellStyle name="Normal 2 4 2 2 2 3" xfId="24489"/>
    <cellStyle name="Normal 2 4 2 2 2 3 2" xfId="41992"/>
    <cellStyle name="Normal 2 4 2 2 2 4" xfId="24490"/>
    <cellStyle name="Normal 2 4 2 2 2 4 2" xfId="41993"/>
    <cellStyle name="Normal 2 4 2 2 2 5" xfId="24491"/>
    <cellStyle name="Normal 2 4 2 2 2 5 2" xfId="41994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2 7" xfId="4199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6 6" xfId="41996"/>
    <cellStyle name="Normal 2 4 2 7" xfId="25437"/>
    <cellStyle name="Normal 2 4 2 7 2" xfId="41997"/>
    <cellStyle name="Normal 2 4 2 8" xfId="25438"/>
    <cellStyle name="Normal 2 4 2 8 2" xfId="41998"/>
    <cellStyle name="Normal 2 4 2 9" xfId="25439"/>
    <cellStyle name="Normal 2 4 2 9 2" xfId="4199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2 2" xfId="42000"/>
    <cellStyle name="Normal 2 4 3 2 2 3" xfId="25478"/>
    <cellStyle name="Normal 2 4 3 2 2 3 2" xfId="42001"/>
    <cellStyle name="Normal 2 4 3 2 2 4" xfId="25479"/>
    <cellStyle name="Normal 2 4 3 2 2 4 2" xfId="42002"/>
    <cellStyle name="Normal 2 4 3 2 2 5" xfId="25480"/>
    <cellStyle name="Normal 2 4 3 2 2 5 2" xfId="42003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2 6" xfId="42004"/>
    <cellStyle name="Normal 2 4 3 3" xfId="25785"/>
    <cellStyle name="Normal 2 4 3 3 2" xfId="42005"/>
    <cellStyle name="Normal 2 4 3 4" xfId="25786"/>
    <cellStyle name="Normal 2 4 3 4 2" xfId="42006"/>
    <cellStyle name="Normal 2 4 3 5" xfId="25787"/>
    <cellStyle name="Normal 2 4 3 5 2" xfId="42007"/>
    <cellStyle name="Normal 2 4 3 6" xfId="25788"/>
    <cellStyle name="Normal 2 4 3 6 2" xfId="4200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4 2" xfId="42009"/>
    <cellStyle name="Normal 2 4 5" xfId="25852"/>
    <cellStyle name="Normal 2 4 5 2" xfId="42010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2 2" xfId="42011"/>
    <cellStyle name="Normal 2 4 6 3" xfId="25870"/>
    <cellStyle name="Normal 2 4 6 3 2" xfId="42012"/>
    <cellStyle name="Normal 2 4 6 4" xfId="25871"/>
    <cellStyle name="Normal 2 4 6 4 2" xfId="42013"/>
    <cellStyle name="Normal 2 4 6 5" xfId="25872"/>
    <cellStyle name="Normal 2 4 6 5 2" xfId="42014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5 3" xfId="42015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6 3" xfId="42016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18" xfId="4201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14" xfId="42018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13" xfId="42019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14" xfId="4202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13" xfId="42021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14" xfId="42022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13" xfId="42023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14" xfId="4202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13" xfId="42025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14" xfId="42026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13" xfId="42027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14" xfId="42028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13" xfId="42029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14" xfId="42030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13" xfId="42031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2"/>
    <cellStyle name="Normal 3 4" xfId="27293"/>
    <cellStyle name="Normal 3 4 2" xfId="42033"/>
    <cellStyle name="Normal 3 5" xfId="27294"/>
    <cellStyle name="Normal 3 5 2" xfId="42034"/>
    <cellStyle name="Normal 3 6" xfId="27295"/>
    <cellStyle name="Normal 3 6 2" xfId="42035"/>
    <cellStyle name="Normal 3 7" xfId="27296"/>
    <cellStyle name="Normal 3 7 2" xfId="42036"/>
    <cellStyle name="Normal 3 8" xfId="27297"/>
    <cellStyle name="Normal 3 8 2" xfId="42037"/>
    <cellStyle name="Normal 3 9" xfId="42038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9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40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1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2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3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4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5"/>
    <cellStyle name="Normal 33 2" xfId="27544"/>
    <cellStyle name="Normal 33 2 10" xfId="27545"/>
    <cellStyle name="Normal 33 2 10 2" xfId="27546"/>
    <cellStyle name="Normal 33 2 11" xfId="27547"/>
    <cellStyle name="Normal 33 2 12" xfId="42046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7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8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9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50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1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2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3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4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5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6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7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8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9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170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Pesca Investigacion-Fauna Acomp" xfId="42097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F7FC8E"/>
      <color rgb="FF8AE3EA"/>
      <color rgb="FF66FFCC"/>
      <color rgb="FFCCFFCC"/>
      <color rgb="FFFFFF00"/>
      <color rgb="FFD2AF1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21772</xdr:rowOff>
    </xdr:from>
    <xdr:to>
      <xdr:col>1</xdr:col>
      <xdr:colOff>1038225</xdr:colOff>
      <xdr:row>3</xdr:row>
      <xdr:rowOff>47625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849" y="212272"/>
          <a:ext cx="974726" cy="40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506183</xdr:colOff>
      <xdr:row>14</xdr:row>
      <xdr:rowOff>152400</xdr:rowOff>
    </xdr:from>
    <xdr:to>
      <xdr:col>1</xdr:col>
      <xdr:colOff>1028700</xdr:colOff>
      <xdr:row>18</xdr:row>
      <xdr:rowOff>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183" y="3381375"/>
          <a:ext cx="1036867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63498</xdr:colOff>
      <xdr:row>0</xdr:row>
      <xdr:rowOff>152402</xdr:rowOff>
    </xdr:from>
    <xdr:to>
      <xdr:col>2</xdr:col>
      <xdr:colOff>471713</xdr:colOff>
      <xdr:row>3</xdr:row>
      <xdr:rowOff>174174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269" y="152402"/>
          <a:ext cx="1714501" cy="57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87082</xdr:colOff>
      <xdr:row>17</xdr:row>
      <xdr:rowOff>38100</xdr:rowOff>
    </xdr:from>
    <xdr:to>
      <xdr:col>2</xdr:col>
      <xdr:colOff>459013</xdr:colOff>
      <xdr:row>20</xdr:row>
      <xdr:rowOff>43544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3" y="3336471"/>
          <a:ext cx="1678217" cy="484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326199</xdr:colOff>
      <xdr:row>2</xdr:row>
      <xdr:rowOff>241904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095" y="193525"/>
          <a:ext cx="1596199" cy="641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2</xdr:col>
      <xdr:colOff>1270891</xdr:colOff>
      <xdr:row>3</xdr:row>
      <xdr:rowOff>1335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59" y="194930"/>
          <a:ext cx="2152951" cy="83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0</xdr:row>
      <xdr:rowOff>182880</xdr:rowOff>
    </xdr:from>
    <xdr:to>
      <xdr:col>2</xdr:col>
      <xdr:colOff>1608988</xdr:colOff>
      <xdr:row>3</xdr:row>
      <xdr:rowOff>33394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" y="182880"/>
          <a:ext cx="2225187" cy="675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_Cuota_Camaron%20Naylon_II-V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_Transferencias%20Crustaceos%20Ltp-Pep_2019/00_Transferencias_Ltp_Langoamarillo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_Desembarques%20Bentonicos_2019/Crustaceos_2019/22_Desembarque%20Crustaceos_al_10-07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_"/>
      <sheetName val="Resumen periodo"/>
      <sheetName val="Control Cuota Artesanal"/>
      <sheetName val="Control Cuota LTP"/>
      <sheetName val="Coeficientes"/>
      <sheetName val="Compras-Ventas"/>
      <sheetName val="Hoja2"/>
      <sheetName val="Hoja1"/>
    </sheetNames>
    <sheetDataSet>
      <sheetData sheetId="0"/>
      <sheetData sheetId="1">
        <row r="21">
          <cell r="F21">
            <v>0</v>
          </cell>
        </row>
        <row r="22">
          <cell r="F22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eficientes"/>
      <sheetName val="Transa_Ltp_Langamarillo"/>
      <sheetName val="ANTARTIC SEAFOOD S.A."/>
      <sheetName val="BRACPESCA S.A."/>
      <sheetName val="RUBIO Y MAUAD LTDA."/>
      <sheetName val="GRIMAR S.A. PESQ."/>
      <sheetName val="ISLADAMAS S.A. PESQ."/>
      <sheetName val="ALIMENTOS ALSAN LTDA"/>
      <sheetName val="SOC. DISTRIMAR LTDA"/>
      <sheetName val="DA VENEZIA"/>
      <sheetName val="ENFEMAR LTDA. SOC. PESQ."/>
      <sheetName val="NICANOR GONZALEZ VEGA"/>
      <sheetName val="MOROZIN BAYCIC MARIA ANA"/>
      <sheetName val="LANDES S.A. SOC. PESQ."/>
      <sheetName val="BAYCIC BAYCIC MARIA"/>
      <sheetName val="MOROZIN YURECIC MARIO"/>
      <sheetName val="QUINTERO S.A. PESQ."/>
    </sheetNames>
    <sheetDataSet>
      <sheetData sheetId="0">
        <row r="22">
          <cell r="C22">
            <v>90</v>
          </cell>
          <cell r="D22">
            <v>692</v>
          </cell>
        </row>
        <row r="23">
          <cell r="C23">
            <v>10</v>
          </cell>
          <cell r="D23">
            <v>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t"/>
      <sheetName val="Ind Qs"/>
      <sheetName val="Resumen_Art"/>
      <sheetName val="Resumen IND"/>
      <sheetName val="Ind_Acces"/>
    </sheetNames>
    <sheetDataSet>
      <sheetData sheetId="0"/>
      <sheetData sheetId="1"/>
      <sheetData sheetId="2">
        <row r="39">
          <cell r="F39" t="str">
            <v>Suma de Captura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Q30"/>
  <sheetViews>
    <sheetView tabSelected="1" zoomScale="80" zoomScaleNormal="80" workbookViewId="0">
      <selection activeCell="B4" sqref="B4:I4"/>
    </sheetView>
  </sheetViews>
  <sheetFormatPr baseColWidth="10" defaultRowHeight="14.4"/>
  <cols>
    <col min="1" max="1" width="7.5546875" style="379" customWidth="1"/>
    <col min="2" max="2" width="21.88671875" style="374" customWidth="1"/>
    <col min="3" max="3" width="28.33203125" style="374" customWidth="1"/>
    <col min="4" max="4" width="14.33203125" style="374" customWidth="1"/>
    <col min="5" max="5" width="17" style="374" customWidth="1"/>
    <col min="6" max="6" width="16.6640625" style="374" customWidth="1"/>
    <col min="7" max="7" width="10.33203125" style="374" customWidth="1"/>
    <col min="8" max="8" width="14.33203125" style="374" customWidth="1"/>
    <col min="9" max="9" width="10.44140625" style="374" customWidth="1"/>
    <col min="10" max="10" width="7.88671875" style="374" hidden="1" customWidth="1"/>
    <col min="11" max="16384" width="11.5546875" style="374"/>
  </cols>
  <sheetData>
    <row r="1" spans="2:17" ht="15" thickBot="1"/>
    <row r="2" spans="2:17" ht="15.6" customHeight="1">
      <c r="B2" s="546" t="s">
        <v>127</v>
      </c>
      <c r="C2" s="547"/>
      <c r="D2" s="547"/>
      <c r="E2" s="547"/>
      <c r="F2" s="547"/>
      <c r="G2" s="547"/>
      <c r="H2" s="547"/>
      <c r="I2" s="548"/>
    </row>
    <row r="3" spans="2:17" ht="14.4" customHeight="1">
      <c r="B3" s="549" t="s">
        <v>144</v>
      </c>
      <c r="C3" s="550"/>
      <c r="D3" s="550"/>
      <c r="E3" s="550"/>
      <c r="F3" s="550"/>
      <c r="G3" s="550"/>
      <c r="H3" s="550"/>
      <c r="I3" s="551"/>
    </row>
    <row r="4" spans="2:17" ht="15.6" customHeight="1" thickBot="1">
      <c r="B4" s="543">
        <v>43656</v>
      </c>
      <c r="C4" s="544"/>
      <c r="D4" s="544"/>
      <c r="E4" s="544"/>
      <c r="F4" s="544"/>
      <c r="G4" s="544"/>
      <c r="H4" s="544"/>
      <c r="I4" s="545"/>
    </row>
    <row r="5" spans="2:17" ht="15" thickBot="1"/>
    <row r="6" spans="2:17" ht="47.4" thickBot="1">
      <c r="B6" s="28" t="s">
        <v>35</v>
      </c>
      <c r="C6" s="29" t="s">
        <v>36</v>
      </c>
      <c r="D6" s="30" t="s">
        <v>13</v>
      </c>
      <c r="E6" s="31" t="s">
        <v>3</v>
      </c>
      <c r="F6" s="31" t="s">
        <v>4</v>
      </c>
      <c r="G6" s="31" t="s">
        <v>5</v>
      </c>
      <c r="H6" s="31" t="s">
        <v>6</v>
      </c>
      <c r="I6" s="32" t="s">
        <v>21</v>
      </c>
      <c r="J6" s="382" t="s">
        <v>8</v>
      </c>
    </row>
    <row r="7" spans="2:17">
      <c r="B7" s="558" t="s">
        <v>67</v>
      </c>
      <c r="C7" s="178" t="s">
        <v>16</v>
      </c>
      <c r="D7" s="160">
        <f>'Resumen periodo'!E6+'Resumen periodo'!E7</f>
        <v>30</v>
      </c>
      <c r="E7" s="140">
        <f>'Resumen periodo'!F6+'Resumen periodo'!F7</f>
        <v>0</v>
      </c>
      <c r="F7" s="140">
        <f t="shared" ref="F7:F13" si="0">D7+E7</f>
        <v>30</v>
      </c>
      <c r="G7" s="140">
        <f>'Resumen periodo'!$H$6+'Resumen periodo'!$H$7</f>
        <v>0</v>
      </c>
      <c r="H7" s="140">
        <f t="shared" ref="H7:H13" si="1">F7-G7</f>
        <v>30</v>
      </c>
      <c r="I7" s="173">
        <f t="shared" ref="I7:I12" si="2">G7/F7</f>
        <v>0</v>
      </c>
      <c r="J7" s="169"/>
    </row>
    <row r="8" spans="2:17" ht="15" thickBot="1">
      <c r="B8" s="559"/>
      <c r="C8" s="179" t="s">
        <v>72</v>
      </c>
      <c r="D8" s="161">
        <f>'Resumen periodo'!E8+'Resumen periodo'!E9</f>
        <v>623</v>
      </c>
      <c r="E8" s="438">
        <f>'Resumen periodo'!F8+'Resumen periodo'!F9</f>
        <v>-87.843000000000004</v>
      </c>
      <c r="F8" s="141">
        <f t="shared" si="0"/>
        <v>535.15700000000004</v>
      </c>
      <c r="G8" s="141">
        <f>'Resumen periodo'!$H$8+'Resumen periodo'!$H$9</f>
        <v>332.35599999999999</v>
      </c>
      <c r="H8" s="141">
        <f t="shared" si="1"/>
        <v>202.80100000000004</v>
      </c>
      <c r="I8" s="174">
        <f t="shared" si="2"/>
        <v>0.62104391795304925</v>
      </c>
      <c r="J8" s="170"/>
    </row>
    <row r="9" spans="2:17" ht="15" thickBot="1">
      <c r="B9" s="559"/>
      <c r="C9" s="180" t="s">
        <v>33</v>
      </c>
      <c r="D9" s="162">
        <v>14</v>
      </c>
      <c r="E9" s="163">
        <f>'Resumen periodo'!F10</f>
        <v>0</v>
      </c>
      <c r="F9" s="163">
        <f t="shared" si="0"/>
        <v>14</v>
      </c>
      <c r="G9" s="164">
        <f>+'Pesca Invest_Fa'!D22</f>
        <v>0</v>
      </c>
      <c r="H9" s="163">
        <f t="shared" si="1"/>
        <v>14</v>
      </c>
      <c r="I9" s="175">
        <f t="shared" si="2"/>
        <v>0</v>
      </c>
      <c r="J9" s="171"/>
    </row>
    <row r="10" spans="2:17">
      <c r="B10" s="559"/>
      <c r="C10" s="34" t="s">
        <v>52</v>
      </c>
      <c r="D10" s="165">
        <f>+'Resumen periodo'!E11+'Resumen periodo'!E12</f>
        <v>99.999989999999997</v>
      </c>
      <c r="E10" s="166">
        <f>+'Resumen periodo'!F11+'Resumen periodo'!F12</f>
        <v>0</v>
      </c>
      <c r="F10" s="140">
        <f t="shared" si="0"/>
        <v>99.999989999999997</v>
      </c>
      <c r="G10" s="140">
        <f>+'Resumen periodo'!H11+'Resumen periodo'!H12</f>
        <v>9.3940000000000001</v>
      </c>
      <c r="H10" s="140">
        <f t="shared" si="1"/>
        <v>90.605989999999991</v>
      </c>
      <c r="I10" s="173">
        <f t="shared" si="2"/>
        <v>9.3940009394000948E-2</v>
      </c>
      <c r="J10" s="169"/>
    </row>
    <row r="11" spans="2:17" ht="15" thickBot="1">
      <c r="B11" s="559"/>
      <c r="C11" s="176" t="s">
        <v>53</v>
      </c>
      <c r="D11" s="167">
        <f>+'Resumen periodo'!E13+'Resumen periodo'!E14</f>
        <v>768.99992309999993</v>
      </c>
      <c r="E11" s="168">
        <f>+'Resumen periodo'!F13+'Resumen periodo'!F14</f>
        <v>87.843000000000004</v>
      </c>
      <c r="F11" s="141">
        <f t="shared" si="0"/>
        <v>856.84292309999989</v>
      </c>
      <c r="G11" s="141">
        <f>+'Resumen periodo'!H13+'Resumen periodo'!H14</f>
        <v>567.98799999999983</v>
      </c>
      <c r="H11" s="141">
        <f t="shared" si="1"/>
        <v>288.85492310000006</v>
      </c>
      <c r="I11" s="174">
        <f t="shared" si="2"/>
        <v>0.66288462527654146</v>
      </c>
      <c r="J11" s="170"/>
      <c r="K11" s="383"/>
      <c r="L11" s="383"/>
      <c r="M11" s="383"/>
      <c r="N11" s="383"/>
      <c r="O11" s="383"/>
      <c r="P11" s="383"/>
      <c r="Q11" s="383"/>
    </row>
    <row r="12" spans="2:17">
      <c r="B12" s="559"/>
      <c r="C12" s="159" t="s">
        <v>119</v>
      </c>
      <c r="D12" s="165">
        <v>31</v>
      </c>
      <c r="E12" s="166">
        <v>0</v>
      </c>
      <c r="F12" s="140">
        <f>D12+E12</f>
        <v>31</v>
      </c>
      <c r="G12" s="140">
        <f>+'Pesca Invest_Fa'!D11</f>
        <v>14.437999999999999</v>
      </c>
      <c r="H12" s="140">
        <f t="shared" si="1"/>
        <v>16.562000000000001</v>
      </c>
      <c r="I12" s="177">
        <f t="shared" si="2"/>
        <v>0.46574193548387094</v>
      </c>
      <c r="J12" s="172"/>
    </row>
    <row r="13" spans="2:17" ht="15" thickBot="1">
      <c r="B13" s="559"/>
      <c r="C13" s="35" t="s">
        <v>17</v>
      </c>
      <c r="D13" s="161">
        <v>0</v>
      </c>
      <c r="E13" s="141">
        <f>+'[1]Resumen periodo'!F21+'[1]Resumen periodo'!F22</f>
        <v>0</v>
      </c>
      <c r="F13" s="141">
        <f t="shared" si="0"/>
        <v>0</v>
      </c>
      <c r="G13" s="141">
        <v>0</v>
      </c>
      <c r="H13" s="141">
        <f t="shared" si="1"/>
        <v>0</v>
      </c>
      <c r="I13" s="174">
        <v>0</v>
      </c>
      <c r="J13" s="170"/>
    </row>
    <row r="14" spans="2:17" ht="30.6" customHeight="1" thickBot="1">
      <c r="B14" s="560"/>
      <c r="C14" s="33" t="s">
        <v>78</v>
      </c>
      <c r="D14" s="142">
        <f>SUM(D7:D13)</f>
        <v>1566.9999131</v>
      </c>
      <c r="E14" s="143">
        <f>SUM(E7:E13)</f>
        <v>0</v>
      </c>
      <c r="F14" s="143">
        <f>+D14+E14</f>
        <v>1566.9999131</v>
      </c>
      <c r="G14" s="143">
        <f>SUM(G7:G13)</f>
        <v>924.17599999999982</v>
      </c>
      <c r="H14" s="143">
        <f>+F14-G14</f>
        <v>642.82391310000014</v>
      </c>
      <c r="I14" s="144">
        <f>+G14/F14</f>
        <v>0.58977412332569956</v>
      </c>
    </row>
    <row r="15" spans="2:17" ht="14.4" customHeight="1" thickBot="1"/>
    <row r="16" spans="2:17" ht="19.8" customHeight="1">
      <c r="B16" s="552" t="s">
        <v>73</v>
      </c>
      <c r="C16" s="553"/>
      <c r="D16" s="553"/>
      <c r="E16" s="553"/>
      <c r="F16" s="553"/>
      <c r="G16" s="553"/>
      <c r="H16" s="553"/>
      <c r="I16" s="554"/>
    </row>
    <row r="17" spans="2:9" ht="15" hidden="1" customHeight="1">
      <c r="B17" s="555"/>
      <c r="C17" s="556"/>
      <c r="D17" s="556"/>
      <c r="E17" s="556"/>
      <c r="F17" s="556"/>
      <c r="G17" s="556"/>
      <c r="H17" s="556"/>
      <c r="I17" s="557"/>
    </row>
    <row r="18" spans="2:9" ht="16.8" customHeight="1" thickBot="1">
      <c r="B18" s="538">
        <f>+B4</f>
        <v>43656</v>
      </c>
      <c r="C18" s="539"/>
      <c r="D18" s="539"/>
      <c r="E18" s="539"/>
      <c r="F18" s="539"/>
      <c r="G18" s="539"/>
      <c r="H18" s="539"/>
      <c r="I18" s="540"/>
    </row>
    <row r="19" spans="2:9" ht="15" thickBot="1"/>
    <row r="20" spans="2:9" ht="31.8" thickBot="1">
      <c r="B20" s="113" t="s">
        <v>35</v>
      </c>
      <c r="C20" s="114" t="s">
        <v>36</v>
      </c>
      <c r="D20" s="115" t="s">
        <v>13</v>
      </c>
      <c r="E20" s="115" t="s">
        <v>3</v>
      </c>
      <c r="F20" s="115" t="s">
        <v>4</v>
      </c>
      <c r="G20" s="115" t="s">
        <v>5</v>
      </c>
      <c r="H20" s="115" t="s">
        <v>6</v>
      </c>
      <c r="I20" s="116" t="s">
        <v>21</v>
      </c>
    </row>
    <row r="21" spans="2:9">
      <c r="B21" s="541" t="s">
        <v>66</v>
      </c>
      <c r="C21" s="108" t="s">
        <v>69</v>
      </c>
      <c r="D21" s="109">
        <f>+'Resumen periodo'!E22+'Resumen periodo'!E23</f>
        <v>882.00264511800015</v>
      </c>
      <c r="E21" s="134">
        <f>+'Resumen periodo'!F22+'Resumen periodo'!F23</f>
        <v>0</v>
      </c>
      <c r="F21" s="109">
        <f t="shared" ref="F21:F24" si="3">D21+E21</f>
        <v>882.00264511800015</v>
      </c>
      <c r="G21" s="110">
        <f>+'Resumen periodo'!H22+'Resumen periodo'!H23</f>
        <v>582.346</v>
      </c>
      <c r="H21" s="111">
        <f t="shared" ref="H21:H24" si="4">F21-G21</f>
        <v>299.65664511800014</v>
      </c>
      <c r="I21" s="112">
        <f t="shared" ref="I21:I24" si="5">G21/F21</f>
        <v>0.6602542557251514</v>
      </c>
    </row>
    <row r="22" spans="2:9">
      <c r="B22" s="541"/>
      <c r="C22" s="22" t="s">
        <v>68</v>
      </c>
      <c r="D22" s="103">
        <f>+'Resumen periodo'!E24+'Resumen periodo'!E25</f>
        <v>1078.0032329220001</v>
      </c>
      <c r="E22" s="135">
        <f>+'Resumen periodo'!F24+'Resumen periodo'!F25</f>
        <v>0</v>
      </c>
      <c r="F22" s="103">
        <f t="shared" si="3"/>
        <v>1078.0032329220001</v>
      </c>
      <c r="G22" s="23">
        <f>+'Resumen periodo'!H24+'Resumen periodo'!H25</f>
        <v>651.47800000000007</v>
      </c>
      <c r="H22" s="104">
        <f t="shared" si="4"/>
        <v>426.52523292199999</v>
      </c>
      <c r="I22" s="36">
        <f t="shared" si="5"/>
        <v>0.60433770521645402</v>
      </c>
    </row>
    <row r="23" spans="2:9">
      <c r="B23" s="541"/>
      <c r="C23" s="37" t="s">
        <v>120</v>
      </c>
      <c r="D23" s="103">
        <v>25</v>
      </c>
      <c r="E23" s="136">
        <v>0</v>
      </c>
      <c r="F23" s="103">
        <f t="shared" ref="F23" si="6">D23+E23</f>
        <v>25</v>
      </c>
      <c r="G23" s="421">
        <f>+'Pesca Invest_Fa'!F22</f>
        <v>0.66700000000000004</v>
      </c>
      <c r="H23" s="104">
        <f t="shared" ref="H23" si="7">F23-G23</f>
        <v>24.332999999999998</v>
      </c>
      <c r="I23" s="36">
        <f t="shared" ref="I23" si="8">G23/F23</f>
        <v>2.6680000000000002E-2</v>
      </c>
    </row>
    <row r="24" spans="2:9" ht="15" thickBot="1">
      <c r="B24" s="541"/>
      <c r="C24" s="37" t="s">
        <v>118</v>
      </c>
      <c r="D24" s="103">
        <v>39</v>
      </c>
      <c r="E24" s="136">
        <v>0</v>
      </c>
      <c r="F24" s="103">
        <f t="shared" si="3"/>
        <v>39</v>
      </c>
      <c r="G24" s="104">
        <f>+'Pesca Invest_Fa'!F11</f>
        <v>0.53600000000000003</v>
      </c>
      <c r="H24" s="104">
        <f t="shared" si="4"/>
        <v>38.463999999999999</v>
      </c>
      <c r="I24" s="36">
        <f t="shared" si="5"/>
        <v>1.3743589743589744E-2</v>
      </c>
    </row>
    <row r="25" spans="2:9" ht="29.4" thickBot="1">
      <c r="B25" s="542"/>
      <c r="C25" s="24" t="s">
        <v>79</v>
      </c>
      <c r="D25" s="25">
        <f>SUM(D21:D24)</f>
        <v>2024.0058780400002</v>
      </c>
      <c r="E25" s="26">
        <f>SUM(E21:E24)</f>
        <v>0</v>
      </c>
      <c r="F25" s="26">
        <f>+D25+E25</f>
        <v>2024.0058780400002</v>
      </c>
      <c r="G25" s="26">
        <f>SUM(G21:G24)</f>
        <v>1235.027</v>
      </c>
      <c r="H25" s="26">
        <f>+F25-G25</f>
        <v>788.97887804000015</v>
      </c>
      <c r="I25" s="27">
        <f>+G25/F25</f>
        <v>0.61018943343977405</v>
      </c>
    </row>
    <row r="26" spans="2:9">
      <c r="G26" s="380"/>
    </row>
    <row r="27" spans="2:9" ht="7.95" customHeight="1">
      <c r="G27" s="381"/>
    </row>
    <row r="28" spans="2:9">
      <c r="D28" s="381"/>
      <c r="G28" s="381"/>
    </row>
    <row r="29" spans="2:9">
      <c r="D29" s="380"/>
      <c r="G29" s="380"/>
    </row>
    <row r="30" spans="2:9">
      <c r="D30" s="380"/>
      <c r="G30" s="376"/>
    </row>
  </sheetData>
  <mergeCells count="8">
    <mergeCell ref="B18:I18"/>
    <mergeCell ref="B21:B25"/>
    <mergeCell ref="B4:I4"/>
    <mergeCell ref="B2:I2"/>
    <mergeCell ref="B3:I3"/>
    <mergeCell ref="B16:I16"/>
    <mergeCell ref="B17:I17"/>
    <mergeCell ref="B7:B14"/>
  </mergeCells>
  <pageMargins left="0.7" right="0.7" top="0.75" bottom="0.75" header="0.3" footer="0.3"/>
  <pageSetup paperSize="177" scale="71" orientation="portrait" r:id="rId1"/>
  <colBreaks count="1" manualBreakCount="1">
    <brk id="9" max="1048575" man="1"/>
  </colBreaks>
  <ignoredErrors>
    <ignoredError sqref="F14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J38"/>
  <sheetViews>
    <sheetView zoomScale="70" zoomScaleNormal="70" workbookViewId="0">
      <selection activeCell="D32" sqref="D32"/>
    </sheetView>
  </sheetViews>
  <sheetFormatPr baseColWidth="10" defaultRowHeight="14.4"/>
  <cols>
    <col min="1" max="1" width="5.88671875" style="374" customWidth="1"/>
    <col min="2" max="2" width="19" style="374" customWidth="1"/>
    <col min="3" max="3" width="29.88671875" style="374" customWidth="1"/>
    <col min="4" max="4" width="22.88671875" style="374" customWidth="1"/>
    <col min="5" max="5" width="17" style="374" customWidth="1"/>
    <col min="6" max="6" width="17.109375" style="376" customWidth="1"/>
    <col min="7" max="7" width="16" style="374" customWidth="1"/>
    <col min="8" max="8" width="16.109375" style="374" customWidth="1"/>
    <col min="9" max="9" width="18.44140625" style="374" customWidth="1"/>
    <col min="10" max="10" width="19.88671875" style="374" customWidth="1"/>
    <col min="11" max="11" width="13" style="374" customWidth="1"/>
    <col min="12" max="307" width="11.44140625" style="374"/>
    <col min="308" max="16384" width="11.5546875" style="374"/>
  </cols>
  <sheetData>
    <row r="1" spans="2:10" ht="13.2" customHeight="1" thickBot="1">
      <c r="E1" s="375"/>
    </row>
    <row r="2" spans="2:10" ht="15" customHeight="1">
      <c r="B2" s="546" t="s">
        <v>128</v>
      </c>
      <c r="C2" s="561"/>
      <c r="D2" s="561"/>
      <c r="E2" s="561"/>
      <c r="F2" s="561"/>
      <c r="G2" s="561"/>
      <c r="H2" s="561"/>
      <c r="I2" s="561"/>
      <c r="J2" s="562"/>
    </row>
    <row r="3" spans="2:10" ht="15" customHeight="1">
      <c r="B3" s="571" t="str">
        <f>+'Resumen anual'!B3</f>
        <v>Dec Ex N° 526 de 21-12-2018</v>
      </c>
      <c r="C3" s="572"/>
      <c r="D3" s="572"/>
      <c r="E3" s="572"/>
      <c r="F3" s="572"/>
      <c r="G3" s="572"/>
      <c r="H3" s="572"/>
      <c r="I3" s="572"/>
      <c r="J3" s="573"/>
    </row>
    <row r="4" spans="2:10" ht="15" customHeight="1">
      <c r="B4" s="585">
        <f>+'Resumen anual'!B4:I4</f>
        <v>43656</v>
      </c>
      <c r="C4" s="586"/>
      <c r="D4" s="586"/>
      <c r="E4" s="586"/>
      <c r="F4" s="586"/>
      <c r="G4" s="586"/>
      <c r="H4" s="586"/>
      <c r="I4" s="586"/>
      <c r="J4" s="587"/>
    </row>
    <row r="5" spans="2:10" ht="30" customHeight="1">
      <c r="B5" s="85" t="s">
        <v>35</v>
      </c>
      <c r="C5" s="72" t="s">
        <v>80</v>
      </c>
      <c r="D5" s="72" t="s">
        <v>1</v>
      </c>
      <c r="E5" s="72" t="s">
        <v>13</v>
      </c>
      <c r="F5" s="72" t="s">
        <v>3</v>
      </c>
      <c r="G5" s="72" t="s">
        <v>4</v>
      </c>
      <c r="H5" s="72" t="s">
        <v>5</v>
      </c>
      <c r="I5" s="72" t="s">
        <v>6</v>
      </c>
      <c r="J5" s="86" t="s">
        <v>21</v>
      </c>
    </row>
    <row r="6" spans="2:10" ht="15" customHeight="1">
      <c r="B6" s="583" t="s">
        <v>142</v>
      </c>
      <c r="C6" s="563" t="s">
        <v>31</v>
      </c>
      <c r="D6" s="78" t="s">
        <v>29</v>
      </c>
      <c r="E6" s="73">
        <f>'Control Cuota Artesanal III-IV'!E7</f>
        <v>27</v>
      </c>
      <c r="F6" s="11">
        <f>'Control Cuota Artesanal III-IV'!F7</f>
        <v>0</v>
      </c>
      <c r="G6" s="71">
        <f>E6+F6</f>
        <v>27</v>
      </c>
      <c r="H6" s="13">
        <f>+'Control Cuota Artesanal III-IV'!H7+'Control Cuota Artesanal III-IV'!H8</f>
        <v>0</v>
      </c>
      <c r="I6" s="15">
        <f t="shared" ref="I6:I10" si="0">G6-H6</f>
        <v>27</v>
      </c>
      <c r="J6" s="8">
        <f t="shared" ref="J6:J10" si="1">H6/G6</f>
        <v>0</v>
      </c>
    </row>
    <row r="7" spans="2:10" ht="15" customHeight="1">
      <c r="B7" s="583"/>
      <c r="C7" s="564"/>
      <c r="D7" s="79" t="s">
        <v>30</v>
      </c>
      <c r="E7" s="74">
        <f>'Control Cuota Artesanal III-IV'!E8</f>
        <v>3</v>
      </c>
      <c r="F7" s="10">
        <f>'Control Cuota Artesanal III-IV'!F8</f>
        <v>0</v>
      </c>
      <c r="G7" s="16">
        <f>E7+I6+F7</f>
        <v>30</v>
      </c>
      <c r="H7" s="12">
        <f>'Control Cuota Artesanal III-IV'!H8</f>
        <v>0</v>
      </c>
      <c r="I7" s="14">
        <f t="shared" si="0"/>
        <v>30</v>
      </c>
      <c r="J7" s="9">
        <f t="shared" si="1"/>
        <v>0</v>
      </c>
    </row>
    <row r="8" spans="2:10" ht="15" customHeight="1">
      <c r="B8" s="583"/>
      <c r="C8" s="563" t="s">
        <v>32</v>
      </c>
      <c r="D8" s="78" t="s">
        <v>29</v>
      </c>
      <c r="E8" s="75">
        <f>'Control Cuota Artesanal III-IV'!E13+'Control Cuota Artesanal III-IV'!E15+'Control Cuota Artesanal III-IV'!E9+'Control Cuota Artesanal III-IV'!E11+'Control Cuota Artesanal III-IV'!E17</f>
        <v>561</v>
      </c>
      <c r="F8" s="87">
        <f>'Control Cuota Artesanal III-IV'!F13+'Control Cuota Artesanal III-IV'!F15+'Control Cuota Artesanal III-IV'!F9+'Control Cuota Artesanal III-IV'!F11+'Control Cuota Artesanal III-IV'!F17</f>
        <v>-87.843000000000004</v>
      </c>
      <c r="G8" s="88">
        <f>E8+F8</f>
        <v>473.15699999999998</v>
      </c>
      <c r="H8" s="89">
        <f>+'Control Cuota Artesanal III-IV'!H13+'Control Cuota Artesanal III-IV'!H15+'Control Cuota Artesanal III-IV'!H9+'Control Cuota Artesanal III-IV'!H11+'Control Cuota Artesanal III-IV'!H17</f>
        <v>332.35599999999999</v>
      </c>
      <c r="I8" s="90">
        <f t="shared" si="0"/>
        <v>140.80099999999999</v>
      </c>
      <c r="J8" s="91">
        <f t="shared" si="1"/>
        <v>0.70242224039800749</v>
      </c>
    </row>
    <row r="9" spans="2:10" ht="15" customHeight="1">
      <c r="B9" s="583"/>
      <c r="C9" s="565"/>
      <c r="D9" s="80" t="s">
        <v>30</v>
      </c>
      <c r="E9" s="73">
        <f>'Control Cuota Artesanal III-IV'!E14+'Control Cuota Artesanal III-IV'!E16+'Control Cuota Artesanal III-IV'!E10+'Control Cuota Artesanal III-IV'!E12+'Control Cuota Artesanal III-IV'!E18</f>
        <v>62</v>
      </c>
      <c r="F9" s="11">
        <f>'Control Cuota Artesanal III-IV'!F14+'Control Cuota Artesanal III-IV'!F16+'Control Cuota Artesanal III-IV'!F10+'Control Cuota Artesanal III-IV'!F12+'Control Cuota Artesanal III-IV'!F18</f>
        <v>0</v>
      </c>
      <c r="G9" s="71">
        <f>E9+I8+F9</f>
        <v>202.80099999999999</v>
      </c>
      <c r="H9" s="13">
        <f>+'Control Cuota Artesanal III-IV'!H14+'Control Cuota Artesanal III-IV'!H16+'Control Cuota Artesanal III-IV'!H10+'Control Cuota Artesanal III-IV'!H12+'Control Cuota Artesanal III-IV'!H18</f>
        <v>0</v>
      </c>
      <c r="I9" s="15">
        <f>G9-H9</f>
        <v>202.80099999999999</v>
      </c>
      <c r="J9" s="8">
        <f t="shared" si="1"/>
        <v>0</v>
      </c>
    </row>
    <row r="10" spans="2:10" ht="15" customHeight="1">
      <c r="B10" s="583"/>
      <c r="C10" s="121" t="s">
        <v>34</v>
      </c>
      <c r="D10" s="121" t="s">
        <v>12</v>
      </c>
      <c r="E10" s="122">
        <v>16</v>
      </c>
      <c r="F10" s="123">
        <v>0</v>
      </c>
      <c r="G10" s="124">
        <f>E10+I9+F10</f>
        <v>218.80099999999999</v>
      </c>
      <c r="H10" s="139" t="e">
        <f>+'Pesca Invest_Fa'!#REF!</f>
        <v>#REF!</v>
      </c>
      <c r="I10" s="133" t="e">
        <f t="shared" si="0"/>
        <v>#REF!</v>
      </c>
      <c r="J10" s="125" t="e">
        <f t="shared" si="1"/>
        <v>#REF!</v>
      </c>
    </row>
    <row r="11" spans="2:10" ht="15" customHeight="1">
      <c r="B11" s="583"/>
      <c r="C11" s="579" t="s">
        <v>54</v>
      </c>
      <c r="D11" s="82" t="s">
        <v>29</v>
      </c>
      <c r="E11" s="100">
        <f>+'Control Cuota LTP III-IV'!E37</f>
        <v>89.999990999999994</v>
      </c>
      <c r="F11" s="87">
        <f>+'Control Cuota LTP III-IV'!F37</f>
        <v>0</v>
      </c>
      <c r="G11" s="92">
        <f>E11+F11</f>
        <v>89.999990999999994</v>
      </c>
      <c r="H11" s="13">
        <f>+'Control Cuota LTP III-IV'!H37</f>
        <v>9.3940000000000001</v>
      </c>
      <c r="I11" s="101">
        <f t="shared" ref="I11:I13" si="2">G11-H11</f>
        <v>80.605990999999989</v>
      </c>
      <c r="J11" s="94">
        <f t="shared" ref="J11:J14" si="3">H11/G11</f>
        <v>0.10437778821555661</v>
      </c>
    </row>
    <row r="12" spans="2:10" ht="15" customHeight="1">
      <c r="B12" s="583"/>
      <c r="C12" s="580"/>
      <c r="D12" s="81" t="s">
        <v>30</v>
      </c>
      <c r="E12" s="102">
        <f>+'Control Cuota LTP III-IV'!E38</f>
        <v>9.9999990000000007</v>
      </c>
      <c r="F12" s="10">
        <f>+'Control Cuota LTP III-IV'!F38</f>
        <v>0</v>
      </c>
      <c r="G12" s="17">
        <f>E12+I11+F12</f>
        <v>90.605989999999991</v>
      </c>
      <c r="H12" s="12">
        <f>+'Control Cuota LTP III-IV'!H38</f>
        <v>0</v>
      </c>
      <c r="I12" s="19">
        <f t="shared" si="2"/>
        <v>90.605989999999991</v>
      </c>
      <c r="J12" s="20">
        <f t="shared" si="3"/>
        <v>0</v>
      </c>
    </row>
    <row r="13" spans="2:10" ht="15" customHeight="1">
      <c r="B13" s="583"/>
      <c r="C13" s="581" t="s">
        <v>55</v>
      </c>
      <c r="D13" s="82" t="s">
        <v>29</v>
      </c>
      <c r="E13" s="76">
        <f>+'Control Cuota LTP III-IV'!K37</f>
        <v>691.9999307999999</v>
      </c>
      <c r="F13" s="87">
        <f>+'Control Cuota LTP III-IV'!L37</f>
        <v>87.843000000000004</v>
      </c>
      <c r="G13" s="92">
        <f>E13+F13</f>
        <v>779.84293079999986</v>
      </c>
      <c r="H13" s="89">
        <f>+'Control Cuota LTP III-IV'!T37</f>
        <v>567.98799999999983</v>
      </c>
      <c r="I13" s="93">
        <f t="shared" si="2"/>
        <v>211.85493080000003</v>
      </c>
      <c r="J13" s="94">
        <f t="shared" si="3"/>
        <v>0.72833640925273346</v>
      </c>
    </row>
    <row r="14" spans="2:10" ht="15" customHeight="1">
      <c r="B14" s="583"/>
      <c r="C14" s="582"/>
      <c r="D14" s="83" t="s">
        <v>30</v>
      </c>
      <c r="E14" s="77">
        <f>+'Control Cuota LTP III-IV'!K38</f>
        <v>76.999992300000017</v>
      </c>
      <c r="F14" s="11">
        <f>+'Control Cuota LTP III-IV'!L38</f>
        <v>0</v>
      </c>
      <c r="G14" s="18">
        <f>E14+I13+F14</f>
        <v>288.85492310000006</v>
      </c>
      <c r="H14" s="13">
        <f>+'Control Cuota LTP III-IV'!T38</f>
        <v>0</v>
      </c>
      <c r="I14" s="21">
        <f>G14-H14</f>
        <v>288.85492310000006</v>
      </c>
      <c r="J14" s="84">
        <f t="shared" si="3"/>
        <v>0</v>
      </c>
    </row>
    <row r="15" spans="2:10" ht="23.4" customHeight="1" thickBot="1">
      <c r="B15" s="584"/>
      <c r="C15" s="577" t="s">
        <v>37</v>
      </c>
      <c r="D15" s="578"/>
      <c r="E15" s="181">
        <f>SUM(E6:E14)</f>
        <v>1537.9999131</v>
      </c>
      <c r="F15" s="182">
        <f>SUM(F6:F14)</f>
        <v>0</v>
      </c>
      <c r="G15" s="183">
        <f>+E15+F15</f>
        <v>1537.9999131</v>
      </c>
      <c r="H15" s="182" t="e">
        <f>SUM(H6:H14)</f>
        <v>#REF!</v>
      </c>
      <c r="I15" s="184" t="e">
        <f>+G15-H15</f>
        <v>#REF!</v>
      </c>
      <c r="J15" s="185" t="e">
        <f t="shared" ref="J15" si="4">H15/G15</f>
        <v>#REF!</v>
      </c>
    </row>
    <row r="16" spans="2:10" ht="15" customHeight="1">
      <c r="F16" s="374"/>
    </row>
    <row r="17" spans="1:10" ht="15" customHeight="1" thickBot="1">
      <c r="F17" s="374"/>
    </row>
    <row r="18" spans="1:10" ht="15" customHeight="1">
      <c r="B18" s="552" t="s">
        <v>129</v>
      </c>
      <c r="C18" s="553"/>
      <c r="D18" s="553"/>
      <c r="E18" s="553"/>
      <c r="F18" s="553"/>
      <c r="G18" s="553"/>
      <c r="H18" s="553"/>
      <c r="I18" s="553"/>
      <c r="J18" s="554"/>
    </row>
    <row r="19" spans="1:10" ht="8.4" customHeight="1">
      <c r="B19" s="574"/>
      <c r="C19" s="575"/>
      <c r="D19" s="575"/>
      <c r="E19" s="575"/>
      <c r="F19" s="575"/>
      <c r="G19" s="575"/>
      <c r="H19" s="575"/>
      <c r="I19" s="575"/>
      <c r="J19" s="576"/>
    </row>
    <row r="20" spans="1:10" ht="13.8" customHeight="1">
      <c r="B20" s="588">
        <f>+'Resumen anual'!B18:I18</f>
        <v>43656</v>
      </c>
      <c r="C20" s="589"/>
      <c r="D20" s="589"/>
      <c r="E20" s="589"/>
      <c r="F20" s="589"/>
      <c r="G20" s="589"/>
      <c r="H20" s="589"/>
      <c r="I20" s="589"/>
      <c r="J20" s="590"/>
    </row>
    <row r="21" spans="1:10" ht="36.6" customHeight="1">
      <c r="B21" s="486" t="s">
        <v>35</v>
      </c>
      <c r="C21" s="490" t="s">
        <v>80</v>
      </c>
      <c r="D21" s="491" t="s">
        <v>1</v>
      </c>
      <c r="E21" s="490" t="s">
        <v>65</v>
      </c>
      <c r="F21" s="490" t="s">
        <v>3</v>
      </c>
      <c r="G21" s="490" t="s">
        <v>4</v>
      </c>
      <c r="H21" s="490" t="s">
        <v>5</v>
      </c>
      <c r="I21" s="490" t="s">
        <v>6</v>
      </c>
      <c r="J21" s="492" t="s">
        <v>21</v>
      </c>
    </row>
    <row r="22" spans="1:10" ht="15" customHeight="1">
      <c r="B22" s="568" t="s">
        <v>143</v>
      </c>
      <c r="C22" s="591" t="s">
        <v>56</v>
      </c>
      <c r="D22" s="59" t="s">
        <v>29</v>
      </c>
      <c r="E22" s="62">
        <f>+'Control Cuota Licitada V-VIII '!F36</f>
        <v>794.00238120600011</v>
      </c>
      <c r="F22" s="58">
        <f>+'Control Cuota Licitada V-VIII '!G36</f>
        <v>0</v>
      </c>
      <c r="G22" s="65">
        <f>+E22+F22</f>
        <v>794.00238120600011</v>
      </c>
      <c r="H22" s="46">
        <f>+'Control Cuota Licitada V-VIII '!I36</f>
        <v>582.346</v>
      </c>
      <c r="I22" s="54">
        <f>G22-H22</f>
        <v>211.65638120600011</v>
      </c>
      <c r="J22" s="66">
        <f t="shared" ref="J22:J26" si="5">H22/G22</f>
        <v>0.73343104981055862</v>
      </c>
    </row>
    <row r="23" spans="1:10" ht="15" customHeight="1">
      <c r="B23" s="568"/>
      <c r="C23" s="591"/>
      <c r="D23" s="60" t="s">
        <v>30</v>
      </c>
      <c r="E23" s="62">
        <f>+'Control Cuota Licitada V-VIII '!F37</f>
        <v>88.000263912000008</v>
      </c>
      <c r="F23" s="58">
        <f>+'Control Cuota Licitada V-VIII '!G37</f>
        <v>0</v>
      </c>
      <c r="G23" s="65">
        <f>+E23+F23+I22</f>
        <v>299.65664511800014</v>
      </c>
      <c r="H23" s="46">
        <f>+'Control Cuota Licitada V-VIII '!I37</f>
        <v>0</v>
      </c>
      <c r="I23" s="54">
        <f t="shared" ref="I23:I24" si="6">G23-H23</f>
        <v>299.65664511800014</v>
      </c>
      <c r="J23" s="66">
        <f t="shared" si="5"/>
        <v>0</v>
      </c>
    </row>
    <row r="24" spans="1:10" ht="15" customHeight="1">
      <c r="B24" s="568"/>
      <c r="C24" s="591" t="s">
        <v>57</v>
      </c>
      <c r="D24" s="61" t="s">
        <v>29</v>
      </c>
      <c r="E24" s="63">
        <f>+'Control Cuota Licitada V-VIII '!L36</f>
        <v>970.00290902999996</v>
      </c>
      <c r="F24" s="64">
        <f>+'Control Cuota Licitada V-VIII '!M36</f>
        <v>0</v>
      </c>
      <c r="G24" s="67">
        <f>+E24+F24</f>
        <v>970.00290902999996</v>
      </c>
      <c r="H24" s="68">
        <f>+'Control Cuota Licitada V-VIII '!O36</f>
        <v>651.47800000000007</v>
      </c>
      <c r="I24" s="69">
        <f t="shared" si="6"/>
        <v>318.52490902999989</v>
      </c>
      <c r="J24" s="70">
        <f t="shared" si="5"/>
        <v>0.67162478992096641</v>
      </c>
    </row>
    <row r="25" spans="1:10" ht="15" customHeight="1">
      <c r="B25" s="568"/>
      <c r="C25" s="592"/>
      <c r="D25" s="59" t="s">
        <v>30</v>
      </c>
      <c r="E25" s="62">
        <f>+'Control Cuota Licitada V-VIII '!L37</f>
        <v>108.000323892</v>
      </c>
      <c r="F25" s="58">
        <f>+'Control Cuota Licitada V-VIII '!M37</f>
        <v>0</v>
      </c>
      <c r="G25" s="65">
        <f>+E25+F25+I24</f>
        <v>426.52523292199987</v>
      </c>
      <c r="H25" s="46">
        <f>+'Control Cuota Licitada V-VIII '!O37</f>
        <v>0</v>
      </c>
      <c r="I25" s="54">
        <f>G25-H25</f>
        <v>426.52523292199987</v>
      </c>
      <c r="J25" s="66">
        <f t="shared" si="5"/>
        <v>0</v>
      </c>
    </row>
    <row r="26" spans="1:10" ht="15" customHeight="1">
      <c r="B26" s="569"/>
      <c r="C26" s="95" t="s">
        <v>82</v>
      </c>
      <c r="D26" s="95" t="s">
        <v>12</v>
      </c>
      <c r="E26" s="96">
        <v>25</v>
      </c>
      <c r="F26" s="87">
        <v>0</v>
      </c>
      <c r="G26" s="97">
        <f>E26+F26</f>
        <v>25</v>
      </c>
      <c r="H26" s="89">
        <v>0.66700000000000004</v>
      </c>
      <c r="I26" s="98">
        <f t="shared" ref="I26" si="7">G26-H26</f>
        <v>24.332999999999998</v>
      </c>
      <c r="J26" s="99">
        <f t="shared" si="5"/>
        <v>2.6680000000000002E-2</v>
      </c>
    </row>
    <row r="27" spans="1:10" ht="29.4" customHeight="1" thickBot="1">
      <c r="B27" s="570"/>
      <c r="C27" s="566" t="s">
        <v>38</v>
      </c>
      <c r="D27" s="567"/>
      <c r="E27" s="487">
        <f>SUM(E21:E25)</f>
        <v>1960.0058780400002</v>
      </c>
      <c r="F27" s="487">
        <f>SUM(F22:F25)</f>
        <v>0</v>
      </c>
      <c r="G27" s="488">
        <f>+E27+F27</f>
        <v>1960.0058780400002</v>
      </c>
      <c r="H27" s="487">
        <f>SUM(H21:H25)</f>
        <v>1233.8240000000001</v>
      </c>
      <c r="I27" s="487">
        <f>+G27-H27</f>
        <v>726.18187804000013</v>
      </c>
      <c r="J27" s="489">
        <f t="shared" ref="J27" si="8">H27/G27</f>
        <v>0.62950015294536787</v>
      </c>
    </row>
    <row r="28" spans="1:10" ht="15" customHeight="1"/>
    <row r="29" spans="1:10" ht="15" customHeight="1">
      <c r="A29" s="377"/>
      <c r="B29" s="377"/>
      <c r="C29" s="377"/>
      <c r="D29" s="377"/>
      <c r="E29" s="377"/>
      <c r="F29" s="378"/>
      <c r="G29" s="377"/>
      <c r="H29" s="377"/>
      <c r="I29" s="377"/>
      <c r="J29" s="377"/>
    </row>
    <row r="30" spans="1:10" ht="22.35" customHeight="1"/>
    <row r="31" spans="1:10" ht="22.35" customHeight="1"/>
    <row r="32" spans="1:10" ht="22.35" customHeight="1"/>
    <row r="33" ht="22.35" customHeight="1"/>
    <row r="34" ht="22.35" customHeight="1"/>
    <row r="35" ht="22.35" customHeight="1"/>
    <row r="36" ht="22.35" customHeight="1"/>
    <row r="37" ht="22.35" customHeight="1"/>
    <row r="38" ht="22.35" customHeight="1"/>
  </sheetData>
  <mergeCells count="16">
    <mergeCell ref="B2:J2"/>
    <mergeCell ref="C6:C7"/>
    <mergeCell ref="C8:C9"/>
    <mergeCell ref="C27:D27"/>
    <mergeCell ref="B22:B27"/>
    <mergeCell ref="B3:J3"/>
    <mergeCell ref="B19:J19"/>
    <mergeCell ref="C15:D15"/>
    <mergeCell ref="C11:C12"/>
    <mergeCell ref="C13:C14"/>
    <mergeCell ref="B6:B15"/>
    <mergeCell ref="B4:J4"/>
    <mergeCell ref="B20:J20"/>
    <mergeCell ref="B18:J18"/>
    <mergeCell ref="C22:C23"/>
    <mergeCell ref="C24:C25"/>
  </mergeCells>
  <pageMargins left="0.7" right="0.7" top="0.75" bottom="0.75" header="0.3" footer="0.3"/>
  <pageSetup orientation="portrait" r:id="rId1"/>
  <ignoredErrors>
    <ignoredError sqref="G7:G9 G27 G23:G25 G11:G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T33"/>
  <sheetViews>
    <sheetView zoomScale="66" zoomScaleNormal="66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13" sqref="D13"/>
    </sheetView>
  </sheetViews>
  <sheetFormatPr baseColWidth="10" defaultRowHeight="14.4"/>
  <cols>
    <col min="1" max="1" width="7.5546875" style="374" customWidth="1"/>
    <col min="2" max="2" width="18.44140625" style="374" customWidth="1"/>
    <col min="3" max="3" width="19.5546875" style="374" customWidth="1"/>
    <col min="4" max="5" width="12" style="374" customWidth="1"/>
    <col min="6" max="6" width="10.6640625" style="374" customWidth="1"/>
    <col min="7" max="7" width="12.44140625" style="374" customWidth="1"/>
    <col min="8" max="8" width="13.5546875" style="374" customWidth="1"/>
    <col min="9" max="9" width="14" style="374" customWidth="1"/>
    <col min="10" max="10" width="14.109375" style="374" customWidth="1"/>
    <col min="11" max="11" width="13.33203125" style="374" customWidth="1"/>
    <col min="12" max="12" width="4.33203125" style="374" customWidth="1"/>
    <col min="13" max="13" width="14.109375" style="374" customWidth="1"/>
    <col min="14" max="14" width="12.5546875" style="374" customWidth="1"/>
    <col min="15" max="15" width="13.109375" style="374" customWidth="1"/>
    <col min="16" max="17" width="11.44140625" style="374"/>
    <col min="18" max="18" width="14.88671875" style="374" customWidth="1"/>
    <col min="19" max="21" width="11.44140625" style="374"/>
    <col min="22" max="22" width="2.5546875" style="374" customWidth="1"/>
    <col min="23" max="16384" width="11.5546875" style="374"/>
  </cols>
  <sheetData>
    <row r="1" spans="1:20" ht="15" thickBot="1"/>
    <row r="2" spans="1:20" ht="31.35" customHeight="1">
      <c r="B2" s="618" t="s">
        <v>130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20"/>
    </row>
    <row r="3" spans="1:20" ht="21" customHeight="1" thickBot="1">
      <c r="B3" s="637">
        <f>+'Resumen anual'!B4</f>
        <v>43656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9"/>
    </row>
    <row r="4" spans="1:20" ht="15" thickBot="1"/>
    <row r="5" spans="1:20" ht="20.100000000000001" customHeight="1" thickBot="1">
      <c r="A5" s="384"/>
      <c r="B5" s="635" t="s">
        <v>0</v>
      </c>
      <c r="C5" s="633" t="s">
        <v>50</v>
      </c>
      <c r="D5" s="630" t="s">
        <v>63</v>
      </c>
      <c r="E5" s="631"/>
      <c r="F5" s="631"/>
      <c r="G5" s="631"/>
      <c r="H5" s="631"/>
      <c r="I5" s="631"/>
      <c r="J5" s="631"/>
      <c r="K5" s="632"/>
      <c r="L5" s="384"/>
      <c r="M5" s="621" t="s">
        <v>64</v>
      </c>
      <c r="N5" s="622"/>
      <c r="O5" s="622"/>
      <c r="P5" s="622"/>
      <c r="Q5" s="622"/>
      <c r="R5" s="623"/>
      <c r="S5" s="384"/>
      <c r="T5" s="384"/>
    </row>
    <row r="6" spans="1:20" ht="29.4" thickBot="1">
      <c r="A6" s="384"/>
      <c r="B6" s="636"/>
      <c r="C6" s="634"/>
      <c r="D6" s="120" t="s">
        <v>1</v>
      </c>
      <c r="E6" s="41" t="s">
        <v>2</v>
      </c>
      <c r="F6" s="41" t="s">
        <v>71</v>
      </c>
      <c r="G6" s="41" t="s">
        <v>4</v>
      </c>
      <c r="H6" s="41" t="s">
        <v>5</v>
      </c>
      <c r="I6" s="41" t="s">
        <v>6</v>
      </c>
      <c r="J6" s="41" t="s">
        <v>23</v>
      </c>
      <c r="K6" s="42" t="s">
        <v>8</v>
      </c>
      <c r="L6" s="384"/>
      <c r="M6" s="39" t="s">
        <v>2</v>
      </c>
      <c r="N6" s="40" t="s">
        <v>71</v>
      </c>
      <c r="O6" s="40" t="s">
        <v>4</v>
      </c>
      <c r="P6" s="41" t="s">
        <v>5</v>
      </c>
      <c r="Q6" s="42" t="s">
        <v>6</v>
      </c>
      <c r="R6" s="38" t="s">
        <v>7</v>
      </c>
      <c r="S6" s="384"/>
      <c r="T6" s="384"/>
    </row>
    <row r="7" spans="1:20" ht="22.35" customHeight="1">
      <c r="A7" s="384"/>
      <c r="B7" s="624" t="s">
        <v>10</v>
      </c>
      <c r="C7" s="615" t="s">
        <v>105</v>
      </c>
      <c r="D7" s="152" t="s">
        <v>11</v>
      </c>
      <c r="E7" s="43">
        <v>27</v>
      </c>
      <c r="F7" s="44"/>
      <c r="G7" s="43">
        <f>E7+F7</f>
        <v>27</v>
      </c>
      <c r="H7" s="44"/>
      <c r="I7" s="43">
        <f t="shared" ref="I7:I13" si="0">G7-H7</f>
        <v>27</v>
      </c>
      <c r="J7" s="45">
        <f t="shared" ref="J7:J12" si="1">H7/G7</f>
        <v>0</v>
      </c>
      <c r="K7" s="128" t="s">
        <v>113</v>
      </c>
      <c r="L7" s="384"/>
      <c r="M7" s="613">
        <f>E7+E8</f>
        <v>30</v>
      </c>
      <c r="N7" s="614">
        <f>F7+F8</f>
        <v>0</v>
      </c>
      <c r="O7" s="614">
        <f>M7+N7</f>
        <v>30</v>
      </c>
      <c r="P7" s="614">
        <f>H7+H8</f>
        <v>0</v>
      </c>
      <c r="Q7" s="614">
        <f>O7-P7</f>
        <v>30</v>
      </c>
      <c r="R7" s="628">
        <f>P7/O7</f>
        <v>0</v>
      </c>
      <c r="S7" s="384"/>
      <c r="T7" s="384"/>
    </row>
    <row r="8" spans="1:20" ht="22.35" customHeight="1" thickBot="1">
      <c r="A8" s="384"/>
      <c r="B8" s="625"/>
      <c r="C8" s="616"/>
      <c r="D8" s="209" t="s">
        <v>9</v>
      </c>
      <c r="E8" s="210">
        <v>3</v>
      </c>
      <c r="F8" s="211"/>
      <c r="G8" s="210">
        <f>E8+F8+I7</f>
        <v>30</v>
      </c>
      <c r="H8" s="211"/>
      <c r="I8" s="210">
        <f t="shared" si="0"/>
        <v>30</v>
      </c>
      <c r="J8" s="212">
        <f t="shared" si="1"/>
        <v>0</v>
      </c>
      <c r="K8" s="213" t="s">
        <v>113</v>
      </c>
      <c r="L8" s="384"/>
      <c r="M8" s="626"/>
      <c r="N8" s="627"/>
      <c r="O8" s="627"/>
      <c r="P8" s="627"/>
      <c r="Q8" s="627"/>
      <c r="R8" s="629"/>
      <c r="S8" s="384"/>
      <c r="T8" s="384"/>
    </row>
    <row r="9" spans="1:20" ht="22.35" customHeight="1">
      <c r="A9" s="384"/>
      <c r="B9" s="617" t="s">
        <v>14</v>
      </c>
      <c r="C9" s="615" t="s">
        <v>108</v>
      </c>
      <c r="D9" s="152" t="s">
        <v>11</v>
      </c>
      <c r="E9" s="44">
        <v>113.883</v>
      </c>
      <c r="F9" s="44"/>
      <c r="G9" s="191">
        <f>E9+F9</f>
        <v>113.883</v>
      </c>
      <c r="H9" s="219">
        <f>+C25</f>
        <v>84.991999999999976</v>
      </c>
      <c r="I9" s="192">
        <f t="shared" si="0"/>
        <v>28.89100000000002</v>
      </c>
      <c r="J9" s="45">
        <f t="shared" si="1"/>
        <v>0.74630980919013357</v>
      </c>
      <c r="K9" s="193" t="s">
        <v>113</v>
      </c>
      <c r="L9" s="384"/>
      <c r="M9" s="607">
        <f>E9+E10</f>
        <v>126.46899999999999</v>
      </c>
      <c r="N9" s="609">
        <f>F9+F10</f>
        <v>0</v>
      </c>
      <c r="O9" s="609">
        <f>M9+N9</f>
        <v>126.46899999999999</v>
      </c>
      <c r="P9" s="609">
        <f>H9+H10</f>
        <v>84.991999999999976</v>
      </c>
      <c r="Q9" s="609">
        <f>O9-P9</f>
        <v>41.477000000000018</v>
      </c>
      <c r="R9" s="603">
        <f>P9/O9</f>
        <v>0.67203820699143646</v>
      </c>
      <c r="S9" s="384"/>
      <c r="T9" s="384"/>
    </row>
    <row r="10" spans="1:20" ht="22.35" customHeight="1">
      <c r="A10" s="384"/>
      <c r="B10" s="617"/>
      <c r="C10" s="616" t="s">
        <v>108</v>
      </c>
      <c r="D10" s="220" t="s">
        <v>9</v>
      </c>
      <c r="E10" s="221">
        <v>12.586</v>
      </c>
      <c r="F10" s="221"/>
      <c r="G10" s="222">
        <f>E10+F10+I9</f>
        <v>41.477000000000018</v>
      </c>
      <c r="H10" s="223"/>
      <c r="I10" s="224">
        <f t="shared" si="0"/>
        <v>41.477000000000018</v>
      </c>
      <c r="J10" s="225">
        <f t="shared" si="1"/>
        <v>0</v>
      </c>
      <c r="K10" s="226" t="s">
        <v>113</v>
      </c>
      <c r="L10" s="384"/>
      <c r="M10" s="607"/>
      <c r="N10" s="609"/>
      <c r="O10" s="609"/>
      <c r="P10" s="609"/>
      <c r="Q10" s="609"/>
      <c r="R10" s="611"/>
      <c r="S10" s="384"/>
      <c r="T10" s="384"/>
    </row>
    <row r="11" spans="1:20" ht="22.35" customHeight="1">
      <c r="A11" s="384"/>
      <c r="B11" s="617"/>
      <c r="C11" s="605" t="s">
        <v>117</v>
      </c>
      <c r="D11" s="220" t="s">
        <v>11</v>
      </c>
      <c r="E11" s="221">
        <v>107.712</v>
      </c>
      <c r="F11" s="221"/>
      <c r="G11" s="222">
        <f>E11+F11</f>
        <v>107.712</v>
      </c>
      <c r="H11" s="227">
        <f>+C26</f>
        <v>81.72</v>
      </c>
      <c r="I11" s="224">
        <f t="shared" si="0"/>
        <v>25.992000000000004</v>
      </c>
      <c r="J11" s="225">
        <f t="shared" si="1"/>
        <v>0.75868983957219249</v>
      </c>
      <c r="K11" s="226" t="s">
        <v>113</v>
      </c>
      <c r="L11" s="384"/>
      <c r="M11" s="607">
        <f>E11+E12</f>
        <v>119.616</v>
      </c>
      <c r="N11" s="609">
        <f>F11+F12</f>
        <v>0</v>
      </c>
      <c r="O11" s="609">
        <f>M11+N11</f>
        <v>119.616</v>
      </c>
      <c r="P11" s="609">
        <f>H11+H12</f>
        <v>81.72</v>
      </c>
      <c r="Q11" s="609">
        <f>O11-P11</f>
        <v>37.896000000000001</v>
      </c>
      <c r="R11" s="612">
        <f>P11/O11</f>
        <v>0.6831861958266453</v>
      </c>
      <c r="S11" s="384"/>
      <c r="T11" s="384"/>
    </row>
    <row r="12" spans="1:20" ht="22.35" customHeight="1" thickBot="1">
      <c r="A12" s="384"/>
      <c r="B12" s="617"/>
      <c r="C12" s="605"/>
      <c r="D12" s="220" t="s">
        <v>9</v>
      </c>
      <c r="E12" s="221">
        <v>11.904</v>
      </c>
      <c r="F12" s="221"/>
      <c r="G12" s="222">
        <f>E12+F12+I11</f>
        <v>37.896000000000001</v>
      </c>
      <c r="H12" s="228"/>
      <c r="I12" s="224">
        <f t="shared" si="0"/>
        <v>37.896000000000001</v>
      </c>
      <c r="J12" s="225">
        <f t="shared" si="1"/>
        <v>0</v>
      </c>
      <c r="K12" s="226" t="s">
        <v>113</v>
      </c>
      <c r="L12" s="384"/>
      <c r="M12" s="607"/>
      <c r="N12" s="609"/>
      <c r="O12" s="609"/>
      <c r="P12" s="609"/>
      <c r="Q12" s="609"/>
      <c r="R12" s="612"/>
      <c r="S12" s="384"/>
      <c r="T12" s="384"/>
    </row>
    <row r="13" spans="1:20" ht="22.35" customHeight="1">
      <c r="A13" s="384"/>
      <c r="B13" s="617"/>
      <c r="C13" s="640" t="s">
        <v>106</v>
      </c>
      <c r="D13" s="153" t="s">
        <v>11</v>
      </c>
      <c r="E13" s="117">
        <v>158.202</v>
      </c>
      <c r="F13" s="117">
        <v>-87.843000000000004</v>
      </c>
      <c r="G13" s="118">
        <f>E13+F13</f>
        <v>70.358999999999995</v>
      </c>
      <c r="H13" s="227">
        <f>+C27</f>
        <v>68.670000000000016</v>
      </c>
      <c r="I13" s="57">
        <f t="shared" si="0"/>
        <v>1.6889999999999787</v>
      </c>
      <c r="J13" s="119">
        <f t="shared" ref="J13:J18" si="2">H13/G13</f>
        <v>0.97599454227604177</v>
      </c>
      <c r="K13" s="132" t="s">
        <v>113</v>
      </c>
      <c r="L13" s="384"/>
      <c r="M13" s="613">
        <f>E13+E14</f>
        <v>175.68600000000001</v>
      </c>
      <c r="N13" s="614">
        <f>F13+F14</f>
        <v>-87.843000000000004</v>
      </c>
      <c r="O13" s="614">
        <f>M13+N13</f>
        <v>87.843000000000004</v>
      </c>
      <c r="P13" s="614">
        <f>H13+H14</f>
        <v>68.670000000000016</v>
      </c>
      <c r="Q13" s="614">
        <f>O13-P13</f>
        <v>19.172999999999988</v>
      </c>
      <c r="R13" s="603">
        <f>P13/O13</f>
        <v>0.78173559646186963</v>
      </c>
      <c r="S13" s="384"/>
      <c r="T13" s="384"/>
    </row>
    <row r="14" spans="1:20" ht="22.35" customHeight="1">
      <c r="A14" s="384"/>
      <c r="B14" s="617"/>
      <c r="C14" s="605"/>
      <c r="D14" s="220" t="s">
        <v>9</v>
      </c>
      <c r="E14" s="221">
        <v>17.484000000000002</v>
      </c>
      <c r="F14" s="221"/>
      <c r="G14" s="222">
        <f>E14+F14+I13</f>
        <v>19.172999999999981</v>
      </c>
      <c r="H14" s="228"/>
      <c r="I14" s="224">
        <f t="shared" ref="I14:I18" si="3">G14-H14</f>
        <v>19.172999999999981</v>
      </c>
      <c r="J14" s="225">
        <f t="shared" si="2"/>
        <v>0</v>
      </c>
      <c r="K14" s="226" t="s">
        <v>113</v>
      </c>
      <c r="L14" s="384"/>
      <c r="M14" s="607"/>
      <c r="N14" s="609"/>
      <c r="O14" s="609"/>
      <c r="P14" s="609"/>
      <c r="Q14" s="609"/>
      <c r="R14" s="611"/>
      <c r="S14" s="384"/>
      <c r="T14" s="384"/>
    </row>
    <row r="15" spans="1:20" ht="22.35" customHeight="1">
      <c r="A15" s="384"/>
      <c r="B15" s="617"/>
      <c r="C15" s="605" t="s">
        <v>107</v>
      </c>
      <c r="D15" s="220" t="s">
        <v>11</v>
      </c>
      <c r="E15" s="221">
        <v>147.54300000000001</v>
      </c>
      <c r="F15" s="221"/>
      <c r="G15" s="222">
        <f>E15+F15</f>
        <v>147.54300000000001</v>
      </c>
      <c r="H15" s="227">
        <f>+C29</f>
        <v>74.324000000000012</v>
      </c>
      <c r="I15" s="224">
        <f t="shared" si="3"/>
        <v>73.218999999999994</v>
      </c>
      <c r="J15" s="225">
        <f t="shared" si="2"/>
        <v>0.50374467104505138</v>
      </c>
      <c r="K15" s="226" t="s">
        <v>113</v>
      </c>
      <c r="L15" s="384"/>
      <c r="M15" s="607">
        <f>E15+E16</f>
        <v>163.84900000000002</v>
      </c>
      <c r="N15" s="609">
        <f>F15+F16</f>
        <v>0</v>
      </c>
      <c r="O15" s="609">
        <f>M15+N15</f>
        <v>163.84900000000002</v>
      </c>
      <c r="P15" s="609">
        <f>H15+H16</f>
        <v>74.324000000000012</v>
      </c>
      <c r="Q15" s="609">
        <f>O15-P15</f>
        <v>89.525000000000006</v>
      </c>
      <c r="R15" s="603">
        <f>P15/O15</f>
        <v>0.45361277761841701</v>
      </c>
      <c r="S15" s="384"/>
      <c r="T15" s="384"/>
    </row>
    <row r="16" spans="1:20" ht="22.35" customHeight="1">
      <c r="A16" s="384"/>
      <c r="B16" s="617"/>
      <c r="C16" s="605" t="s">
        <v>107</v>
      </c>
      <c r="D16" s="220" t="s">
        <v>9</v>
      </c>
      <c r="E16" s="221">
        <v>16.306000000000001</v>
      </c>
      <c r="F16" s="221"/>
      <c r="G16" s="222">
        <f>E16+F16+I15</f>
        <v>89.524999999999991</v>
      </c>
      <c r="H16" s="228"/>
      <c r="I16" s="224">
        <f t="shared" si="3"/>
        <v>89.524999999999991</v>
      </c>
      <c r="J16" s="225">
        <f t="shared" si="2"/>
        <v>0</v>
      </c>
      <c r="K16" s="226" t="s">
        <v>113</v>
      </c>
      <c r="L16" s="384"/>
      <c r="M16" s="607"/>
      <c r="N16" s="609"/>
      <c r="O16" s="609"/>
      <c r="P16" s="609"/>
      <c r="Q16" s="609"/>
      <c r="R16" s="611"/>
      <c r="S16" s="384"/>
      <c r="T16" s="384"/>
    </row>
    <row r="17" spans="1:20" ht="22.35" customHeight="1">
      <c r="A17" s="384"/>
      <c r="B17" s="617"/>
      <c r="C17" s="605" t="s">
        <v>109</v>
      </c>
      <c r="D17" s="220" t="s">
        <v>11</v>
      </c>
      <c r="E17" s="221">
        <v>33.659999999999997</v>
      </c>
      <c r="F17" s="221"/>
      <c r="G17" s="222">
        <f>E17+F17</f>
        <v>33.659999999999997</v>
      </c>
      <c r="H17" s="227">
        <f>+C28</f>
        <v>22.65</v>
      </c>
      <c r="I17" s="224">
        <f>G17-H17</f>
        <v>11.009999999999998</v>
      </c>
      <c r="J17" s="225">
        <f t="shared" si="2"/>
        <v>0.67290552584670238</v>
      </c>
      <c r="K17" s="226" t="s">
        <v>113</v>
      </c>
      <c r="L17" s="384"/>
      <c r="M17" s="607">
        <f>E17+E18</f>
        <v>37.379999999999995</v>
      </c>
      <c r="N17" s="609">
        <f>F17+F18</f>
        <v>0</v>
      </c>
      <c r="O17" s="609">
        <f>M17+N17</f>
        <v>37.379999999999995</v>
      </c>
      <c r="P17" s="609">
        <f>H17+H18</f>
        <v>22.65</v>
      </c>
      <c r="Q17" s="609">
        <f>O17-P17</f>
        <v>14.729999999999997</v>
      </c>
      <c r="R17" s="603">
        <f>P17/O17</f>
        <v>0.6059390048154093</v>
      </c>
      <c r="S17" s="384"/>
      <c r="T17" s="384"/>
    </row>
    <row r="18" spans="1:20" ht="22.35" customHeight="1" thickBot="1">
      <c r="A18" s="384"/>
      <c r="B18" s="617"/>
      <c r="C18" s="606" t="s">
        <v>109</v>
      </c>
      <c r="D18" s="229" t="s">
        <v>9</v>
      </c>
      <c r="E18" s="154">
        <v>3.72</v>
      </c>
      <c r="F18" s="154"/>
      <c r="G18" s="230">
        <f>E18+F18+I17</f>
        <v>14.729999999999999</v>
      </c>
      <c r="H18" s="231"/>
      <c r="I18" s="232">
        <f t="shared" si="3"/>
        <v>14.729999999999999</v>
      </c>
      <c r="J18" s="155">
        <f t="shared" si="2"/>
        <v>0</v>
      </c>
      <c r="K18" s="158" t="s">
        <v>113</v>
      </c>
      <c r="L18" s="384"/>
      <c r="M18" s="608"/>
      <c r="N18" s="610"/>
      <c r="O18" s="610"/>
      <c r="P18" s="610"/>
      <c r="Q18" s="610"/>
      <c r="R18" s="604"/>
      <c r="S18" s="384"/>
      <c r="T18" s="384"/>
    </row>
    <row r="19" spans="1:20" ht="17.399999999999999" customHeight="1">
      <c r="A19" s="384"/>
      <c r="B19" s="593" t="s">
        <v>141</v>
      </c>
      <c r="C19" s="594"/>
      <c r="D19" s="214" t="s">
        <v>11</v>
      </c>
      <c r="E19" s="194">
        <f>+E7+E13+E15+E9+E11+E17</f>
        <v>588</v>
      </c>
      <c r="F19" s="194">
        <f>+F7+F13+F15+F9+F11+F17</f>
        <v>-87.843000000000004</v>
      </c>
      <c r="G19" s="215">
        <f>+F19+E19</f>
        <v>500.15699999999998</v>
      </c>
      <c r="H19" s="194">
        <f>+H7+H13+H15+H9+H11+H17</f>
        <v>332.35599999999999</v>
      </c>
      <c r="I19" s="216">
        <f>+G19-H19</f>
        <v>167.80099999999999</v>
      </c>
      <c r="J19" s="217">
        <f>H19/G19</f>
        <v>0.66450334594937188</v>
      </c>
      <c r="K19" s="218" t="s">
        <v>113</v>
      </c>
      <c r="L19" s="384"/>
      <c r="M19" s="601">
        <f>+E19+E20</f>
        <v>653</v>
      </c>
      <c r="N19" s="597">
        <f>+F19+F20</f>
        <v>-87.843000000000004</v>
      </c>
      <c r="O19" s="597">
        <f>+N19+M19</f>
        <v>565.15700000000004</v>
      </c>
      <c r="P19" s="597">
        <f>SUM(P7:P18)</f>
        <v>332.35599999999999</v>
      </c>
      <c r="Q19" s="597">
        <f>+O19-P19</f>
        <v>232.80100000000004</v>
      </c>
      <c r="R19" s="599">
        <f>+P19/O19</f>
        <v>0.58807729533563236</v>
      </c>
      <c r="S19" s="384"/>
      <c r="T19" s="384"/>
    </row>
    <row r="20" spans="1:20" ht="15" thickBot="1">
      <c r="B20" s="595"/>
      <c r="C20" s="596"/>
      <c r="D20" s="156" t="s">
        <v>9</v>
      </c>
      <c r="E20" s="157">
        <f>+E8+E14+E16+E10+E12+E18</f>
        <v>65</v>
      </c>
      <c r="F20" s="157">
        <f>+F8+F14+F16+F10+F12+F18</f>
        <v>0</v>
      </c>
      <c r="G20" s="186">
        <f>E20+F20+I19</f>
        <v>232.80099999999999</v>
      </c>
      <c r="H20" s="157">
        <f>+H8+H14+H16+H10+H12+H18</f>
        <v>0</v>
      </c>
      <c r="I20" s="188">
        <f>+G20-H20</f>
        <v>232.80099999999999</v>
      </c>
      <c r="J20" s="187">
        <f>H20/G20</f>
        <v>0</v>
      </c>
      <c r="K20" s="158" t="s">
        <v>113</v>
      </c>
      <c r="M20" s="602"/>
      <c r="N20" s="598"/>
      <c r="O20" s="598"/>
      <c r="P20" s="598"/>
      <c r="Q20" s="598"/>
      <c r="R20" s="600"/>
    </row>
    <row r="21" spans="1:20" ht="15.6" customHeight="1">
      <c r="H21" s="376"/>
    </row>
    <row r="22" spans="1:20">
      <c r="B22" s="386" t="s">
        <v>15</v>
      </c>
    </row>
    <row r="24" spans="1:20">
      <c r="A24" s="385"/>
      <c r="B24" s="385"/>
      <c r="C24" s="387" t="s">
        <v>5</v>
      </c>
      <c r="D24" s="385"/>
      <c r="E24" s="385"/>
    </row>
    <row r="25" spans="1:20">
      <c r="A25" s="385"/>
      <c r="B25" s="373" t="s">
        <v>108</v>
      </c>
      <c r="C25" s="208">
        <v>84.991999999999976</v>
      </c>
      <c r="D25" s="385"/>
      <c r="E25" s="385"/>
    </row>
    <row r="26" spans="1:20">
      <c r="A26" s="385"/>
      <c r="B26" s="373" t="s">
        <v>117</v>
      </c>
      <c r="C26" s="208">
        <v>81.72</v>
      </c>
      <c r="D26" s="385"/>
      <c r="E26" s="385"/>
    </row>
    <row r="27" spans="1:20">
      <c r="A27" s="385"/>
      <c r="B27" s="373" t="s">
        <v>106</v>
      </c>
      <c r="C27" s="208">
        <v>68.670000000000016</v>
      </c>
      <c r="D27" s="385"/>
      <c r="E27" s="385"/>
    </row>
    <row r="28" spans="1:20">
      <c r="A28" s="385"/>
      <c r="B28" s="373" t="s">
        <v>146</v>
      </c>
      <c r="C28" s="208">
        <v>22.65</v>
      </c>
      <c r="D28" s="385"/>
      <c r="E28" s="385"/>
    </row>
    <row r="29" spans="1:20">
      <c r="A29" s="385"/>
      <c r="B29" s="373" t="s">
        <v>147</v>
      </c>
      <c r="C29" s="208">
        <v>74.324000000000012</v>
      </c>
      <c r="D29" s="385"/>
      <c r="E29" s="385"/>
    </row>
    <row r="30" spans="1:20">
      <c r="A30" s="385"/>
      <c r="B30" s="385"/>
      <c r="C30" s="435">
        <f>SUM(C25:C29)</f>
        <v>332.35599999999999</v>
      </c>
      <c r="D30" s="385"/>
      <c r="E30" s="385"/>
    </row>
    <row r="31" spans="1:20">
      <c r="A31" s="385"/>
      <c r="B31" s="385"/>
      <c r="C31" s="385"/>
      <c r="D31" s="385"/>
      <c r="E31" s="385"/>
    </row>
    <row r="32" spans="1:20">
      <c r="A32" s="385"/>
      <c r="B32" s="385"/>
      <c r="C32" s="385"/>
      <c r="D32" s="385"/>
      <c r="E32" s="385"/>
    </row>
    <row r="33" spans="1:5">
      <c r="A33" s="385"/>
      <c r="B33" s="385"/>
      <c r="C33" s="385"/>
      <c r="D33" s="385"/>
      <c r="E33" s="385"/>
    </row>
  </sheetData>
  <mergeCells count="57">
    <mergeCell ref="B9:B18"/>
    <mergeCell ref="B2:R2"/>
    <mergeCell ref="M5:R5"/>
    <mergeCell ref="B7:B8"/>
    <mergeCell ref="C7:C8"/>
    <mergeCell ref="M7:M8"/>
    <mergeCell ref="N7:N8"/>
    <mergeCell ref="O7:O8"/>
    <mergeCell ref="P7:P8"/>
    <mergeCell ref="Q7:Q8"/>
    <mergeCell ref="R7:R8"/>
    <mergeCell ref="D5:K5"/>
    <mergeCell ref="C5:C6"/>
    <mergeCell ref="B5:B6"/>
    <mergeCell ref="B3:R3"/>
    <mergeCell ref="C13:C14"/>
    <mergeCell ref="C9:C10"/>
    <mergeCell ref="M9:M10"/>
    <mergeCell ref="N9:N10"/>
    <mergeCell ref="O9:O10"/>
    <mergeCell ref="C15:C16"/>
    <mergeCell ref="M15:M16"/>
    <mergeCell ref="N15:N16"/>
    <mergeCell ref="O15:O16"/>
    <mergeCell ref="Q15:Q16"/>
    <mergeCell ref="R15:R16"/>
    <mergeCell ref="C11:C12"/>
    <mergeCell ref="M11:M12"/>
    <mergeCell ref="N11:N12"/>
    <mergeCell ref="P15:P16"/>
    <mergeCell ref="P11:P12"/>
    <mergeCell ref="M13:M14"/>
    <mergeCell ref="N13:N14"/>
    <mergeCell ref="O13:O14"/>
    <mergeCell ref="P13:P14"/>
    <mergeCell ref="Q13:Q14"/>
    <mergeCell ref="R13:R14"/>
    <mergeCell ref="P9:P10"/>
    <mergeCell ref="Q9:Q10"/>
    <mergeCell ref="R9:R10"/>
    <mergeCell ref="O11:O12"/>
    <mergeCell ref="Q11:Q12"/>
    <mergeCell ref="R11:R12"/>
    <mergeCell ref="R17:R18"/>
    <mergeCell ref="C17:C18"/>
    <mergeCell ref="M17:M18"/>
    <mergeCell ref="N17:N18"/>
    <mergeCell ref="O17:O18"/>
    <mergeCell ref="P17:P18"/>
    <mergeCell ref="Q17:Q18"/>
    <mergeCell ref="B19:C20"/>
    <mergeCell ref="O19:O20"/>
    <mergeCell ref="P19:P20"/>
    <mergeCell ref="Q19:Q20"/>
    <mergeCell ref="R19:R20"/>
    <mergeCell ref="M19:M20"/>
    <mergeCell ref="N19:N20"/>
  </mergeCells>
  <conditionalFormatting sqref="J9:J20">
    <cfRule type="cellIs" dxfId="29" priority="18" operator="greaterThan">
      <formula>0.9</formula>
    </cfRule>
    <cfRule type="cellIs" dxfId="28" priority="19" operator="greaterThan">
      <formula>0.95</formula>
    </cfRule>
  </conditionalFormatting>
  <conditionalFormatting sqref="M17:R19 R15:R16 M13:Q16 E7:I20 M7:R12 R13">
    <cfRule type="cellIs" dxfId="27" priority="17" operator="lessThan">
      <formula>0</formula>
    </cfRule>
  </conditionalFormatting>
  <conditionalFormatting sqref="R9:R10 R13:R18">
    <cfRule type="cellIs" dxfId="26" priority="14" operator="greaterThan">
      <formula>0.8</formula>
    </cfRule>
  </conditionalFormatting>
  <conditionalFormatting sqref="H7:H18">
    <cfRule type="dataBar" priority="35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G13:G16 G8 G17:G18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"/>
  <sheetViews>
    <sheetView workbookViewId="0">
      <selection activeCell="A2" sqref="A2:B2"/>
    </sheetView>
  </sheetViews>
  <sheetFormatPr baseColWidth="10" defaultRowHeight="14.4"/>
  <cols>
    <col min="1" max="1" width="19.109375" bestFit="1" customWidth="1"/>
  </cols>
  <sheetData>
    <row r="2" spans="1:2">
      <c r="A2" s="196" t="s">
        <v>145</v>
      </c>
      <c r="B2" s="195">
        <v>1.8879999999999999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B1:AU52"/>
  <sheetViews>
    <sheetView view="pageBreakPreview" zoomScale="47" zoomScaleNormal="49" zoomScaleSheetLayoutView="47" workbookViewId="0">
      <pane xSplit="4" ySplit="6" topLeftCell="G38" activePane="bottomRight" state="frozen"/>
      <selection pane="topRight" activeCell="E1" sqref="E1"/>
      <selection pane="bottomLeft" activeCell="A7" sqref="A7"/>
      <selection pane="bottomRight" activeCell="L41" sqref="L41"/>
    </sheetView>
  </sheetViews>
  <sheetFormatPr baseColWidth="10" defaultColWidth="11.44140625" defaultRowHeight="14.4"/>
  <cols>
    <col min="1" max="1" width="2.5546875" style="447" customWidth="1"/>
    <col min="2" max="2" width="13.5546875" style="189" customWidth="1"/>
    <col min="3" max="3" width="33.5546875" style="190" customWidth="1"/>
    <col min="4" max="4" width="14" style="189" customWidth="1"/>
    <col min="5" max="5" width="13.5546875" style="189" customWidth="1"/>
    <col min="6" max="6" width="12.5546875" style="189" customWidth="1"/>
    <col min="7" max="7" width="14.109375" style="189" customWidth="1"/>
    <col min="8" max="11" width="11.44140625" style="189"/>
    <col min="12" max="12" width="13.5546875" style="189" bestFit="1" customWidth="1"/>
    <col min="13" max="16" width="11.44140625" style="189"/>
    <col min="17" max="17" width="12.44140625" style="189" hidden="1" customWidth="1"/>
    <col min="18" max="19" width="12.5546875" style="189" hidden="1" customWidth="1"/>
    <col min="20" max="20" width="13.5546875" style="189" hidden="1" customWidth="1"/>
    <col min="21" max="21" width="0" style="189" hidden="1" customWidth="1"/>
    <col min="22" max="22" width="10.88671875" style="189" customWidth="1"/>
    <col min="23" max="23" width="10.109375" style="189" customWidth="1"/>
    <col min="24" max="24" width="14.5546875" style="189" customWidth="1"/>
    <col min="25" max="25" width="12.5546875" style="189" bestFit="1" customWidth="1"/>
    <col min="26" max="26" width="11.5546875" style="189" bestFit="1" customWidth="1"/>
    <col min="27" max="27" width="12.5546875" style="189" bestFit="1" customWidth="1"/>
    <col min="28" max="28" width="18.5546875" style="189" customWidth="1"/>
    <col min="29" max="29" width="11.44140625" style="447"/>
    <col min="30" max="30" width="15" style="447" customWidth="1"/>
    <col min="31" max="31" width="9" style="447" customWidth="1"/>
    <col min="32" max="35" width="11.44140625" style="447"/>
    <col min="36" max="36" width="10.44140625" style="447" customWidth="1"/>
    <col min="37" max="47" width="11.44140625" style="447" hidden="1" customWidth="1"/>
    <col min="48" max="16384" width="11.44140625" style="447"/>
  </cols>
  <sheetData>
    <row r="1" spans="2:28" ht="15" thickBot="1">
      <c r="B1" s="447"/>
      <c r="C1" s="448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</row>
    <row r="2" spans="2:28" ht="26.4" customHeight="1">
      <c r="B2" s="651" t="s">
        <v>126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3"/>
    </row>
    <row r="3" spans="2:28" ht="38.4" customHeight="1" thickBot="1">
      <c r="B3" s="654">
        <f>+'Resumen anual'!B4:I4</f>
        <v>43656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6"/>
    </row>
    <row r="4" spans="2:28">
      <c r="B4" s="450"/>
      <c r="C4" s="451"/>
      <c r="D4" s="450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</row>
    <row r="5" spans="2:28" s="449" customFormat="1" ht="28.35" customHeight="1">
      <c r="B5" s="661" t="s">
        <v>25</v>
      </c>
      <c r="C5" s="659" t="s">
        <v>194</v>
      </c>
      <c r="D5" s="657" t="s">
        <v>24</v>
      </c>
      <c r="E5" s="665" t="s">
        <v>40</v>
      </c>
      <c r="F5" s="666"/>
      <c r="G5" s="666"/>
      <c r="H5" s="666"/>
      <c r="I5" s="666"/>
      <c r="J5" s="667"/>
      <c r="K5" s="668" t="s">
        <v>39</v>
      </c>
      <c r="L5" s="669"/>
      <c r="M5" s="669"/>
      <c r="N5" s="669"/>
      <c r="O5" s="669"/>
      <c r="P5" s="670"/>
      <c r="Q5" s="673" t="s">
        <v>41</v>
      </c>
      <c r="R5" s="674"/>
      <c r="S5" s="674"/>
      <c r="T5" s="674"/>
      <c r="U5" s="674"/>
      <c r="V5" s="675"/>
      <c r="W5" s="671" t="s">
        <v>42</v>
      </c>
      <c r="X5" s="671"/>
      <c r="Y5" s="671"/>
      <c r="Z5" s="671"/>
      <c r="AA5" s="671"/>
      <c r="AB5" s="671"/>
    </row>
    <row r="6" spans="2:28" s="449" customFormat="1" ht="43.2">
      <c r="B6" s="662"/>
      <c r="C6" s="660"/>
      <c r="D6" s="658"/>
      <c r="E6" s="307" t="s">
        <v>47</v>
      </c>
      <c r="F6" s="308" t="s">
        <v>48</v>
      </c>
      <c r="G6" s="308" t="s">
        <v>4</v>
      </c>
      <c r="H6" s="309" t="s">
        <v>5</v>
      </c>
      <c r="I6" s="309" t="s">
        <v>20</v>
      </c>
      <c r="J6" s="309" t="s">
        <v>21</v>
      </c>
      <c r="K6" s="288" t="s">
        <v>22</v>
      </c>
      <c r="L6" s="288" t="s">
        <v>49</v>
      </c>
      <c r="M6" s="288" t="s">
        <v>4</v>
      </c>
      <c r="N6" s="289" t="s">
        <v>5</v>
      </c>
      <c r="O6" s="289" t="s">
        <v>20</v>
      </c>
      <c r="P6" s="289" t="s">
        <v>21</v>
      </c>
      <c r="Q6" s="284" t="s">
        <v>28</v>
      </c>
      <c r="R6" s="197" t="s">
        <v>49</v>
      </c>
      <c r="S6" s="197" t="s">
        <v>4</v>
      </c>
      <c r="T6" s="198" t="s">
        <v>43</v>
      </c>
      <c r="U6" s="198" t="s">
        <v>6</v>
      </c>
      <c r="V6" s="270" t="s">
        <v>21</v>
      </c>
      <c r="W6" s="281" t="s">
        <v>44</v>
      </c>
      <c r="X6" s="282" t="s">
        <v>46</v>
      </c>
      <c r="Y6" s="282" t="s">
        <v>4</v>
      </c>
      <c r="Z6" s="281" t="s">
        <v>45</v>
      </c>
      <c r="AA6" s="281" t="s">
        <v>6</v>
      </c>
      <c r="AB6" s="283" t="s">
        <v>21</v>
      </c>
    </row>
    <row r="7" spans="2:28" ht="15" customHeight="1">
      <c r="B7" s="649" t="s">
        <v>27</v>
      </c>
      <c r="C7" s="672" t="str">
        <f>+Movimientos_Ltp_Pep!B9</f>
        <v>ANTARTIC SEAFOOD S.A.</v>
      </c>
      <c r="D7" s="301" t="s">
        <v>11</v>
      </c>
      <c r="E7" s="293">
        <f>+Movimientos_Ltp_Pep!H9</f>
        <v>31.629600000000003</v>
      </c>
      <c r="F7" s="1">
        <f>+Movimientos_Ltp_Pep!J9</f>
        <v>1.67903</v>
      </c>
      <c r="G7" s="3">
        <f>E7+F7</f>
        <v>33.308630000000001</v>
      </c>
      <c r="H7" s="202"/>
      <c r="I7" s="3">
        <f t="shared" ref="I7:I36" si="0">G7-H7</f>
        <v>33.308630000000001</v>
      </c>
      <c r="J7" s="310">
        <f t="shared" ref="J7:J37" si="1">H7/G7</f>
        <v>0</v>
      </c>
      <c r="K7" s="293">
        <f>+Movimientos_Ltp_Pep!I9</f>
        <v>243.19648000000001</v>
      </c>
      <c r="L7" s="1">
        <f>+Movimientos_Ltp_Pep!K9</f>
        <v>12.911740700000001</v>
      </c>
      <c r="M7" s="3">
        <f>K7+L7</f>
        <v>256.1082207</v>
      </c>
      <c r="N7" s="237">
        <f>+E45</f>
        <v>157.15799999999996</v>
      </c>
      <c r="O7" s="3">
        <f t="shared" ref="O7:O36" si="2">M7-N7</f>
        <v>98.950220700000045</v>
      </c>
      <c r="P7" s="240">
        <f t="shared" ref="P7:P38" si="3">N7/M7</f>
        <v>0.6136390295104649</v>
      </c>
      <c r="Q7" s="6">
        <f t="shared" ref="Q7:Q36" si="4">+E7+K7</f>
        <v>274.82607999999999</v>
      </c>
      <c r="R7" s="55">
        <f t="shared" ref="R7:R36" si="5">F7+L7</f>
        <v>14.5907707</v>
      </c>
      <c r="S7" s="6">
        <f>Q7+R7</f>
        <v>289.4168507</v>
      </c>
      <c r="T7" s="55">
        <f t="shared" ref="T7:T36" si="6">H7+N7</f>
        <v>157.15799999999996</v>
      </c>
      <c r="U7" s="6">
        <f t="shared" ref="U7:U38" si="7">S7-T7</f>
        <v>132.25885070000004</v>
      </c>
      <c r="V7" s="271">
        <f t="shared" ref="V7:V38" si="8">T7/S7</f>
        <v>0.54301606703234007</v>
      </c>
      <c r="W7" s="644">
        <f>Q7+Q8</f>
        <v>305.40136000000001</v>
      </c>
      <c r="X7" s="645">
        <f>R7+R8</f>
        <v>14.5907707</v>
      </c>
      <c r="Y7" s="644">
        <f>W7+X7</f>
        <v>319.99213070000002</v>
      </c>
      <c r="Z7" s="645">
        <f>T7+T8</f>
        <v>157.15799999999996</v>
      </c>
      <c r="AA7" s="644">
        <f>Y7-Z7</f>
        <v>162.83413070000006</v>
      </c>
      <c r="AB7" s="646">
        <f>Z7/Y7</f>
        <v>0.49113082767444427</v>
      </c>
    </row>
    <row r="8" spans="2:28">
      <c r="B8" s="649"/>
      <c r="C8" s="641"/>
      <c r="D8" s="302" t="s">
        <v>9</v>
      </c>
      <c r="E8" s="293">
        <f>+Movimientos_Ltp_Pep!H10</f>
        <v>3.5144000000000002</v>
      </c>
      <c r="F8" s="1">
        <f>+Movimientos_Ltp_Pep!J10</f>
        <v>0</v>
      </c>
      <c r="G8" s="4">
        <f>E8+F8+I7</f>
        <v>36.823030000000003</v>
      </c>
      <c r="H8" s="2"/>
      <c r="I8" s="4">
        <f t="shared" si="0"/>
        <v>36.823030000000003</v>
      </c>
      <c r="J8" s="311">
        <f t="shared" si="1"/>
        <v>0</v>
      </c>
      <c r="K8" s="293">
        <f>+Movimientos_Ltp_Pep!I10</f>
        <v>27.060880000000001</v>
      </c>
      <c r="L8" s="1">
        <f>+Movimientos_Ltp_Pep!K10</f>
        <v>0</v>
      </c>
      <c r="M8" s="4">
        <f>O7+K8+L8</f>
        <v>126.01110070000004</v>
      </c>
      <c r="N8" s="238"/>
      <c r="O8" s="5">
        <f t="shared" si="2"/>
        <v>126.01110070000004</v>
      </c>
      <c r="P8" s="241">
        <f t="shared" si="3"/>
        <v>0</v>
      </c>
      <c r="Q8" s="7">
        <f t="shared" si="4"/>
        <v>30.575279999999999</v>
      </c>
      <c r="R8" s="56">
        <f t="shared" si="5"/>
        <v>0</v>
      </c>
      <c r="S8" s="7">
        <f>Q8+R8+U7</f>
        <v>162.83413070000003</v>
      </c>
      <c r="T8" s="56">
        <f t="shared" si="6"/>
        <v>0</v>
      </c>
      <c r="U8" s="57">
        <f t="shared" si="7"/>
        <v>162.83413070000003</v>
      </c>
      <c r="V8" s="272">
        <f t="shared" si="8"/>
        <v>0</v>
      </c>
      <c r="W8" s="644"/>
      <c r="X8" s="645"/>
      <c r="Y8" s="644"/>
      <c r="Z8" s="645"/>
      <c r="AA8" s="644"/>
      <c r="AB8" s="646"/>
    </row>
    <row r="9" spans="2:28">
      <c r="B9" s="649"/>
      <c r="C9" s="641" t="str">
        <f>+Movimientos_Ltp_Pep!B11</f>
        <v>BAYCIC BAYCIC MARIA</v>
      </c>
      <c r="D9" s="303" t="s">
        <v>11</v>
      </c>
      <c r="E9" s="293">
        <f>+Movimientos_Ltp_Pep!H11</f>
        <v>2.7000000000000001E-3</v>
      </c>
      <c r="F9" s="1">
        <f>+Movimientos_Ltp_Pep!J11</f>
        <v>0</v>
      </c>
      <c r="G9" s="294">
        <f>E9+F9</f>
        <v>2.7000000000000001E-3</v>
      </c>
      <c r="H9" s="300"/>
      <c r="I9" s="294">
        <f t="shared" ref="I9:I20" si="9">G9-H9</f>
        <v>2.7000000000000001E-3</v>
      </c>
      <c r="J9" s="312">
        <f t="shared" ref="J9:J20" si="10">H9/G9</f>
        <v>0</v>
      </c>
      <c r="K9" s="293">
        <f>+Movimientos_Ltp_Pep!I11</f>
        <v>2.0760000000000001E-2</v>
      </c>
      <c r="L9" s="1">
        <f>+Movimientos_Ltp_Pep!K11</f>
        <v>0</v>
      </c>
      <c r="M9" s="294">
        <f>K9+L9</f>
        <v>2.0760000000000001E-2</v>
      </c>
      <c r="N9" s="295"/>
      <c r="O9" s="294">
        <f t="shared" ref="O9:O20" si="11">M9-N9</f>
        <v>2.0760000000000001E-2</v>
      </c>
      <c r="P9" s="296">
        <f t="shared" ref="P9:P20" si="12">N9/M9</f>
        <v>0</v>
      </c>
      <c r="Q9" s="285">
        <f t="shared" ref="Q9:Q20" si="13">+E9+K9</f>
        <v>2.3460000000000002E-2</v>
      </c>
      <c r="R9" s="203">
        <f t="shared" ref="R9:R20" si="14">F9+L9</f>
        <v>0</v>
      </c>
      <c r="S9" s="204">
        <f>Q9+R9</f>
        <v>2.3460000000000002E-2</v>
      </c>
      <c r="T9" s="203">
        <f t="shared" ref="T9:T20" si="15">H9+N9</f>
        <v>0</v>
      </c>
      <c r="U9" s="204">
        <f t="shared" ref="U9:U20" si="16">S9-T9</f>
        <v>2.3460000000000002E-2</v>
      </c>
      <c r="V9" s="273">
        <f t="shared" ref="V9:V20" si="17">T9/S9</f>
        <v>0</v>
      </c>
      <c r="W9" s="644">
        <f>Q9+Q10</f>
        <v>2.6070000000000003E-2</v>
      </c>
      <c r="X9" s="645">
        <f>R9+R10</f>
        <v>0</v>
      </c>
      <c r="Y9" s="644">
        <f>W9+X9</f>
        <v>2.6070000000000003E-2</v>
      </c>
      <c r="Z9" s="645">
        <f>T9+T10</f>
        <v>0</v>
      </c>
      <c r="AA9" s="644">
        <f>Y9-Z9</f>
        <v>2.6070000000000003E-2</v>
      </c>
      <c r="AB9" s="646">
        <f>Z9/Y9</f>
        <v>0</v>
      </c>
    </row>
    <row r="10" spans="2:28">
      <c r="B10" s="649"/>
      <c r="C10" s="641"/>
      <c r="D10" s="302" t="s">
        <v>9</v>
      </c>
      <c r="E10" s="293">
        <f>+Movimientos_Ltp_Pep!H12</f>
        <v>3.0000000000000003E-4</v>
      </c>
      <c r="F10" s="1">
        <f>+Movimientos_Ltp_Pep!J12</f>
        <v>0</v>
      </c>
      <c r="G10" s="4">
        <f>E10+F10+I9</f>
        <v>3.0000000000000001E-3</v>
      </c>
      <c r="H10" s="2"/>
      <c r="I10" s="4">
        <f t="shared" si="9"/>
        <v>3.0000000000000001E-3</v>
      </c>
      <c r="J10" s="311">
        <f t="shared" si="10"/>
        <v>0</v>
      </c>
      <c r="K10" s="293">
        <f>+Movimientos_Ltp_Pep!I12</f>
        <v>2.31E-3</v>
      </c>
      <c r="L10" s="1">
        <f>+Movimientos_Ltp_Pep!K12</f>
        <v>0</v>
      </c>
      <c r="M10" s="4">
        <f>O9+K10+L10</f>
        <v>2.307E-2</v>
      </c>
      <c r="N10" s="238"/>
      <c r="O10" s="3">
        <f t="shared" si="11"/>
        <v>2.307E-2</v>
      </c>
      <c r="P10" s="241">
        <f t="shared" si="12"/>
        <v>0</v>
      </c>
      <c r="Q10" s="7">
        <f t="shared" si="13"/>
        <v>2.6099999999999999E-3</v>
      </c>
      <c r="R10" s="56">
        <f t="shared" si="14"/>
        <v>0</v>
      </c>
      <c r="S10" s="7">
        <f>Q10+R10+U9</f>
        <v>2.6070000000000003E-2</v>
      </c>
      <c r="T10" s="56">
        <f t="shared" si="15"/>
        <v>0</v>
      </c>
      <c r="U10" s="6">
        <f t="shared" si="16"/>
        <v>2.6070000000000003E-2</v>
      </c>
      <c r="V10" s="272">
        <f t="shared" si="17"/>
        <v>0</v>
      </c>
      <c r="W10" s="644"/>
      <c r="X10" s="645"/>
      <c r="Y10" s="644"/>
      <c r="Z10" s="645"/>
      <c r="AA10" s="644"/>
      <c r="AB10" s="646"/>
    </row>
    <row r="11" spans="2:28">
      <c r="B11" s="649"/>
      <c r="C11" s="641" t="str">
        <f>+Movimientos_Ltp_Pep!B13</f>
        <v>BRACPESCA S.A.</v>
      </c>
      <c r="D11" s="303" t="s">
        <v>11</v>
      </c>
      <c r="E11" s="293">
        <f>+Movimientos_Ltp_Pep!H13</f>
        <v>34.463357999999999</v>
      </c>
      <c r="F11" s="1">
        <f>+Movimientos_Ltp_Pep!J13</f>
        <v>0</v>
      </c>
      <c r="G11" s="294">
        <f>E11+F11</f>
        <v>34.463357999999999</v>
      </c>
      <c r="H11" s="300"/>
      <c r="I11" s="294">
        <f t="shared" si="9"/>
        <v>34.463357999999999</v>
      </c>
      <c r="J11" s="312">
        <f t="shared" si="10"/>
        <v>0</v>
      </c>
      <c r="K11" s="293">
        <f>+Movimientos_Ltp_Pep!I13</f>
        <v>264.9849304</v>
      </c>
      <c r="L11" s="1">
        <f>+Movimientos_Ltp_Pep!K13+87.843</f>
        <v>87.843000000000004</v>
      </c>
      <c r="M11" s="294">
        <f>K11+L11</f>
        <v>352.82793040000001</v>
      </c>
      <c r="N11" s="295">
        <f>+E46</f>
        <v>278.02899999999994</v>
      </c>
      <c r="O11" s="294">
        <f t="shared" si="11"/>
        <v>74.798930400000074</v>
      </c>
      <c r="P11" s="296">
        <f t="shared" si="12"/>
        <v>0.7880016745975843</v>
      </c>
      <c r="Q11" s="285">
        <f t="shared" si="13"/>
        <v>299.44828840000002</v>
      </c>
      <c r="R11" s="203">
        <f t="shared" si="14"/>
        <v>87.843000000000004</v>
      </c>
      <c r="S11" s="204">
        <f>Q11+R11</f>
        <v>387.29128840000004</v>
      </c>
      <c r="T11" s="203">
        <f t="shared" si="15"/>
        <v>278.02899999999994</v>
      </c>
      <c r="U11" s="204">
        <f t="shared" si="16"/>
        <v>109.2622884000001</v>
      </c>
      <c r="V11" s="273">
        <f t="shared" si="17"/>
        <v>0.71788085177079319</v>
      </c>
      <c r="W11" s="644">
        <f>Q11+Q12</f>
        <v>332.76286780000004</v>
      </c>
      <c r="X11" s="645">
        <f>R11+R12</f>
        <v>87.843000000000004</v>
      </c>
      <c r="Y11" s="644">
        <f>W11+X11</f>
        <v>420.60586780000006</v>
      </c>
      <c r="Z11" s="645">
        <f>T11+T12</f>
        <v>278.02899999999994</v>
      </c>
      <c r="AA11" s="644">
        <f>Y11-Z11</f>
        <v>142.57686780000012</v>
      </c>
      <c r="AB11" s="646">
        <f>Z11/Y11</f>
        <v>0.66102025978440215</v>
      </c>
    </row>
    <row r="12" spans="2:28">
      <c r="B12" s="649"/>
      <c r="C12" s="641"/>
      <c r="D12" s="302" t="s">
        <v>9</v>
      </c>
      <c r="E12" s="293">
        <f>+Movimientos_Ltp_Pep!H14</f>
        <v>3.8292619999999999</v>
      </c>
      <c r="F12" s="1">
        <f>+Movimientos_Ltp_Pep!J14</f>
        <v>0</v>
      </c>
      <c r="G12" s="4">
        <f>E12+F12+I11</f>
        <v>38.292619999999999</v>
      </c>
      <c r="H12" s="2"/>
      <c r="I12" s="4">
        <f t="shared" si="9"/>
        <v>38.292619999999999</v>
      </c>
      <c r="J12" s="311">
        <f t="shared" si="10"/>
        <v>0</v>
      </c>
      <c r="K12" s="293">
        <f>+Movimientos_Ltp_Pep!I14</f>
        <v>29.4853174</v>
      </c>
      <c r="L12" s="1">
        <f>+Movimientos_Ltp_Pep!K14</f>
        <v>0</v>
      </c>
      <c r="M12" s="4">
        <f>O11+K12+L12</f>
        <v>104.28424780000007</v>
      </c>
      <c r="N12" s="238"/>
      <c r="O12" s="3">
        <f t="shared" si="11"/>
        <v>104.28424780000007</v>
      </c>
      <c r="P12" s="241">
        <f t="shared" si="12"/>
        <v>0</v>
      </c>
      <c r="Q12" s="7">
        <f t="shared" si="13"/>
        <v>33.3145794</v>
      </c>
      <c r="R12" s="56">
        <f t="shared" si="14"/>
        <v>0</v>
      </c>
      <c r="S12" s="7">
        <f>Q12+R12+U11</f>
        <v>142.57686780000012</v>
      </c>
      <c r="T12" s="56">
        <f t="shared" si="15"/>
        <v>0</v>
      </c>
      <c r="U12" s="6">
        <f t="shared" si="16"/>
        <v>142.57686780000012</v>
      </c>
      <c r="V12" s="272">
        <f t="shared" si="17"/>
        <v>0</v>
      </c>
      <c r="W12" s="644"/>
      <c r="X12" s="645"/>
      <c r="Y12" s="644"/>
      <c r="Z12" s="645"/>
      <c r="AA12" s="644"/>
      <c r="AB12" s="646"/>
    </row>
    <row r="13" spans="2:28">
      <c r="B13" s="649"/>
      <c r="C13" s="641" t="str">
        <f>+Movimientos_Ltp_Pep!B15</f>
        <v>GRIMAR S.A. PESQ.</v>
      </c>
      <c r="D13" s="303" t="s">
        <v>11</v>
      </c>
      <c r="E13" s="293">
        <f>+Movimientos_Ltp_Pep!H15</f>
        <v>1.5579000000000001E-2</v>
      </c>
      <c r="F13" s="1">
        <f>+Movimientos_Ltp_Pep!J15</f>
        <v>0</v>
      </c>
      <c r="G13" s="294">
        <f>E13+F13</f>
        <v>1.5579000000000001E-2</v>
      </c>
      <c r="H13" s="300"/>
      <c r="I13" s="294">
        <f t="shared" si="9"/>
        <v>1.5579000000000001E-2</v>
      </c>
      <c r="J13" s="312">
        <f t="shared" si="10"/>
        <v>0</v>
      </c>
      <c r="K13" s="293">
        <f>+Movimientos_Ltp_Pep!I15</f>
        <v>0.11978520000000001</v>
      </c>
      <c r="L13" s="1">
        <f>+Movimientos_Ltp_Pep!K15</f>
        <v>0</v>
      </c>
      <c r="M13" s="294">
        <f>K13+L13</f>
        <v>0.11978520000000001</v>
      </c>
      <c r="N13" s="295"/>
      <c r="O13" s="294">
        <f t="shared" si="11"/>
        <v>0.11978520000000001</v>
      </c>
      <c r="P13" s="296">
        <f t="shared" si="12"/>
        <v>0</v>
      </c>
      <c r="Q13" s="285">
        <f t="shared" si="13"/>
        <v>0.13536420000000002</v>
      </c>
      <c r="R13" s="203">
        <f t="shared" si="14"/>
        <v>0</v>
      </c>
      <c r="S13" s="204">
        <f>Q13+R13</f>
        <v>0.13536420000000002</v>
      </c>
      <c r="T13" s="203">
        <f t="shared" si="15"/>
        <v>0</v>
      </c>
      <c r="U13" s="204">
        <f t="shared" si="16"/>
        <v>0.13536420000000002</v>
      </c>
      <c r="V13" s="273">
        <f t="shared" si="17"/>
        <v>0</v>
      </c>
      <c r="W13" s="644">
        <f>Q13+Q14</f>
        <v>0.15042390000000003</v>
      </c>
      <c r="X13" s="645">
        <f>R13+R14</f>
        <v>0</v>
      </c>
      <c r="Y13" s="644">
        <f>W13+X13</f>
        <v>0.15042390000000003</v>
      </c>
      <c r="Z13" s="645">
        <f>T13+T14</f>
        <v>0</v>
      </c>
      <c r="AA13" s="644">
        <f>Y13-Z13</f>
        <v>0.15042390000000003</v>
      </c>
      <c r="AB13" s="646">
        <f>Z13/Y13</f>
        <v>0</v>
      </c>
    </row>
    <row r="14" spans="2:28">
      <c r="B14" s="649"/>
      <c r="C14" s="641"/>
      <c r="D14" s="302" t="s">
        <v>9</v>
      </c>
      <c r="E14" s="293">
        <f>+Movimientos_Ltp_Pep!H16</f>
        <v>1.7310000000000001E-3</v>
      </c>
      <c r="F14" s="1">
        <f>+Movimientos_Ltp_Pep!J16</f>
        <v>0</v>
      </c>
      <c r="G14" s="4">
        <f>E14+F14+I13</f>
        <v>1.7310000000000002E-2</v>
      </c>
      <c r="H14" s="2"/>
      <c r="I14" s="4">
        <f t="shared" si="9"/>
        <v>1.7310000000000002E-2</v>
      </c>
      <c r="J14" s="311">
        <f t="shared" si="10"/>
        <v>0</v>
      </c>
      <c r="K14" s="293">
        <f>+Movimientos_Ltp_Pep!I16</f>
        <v>1.3328700000000001E-2</v>
      </c>
      <c r="L14" s="1">
        <f>+Movimientos_Ltp_Pep!K16</f>
        <v>0</v>
      </c>
      <c r="M14" s="4">
        <f>O13+K14+L14</f>
        <v>0.13311390000000001</v>
      </c>
      <c r="N14" s="238"/>
      <c r="O14" s="3">
        <f t="shared" si="11"/>
        <v>0.13311390000000001</v>
      </c>
      <c r="P14" s="241">
        <f t="shared" si="12"/>
        <v>0</v>
      </c>
      <c r="Q14" s="7">
        <f t="shared" si="13"/>
        <v>1.5059700000000001E-2</v>
      </c>
      <c r="R14" s="56">
        <f t="shared" si="14"/>
        <v>0</v>
      </c>
      <c r="S14" s="7">
        <f>Q14+R14+U13</f>
        <v>0.15042390000000003</v>
      </c>
      <c r="T14" s="56">
        <f t="shared" si="15"/>
        <v>0</v>
      </c>
      <c r="U14" s="6">
        <f t="shared" si="16"/>
        <v>0.15042390000000003</v>
      </c>
      <c r="V14" s="272">
        <f t="shared" si="17"/>
        <v>0</v>
      </c>
      <c r="W14" s="644"/>
      <c r="X14" s="645"/>
      <c r="Y14" s="644"/>
      <c r="Z14" s="645"/>
      <c r="AA14" s="644"/>
      <c r="AB14" s="646"/>
    </row>
    <row r="15" spans="2:28">
      <c r="B15" s="649"/>
      <c r="C15" s="676" t="str">
        <f>+Movimientos_Ltp_Pep!B17</f>
        <v>ISLADAMAS S.A. PESQ.</v>
      </c>
      <c r="D15" s="303" t="s">
        <v>11</v>
      </c>
      <c r="E15" s="293">
        <f>+Movimientos_Ltp_Pep!H17</f>
        <v>7.5449070000000003</v>
      </c>
      <c r="F15" s="1">
        <f>+Movimientos_Ltp_Pep!J17</f>
        <v>0</v>
      </c>
      <c r="G15" s="294">
        <f>E15+F15</f>
        <v>7.5449070000000003</v>
      </c>
      <c r="H15" s="395">
        <f>+D47</f>
        <v>9.3940000000000001</v>
      </c>
      <c r="I15" s="294">
        <f t="shared" si="9"/>
        <v>-1.8490929999999999</v>
      </c>
      <c r="J15" s="312">
        <f t="shared" si="10"/>
        <v>1.2450783024893481</v>
      </c>
      <c r="K15" s="293">
        <f>+Movimientos_Ltp_Pep!I17</f>
        <v>58.011951599999996</v>
      </c>
      <c r="L15" s="1">
        <f>+Movimientos_Ltp_Pep!K17</f>
        <v>0</v>
      </c>
      <c r="M15" s="294">
        <f>K15+L15</f>
        <v>58.011951599999996</v>
      </c>
      <c r="N15" s="396">
        <f>+E47</f>
        <v>82.361999999999995</v>
      </c>
      <c r="O15" s="294">
        <f t="shared" si="11"/>
        <v>-24.350048399999999</v>
      </c>
      <c r="P15" s="296">
        <f t="shared" si="12"/>
        <v>1.4197419277995813</v>
      </c>
      <c r="Q15" s="285">
        <f t="shared" si="13"/>
        <v>65.556858599999998</v>
      </c>
      <c r="R15" s="203">
        <f t="shared" si="14"/>
        <v>0</v>
      </c>
      <c r="S15" s="204">
        <f>Q15+R15</f>
        <v>65.556858599999998</v>
      </c>
      <c r="T15" s="203">
        <f t="shared" si="15"/>
        <v>91.756</v>
      </c>
      <c r="U15" s="204">
        <f t="shared" si="16"/>
        <v>-26.199141400000002</v>
      </c>
      <c r="V15" s="273">
        <f t="shared" si="17"/>
        <v>1.399639976037534</v>
      </c>
      <c r="W15" s="644">
        <f>Q15+Q16</f>
        <v>72.850268700000001</v>
      </c>
      <c r="X15" s="645">
        <f>R15+R16</f>
        <v>0</v>
      </c>
      <c r="Y15" s="644">
        <f>W15+X15</f>
        <v>72.850268700000001</v>
      </c>
      <c r="Z15" s="645">
        <f>T15+T16</f>
        <v>91.756</v>
      </c>
      <c r="AA15" s="644">
        <f>Y15-Z15</f>
        <v>-18.905731299999999</v>
      </c>
      <c r="AB15" s="646">
        <f>Z15/Y15</f>
        <v>1.2595149151453988</v>
      </c>
    </row>
    <row r="16" spans="2:28">
      <c r="B16" s="649"/>
      <c r="C16" s="676"/>
      <c r="D16" s="302" t="s">
        <v>9</v>
      </c>
      <c r="E16" s="293">
        <f>+Movimientos_Ltp_Pep!H18</f>
        <v>0.83832299999999993</v>
      </c>
      <c r="F16" s="1">
        <f>+Movimientos_Ltp_Pep!J18</f>
        <v>0</v>
      </c>
      <c r="G16" s="4">
        <f>E16+F16+I15</f>
        <v>-1.0107699999999999</v>
      </c>
      <c r="H16" s="2"/>
      <c r="I16" s="4">
        <f t="shared" si="9"/>
        <v>-1.0107699999999999</v>
      </c>
      <c r="J16" s="311">
        <f t="shared" si="10"/>
        <v>0</v>
      </c>
      <c r="K16" s="293">
        <f>+Movimientos_Ltp_Pep!I18</f>
        <v>6.4550871000000001</v>
      </c>
      <c r="L16" s="1">
        <f>+Movimientos_Ltp_Pep!K18</f>
        <v>0</v>
      </c>
      <c r="M16" s="4">
        <f>O15+K16+L16</f>
        <v>-17.894961299999999</v>
      </c>
      <c r="N16" s="238"/>
      <c r="O16" s="3">
        <f t="shared" si="11"/>
        <v>-17.894961299999999</v>
      </c>
      <c r="P16" s="241">
        <f t="shared" si="12"/>
        <v>0</v>
      </c>
      <c r="Q16" s="7">
        <f t="shared" si="13"/>
        <v>7.2934101</v>
      </c>
      <c r="R16" s="56">
        <f t="shared" si="14"/>
        <v>0</v>
      </c>
      <c r="S16" s="7">
        <f>Q16+R16+U15</f>
        <v>-18.905731300000003</v>
      </c>
      <c r="T16" s="56">
        <f t="shared" si="15"/>
        <v>0</v>
      </c>
      <c r="U16" s="6">
        <f t="shared" si="16"/>
        <v>-18.905731300000003</v>
      </c>
      <c r="V16" s="272">
        <f t="shared" si="17"/>
        <v>0</v>
      </c>
      <c r="W16" s="644"/>
      <c r="X16" s="645"/>
      <c r="Y16" s="644"/>
      <c r="Z16" s="645"/>
      <c r="AA16" s="644"/>
      <c r="AB16" s="646"/>
    </row>
    <row r="17" spans="2:28">
      <c r="B17" s="649"/>
      <c r="C17" s="641" t="str">
        <f>+Movimientos_Ltp_Pep!B19</f>
        <v>MOROZIN BAYCIC MARIA ANA</v>
      </c>
      <c r="D17" s="303" t="s">
        <v>11</v>
      </c>
      <c r="E17" s="293">
        <f>+Movimientos_Ltp_Pep!H19</f>
        <v>9.0089999999999996E-3</v>
      </c>
      <c r="F17" s="1">
        <f>+Movimientos_Ltp_Pep!J19</f>
        <v>0</v>
      </c>
      <c r="G17" s="294">
        <f>E17+F17</f>
        <v>9.0089999999999996E-3</v>
      </c>
      <c r="H17" s="300"/>
      <c r="I17" s="294">
        <f t="shared" si="9"/>
        <v>9.0089999999999996E-3</v>
      </c>
      <c r="J17" s="312">
        <f t="shared" si="10"/>
        <v>0</v>
      </c>
      <c r="K17" s="293">
        <f>+Movimientos_Ltp_Pep!I19</f>
        <v>6.9269199999999989E-2</v>
      </c>
      <c r="L17" s="1">
        <f>+Movimientos_Ltp_Pep!K19</f>
        <v>0</v>
      </c>
      <c r="M17" s="294">
        <f>K17+L17</f>
        <v>6.9269199999999989E-2</v>
      </c>
      <c r="N17" s="295"/>
      <c r="O17" s="294">
        <f t="shared" si="11"/>
        <v>6.9269199999999989E-2</v>
      </c>
      <c r="P17" s="296">
        <f t="shared" si="12"/>
        <v>0</v>
      </c>
      <c r="Q17" s="285">
        <f t="shared" si="13"/>
        <v>7.8278199999999992E-2</v>
      </c>
      <c r="R17" s="203">
        <f t="shared" si="14"/>
        <v>0</v>
      </c>
      <c r="S17" s="204">
        <f>Q17+R17</f>
        <v>7.8278199999999992E-2</v>
      </c>
      <c r="T17" s="203">
        <f t="shared" si="15"/>
        <v>0</v>
      </c>
      <c r="U17" s="204">
        <f t="shared" si="16"/>
        <v>7.8278199999999992E-2</v>
      </c>
      <c r="V17" s="273">
        <f t="shared" si="17"/>
        <v>0</v>
      </c>
      <c r="W17" s="644">
        <f>Q17+Q18</f>
        <v>8.6986899999999992E-2</v>
      </c>
      <c r="X17" s="645">
        <f>R17+R18</f>
        <v>0</v>
      </c>
      <c r="Y17" s="644">
        <f>W17+X17</f>
        <v>8.6986899999999992E-2</v>
      </c>
      <c r="Z17" s="645">
        <f>T17+T18</f>
        <v>0</v>
      </c>
      <c r="AA17" s="644">
        <f>Y17-Z17</f>
        <v>8.6986899999999992E-2</v>
      </c>
      <c r="AB17" s="646">
        <f>Z17/Y17</f>
        <v>0</v>
      </c>
    </row>
    <row r="18" spans="2:28">
      <c r="B18" s="649"/>
      <c r="C18" s="641"/>
      <c r="D18" s="302" t="s">
        <v>9</v>
      </c>
      <c r="E18" s="293">
        <f>+Movimientos_Ltp_Pep!H20</f>
        <v>1.0009999999999999E-3</v>
      </c>
      <c r="F18" s="1">
        <f>+Movimientos_Ltp_Pep!J20</f>
        <v>0</v>
      </c>
      <c r="G18" s="4">
        <f>E18+F18+I17</f>
        <v>1.001E-2</v>
      </c>
      <c r="H18" s="2"/>
      <c r="I18" s="4">
        <f t="shared" si="9"/>
        <v>1.001E-2</v>
      </c>
      <c r="J18" s="311">
        <f t="shared" si="10"/>
        <v>0</v>
      </c>
      <c r="K18" s="293">
        <f>+Movimientos_Ltp_Pep!I20</f>
        <v>7.7076999999999996E-3</v>
      </c>
      <c r="L18" s="1">
        <f>+Movimientos_Ltp_Pep!K20</f>
        <v>0</v>
      </c>
      <c r="M18" s="4">
        <f>O17+K18+L18</f>
        <v>7.6976899999999987E-2</v>
      </c>
      <c r="N18" s="238"/>
      <c r="O18" s="3">
        <f t="shared" si="11"/>
        <v>7.6976899999999987E-2</v>
      </c>
      <c r="P18" s="241">
        <f t="shared" si="12"/>
        <v>0</v>
      </c>
      <c r="Q18" s="7">
        <f t="shared" si="13"/>
        <v>8.7086999999999998E-3</v>
      </c>
      <c r="R18" s="56">
        <f t="shared" si="14"/>
        <v>0</v>
      </c>
      <c r="S18" s="7">
        <f>Q18+R18+U17</f>
        <v>8.6986899999999992E-2</v>
      </c>
      <c r="T18" s="56">
        <f t="shared" si="15"/>
        <v>0</v>
      </c>
      <c r="U18" s="6">
        <f t="shared" si="16"/>
        <v>8.6986899999999992E-2</v>
      </c>
      <c r="V18" s="272">
        <f t="shared" si="17"/>
        <v>0</v>
      </c>
      <c r="W18" s="644"/>
      <c r="X18" s="645"/>
      <c r="Y18" s="644"/>
      <c r="Z18" s="645"/>
      <c r="AA18" s="644"/>
      <c r="AB18" s="646"/>
    </row>
    <row r="19" spans="2:28">
      <c r="B19" s="649"/>
      <c r="C19" s="641" t="str">
        <f>+Movimientos_Ltp_Pep!B21</f>
        <v>MOROZIN YURECIC MARIO</v>
      </c>
      <c r="D19" s="303" t="s">
        <v>11</v>
      </c>
      <c r="E19" s="293">
        <f>+Movimientos_Ltp_Pep!H21</f>
        <v>1.8090000000000001E-3</v>
      </c>
      <c r="F19" s="1">
        <f>+Movimientos_Ltp_Pep!J21</f>
        <v>0</v>
      </c>
      <c r="G19" s="294">
        <f>E19+F19</f>
        <v>1.8090000000000001E-3</v>
      </c>
      <c r="H19" s="300"/>
      <c r="I19" s="294">
        <f t="shared" si="9"/>
        <v>1.8090000000000001E-3</v>
      </c>
      <c r="J19" s="312">
        <f t="shared" si="10"/>
        <v>0</v>
      </c>
      <c r="K19" s="293">
        <f>+Movimientos_Ltp_Pep!I21</f>
        <v>1.39092E-2</v>
      </c>
      <c r="L19" s="1">
        <f>+Movimientos_Ltp_Pep!K21</f>
        <v>0</v>
      </c>
      <c r="M19" s="294">
        <f>K19+L19</f>
        <v>1.39092E-2</v>
      </c>
      <c r="N19" s="295"/>
      <c r="O19" s="294">
        <f t="shared" si="11"/>
        <v>1.39092E-2</v>
      </c>
      <c r="P19" s="296">
        <f t="shared" si="12"/>
        <v>0</v>
      </c>
      <c r="Q19" s="285">
        <f t="shared" si="13"/>
        <v>1.5718200000000002E-2</v>
      </c>
      <c r="R19" s="203">
        <f t="shared" si="14"/>
        <v>0</v>
      </c>
      <c r="S19" s="204">
        <f>Q19+R19</f>
        <v>1.5718200000000002E-2</v>
      </c>
      <c r="T19" s="203">
        <f t="shared" si="15"/>
        <v>0</v>
      </c>
      <c r="U19" s="204">
        <f t="shared" si="16"/>
        <v>1.5718200000000002E-2</v>
      </c>
      <c r="V19" s="273">
        <f t="shared" si="17"/>
        <v>0</v>
      </c>
      <c r="W19" s="644">
        <f>Q19+Q20</f>
        <v>1.74669E-2</v>
      </c>
      <c r="X19" s="645">
        <f>R19+R20</f>
        <v>0</v>
      </c>
      <c r="Y19" s="644">
        <f>W19+X19</f>
        <v>1.74669E-2</v>
      </c>
      <c r="Z19" s="645">
        <f>T19+T20</f>
        <v>0</v>
      </c>
      <c r="AA19" s="644">
        <f>Y19-Z19</f>
        <v>1.74669E-2</v>
      </c>
      <c r="AB19" s="646">
        <f>Z19/Y19</f>
        <v>0</v>
      </c>
    </row>
    <row r="20" spans="2:28">
      <c r="B20" s="649"/>
      <c r="C20" s="641"/>
      <c r="D20" s="302" t="s">
        <v>9</v>
      </c>
      <c r="E20" s="293">
        <f>+Movimientos_Ltp_Pep!H22</f>
        <v>2.0100000000000001E-4</v>
      </c>
      <c r="F20" s="1">
        <f>+Movimientos_Ltp_Pep!J22</f>
        <v>0</v>
      </c>
      <c r="G20" s="4">
        <f>E20+F20+I19</f>
        <v>2.0100000000000001E-3</v>
      </c>
      <c r="H20" s="2"/>
      <c r="I20" s="4">
        <f t="shared" si="9"/>
        <v>2.0100000000000001E-3</v>
      </c>
      <c r="J20" s="311">
        <f t="shared" si="10"/>
        <v>0</v>
      </c>
      <c r="K20" s="293">
        <f>+Movimientos_Ltp_Pep!I22</f>
        <v>1.5476999999999999E-3</v>
      </c>
      <c r="L20" s="1">
        <f>+Movimientos_Ltp_Pep!K22</f>
        <v>0</v>
      </c>
      <c r="M20" s="4">
        <f>O19+K20+L20</f>
        <v>1.5456899999999999E-2</v>
      </c>
      <c r="N20" s="238"/>
      <c r="O20" s="3">
        <f t="shared" si="11"/>
        <v>1.5456899999999999E-2</v>
      </c>
      <c r="P20" s="241">
        <f t="shared" si="12"/>
        <v>0</v>
      </c>
      <c r="Q20" s="7">
        <f t="shared" si="13"/>
        <v>1.7487E-3</v>
      </c>
      <c r="R20" s="56">
        <f t="shared" si="14"/>
        <v>0</v>
      </c>
      <c r="S20" s="7">
        <f>Q20+R20+U19</f>
        <v>1.74669E-2</v>
      </c>
      <c r="T20" s="56">
        <f t="shared" si="15"/>
        <v>0</v>
      </c>
      <c r="U20" s="6">
        <f t="shared" si="16"/>
        <v>1.74669E-2</v>
      </c>
      <c r="V20" s="272">
        <f t="shared" si="17"/>
        <v>0</v>
      </c>
      <c r="W20" s="644"/>
      <c r="X20" s="645"/>
      <c r="Y20" s="644"/>
      <c r="Z20" s="645"/>
      <c r="AA20" s="644"/>
      <c r="AB20" s="646"/>
    </row>
    <row r="21" spans="2:28">
      <c r="B21" s="649"/>
      <c r="C21" s="641" t="str">
        <f>+Movimientos_Ltp_Pep!B23</f>
        <v>QUINTERO S.A. PESQ.</v>
      </c>
      <c r="D21" s="303" t="s">
        <v>11</v>
      </c>
      <c r="E21" s="293">
        <f>+Movimientos_Ltp_Pep!H23</f>
        <v>5.9973390000000002</v>
      </c>
      <c r="F21" s="1">
        <f>+Movimientos_Ltp_Pep!J23</f>
        <v>0</v>
      </c>
      <c r="G21" s="3">
        <f>E21+F21</f>
        <v>5.9973390000000002</v>
      </c>
      <c r="H21" s="1"/>
      <c r="I21" s="3">
        <f t="shared" si="0"/>
        <v>5.9973390000000002</v>
      </c>
      <c r="J21" s="312">
        <f t="shared" si="1"/>
        <v>0</v>
      </c>
      <c r="K21" s="293">
        <f>+Movimientos_Ltp_Pep!I23</f>
        <v>46.112873200000003</v>
      </c>
      <c r="L21" s="1">
        <f>+Movimientos_Ltp_Pep!K23</f>
        <v>0</v>
      </c>
      <c r="M21" s="3">
        <f>K21+L21</f>
        <v>46.112873200000003</v>
      </c>
      <c r="N21" s="237">
        <f>+E48</f>
        <v>41.045000000000002</v>
      </c>
      <c r="O21" s="297">
        <f t="shared" si="2"/>
        <v>5.0678732000000011</v>
      </c>
      <c r="P21" s="296">
        <f t="shared" si="3"/>
        <v>0.89009851591724276</v>
      </c>
      <c r="Q21" s="6">
        <f t="shared" si="4"/>
        <v>52.110212200000007</v>
      </c>
      <c r="R21" s="55">
        <f t="shared" si="5"/>
        <v>0</v>
      </c>
      <c r="S21" s="6">
        <f>Q21+R21</f>
        <v>52.110212200000007</v>
      </c>
      <c r="T21" s="55">
        <f t="shared" si="6"/>
        <v>41.045000000000002</v>
      </c>
      <c r="U21" s="203">
        <f t="shared" si="7"/>
        <v>11.065212200000005</v>
      </c>
      <c r="V21" s="273">
        <f t="shared" si="8"/>
        <v>0.78765751024901787</v>
      </c>
      <c r="W21" s="644">
        <f>Q21+Q22</f>
        <v>57.907639900000007</v>
      </c>
      <c r="X21" s="645">
        <f>R21+R22</f>
        <v>0</v>
      </c>
      <c r="Y21" s="644">
        <f>W21+X21</f>
        <v>57.907639900000007</v>
      </c>
      <c r="Z21" s="645">
        <f>T21+T22</f>
        <v>41.045000000000002</v>
      </c>
      <c r="AA21" s="644">
        <f>Y21-Z21</f>
        <v>16.862639900000005</v>
      </c>
      <c r="AB21" s="646">
        <f>Z21/Y21</f>
        <v>0.70880111969474335</v>
      </c>
    </row>
    <row r="22" spans="2:28">
      <c r="B22" s="649"/>
      <c r="C22" s="641"/>
      <c r="D22" s="302" t="s">
        <v>9</v>
      </c>
      <c r="E22" s="293">
        <f>+Movimientos_Ltp_Pep!H24</f>
        <v>0.66637100000000005</v>
      </c>
      <c r="F22" s="1">
        <f>+Movimientos_Ltp_Pep!J24</f>
        <v>0</v>
      </c>
      <c r="G22" s="4">
        <f>E22+F22+I21</f>
        <v>6.66371</v>
      </c>
      <c r="H22" s="1"/>
      <c r="I22" s="3">
        <f t="shared" si="0"/>
        <v>6.66371</v>
      </c>
      <c r="J22" s="311">
        <f t="shared" si="1"/>
        <v>0</v>
      </c>
      <c r="K22" s="293">
        <f>+Movimientos_Ltp_Pep!I24</f>
        <v>5.1310567000000002</v>
      </c>
      <c r="L22" s="1">
        <f>+Movimientos_Ltp_Pep!K24</f>
        <v>0</v>
      </c>
      <c r="M22" s="4">
        <f>O21+K22+L22</f>
        <v>10.198929900000001</v>
      </c>
      <c r="N22" s="238"/>
      <c r="O22" s="5">
        <f t="shared" si="2"/>
        <v>10.198929900000001</v>
      </c>
      <c r="P22" s="241">
        <f t="shared" si="3"/>
        <v>0</v>
      </c>
      <c r="Q22" s="6">
        <f t="shared" si="4"/>
        <v>5.7974277000000001</v>
      </c>
      <c r="R22" s="55">
        <f t="shared" si="5"/>
        <v>0</v>
      </c>
      <c r="S22" s="7">
        <f>Q22+R22+U21</f>
        <v>16.862639900000005</v>
      </c>
      <c r="T22" s="55">
        <f t="shared" si="6"/>
        <v>0</v>
      </c>
      <c r="U22" s="56">
        <f t="shared" si="7"/>
        <v>16.862639900000005</v>
      </c>
      <c r="V22" s="272">
        <f t="shared" si="8"/>
        <v>0</v>
      </c>
      <c r="W22" s="644"/>
      <c r="X22" s="645"/>
      <c r="Y22" s="644"/>
      <c r="Z22" s="645"/>
      <c r="AA22" s="644"/>
      <c r="AB22" s="646"/>
    </row>
    <row r="23" spans="2:28">
      <c r="B23" s="649"/>
      <c r="C23" s="641" t="str">
        <f>+Movimientos_Ltp_Pep!B25</f>
        <v>RUBIO Y MAUAD LTDA.</v>
      </c>
      <c r="D23" s="303" t="s">
        <v>11</v>
      </c>
      <c r="E23" s="293">
        <f>+Movimientos_Ltp_Pep!H25</f>
        <v>8.7516540000000003</v>
      </c>
      <c r="F23" s="1">
        <f>+Movimientos_Ltp_Pep!J25</f>
        <v>0</v>
      </c>
      <c r="G23" s="294">
        <f>E23+F23</f>
        <v>8.7516540000000003</v>
      </c>
      <c r="H23" s="300"/>
      <c r="I23" s="294">
        <f t="shared" ref="I23:I24" si="18">G23-H23</f>
        <v>8.7516540000000003</v>
      </c>
      <c r="J23" s="312">
        <f t="shared" ref="J23:J24" si="19">H23/G23</f>
        <v>0</v>
      </c>
      <c r="K23" s="293">
        <f>+Movimientos_Ltp_Pep!I25</f>
        <v>67.290495199999995</v>
      </c>
      <c r="L23" s="1">
        <f>+Movimientos_Ltp_Pep!K25</f>
        <v>0</v>
      </c>
      <c r="M23" s="294">
        <f>K23+L23</f>
        <v>67.290495199999995</v>
      </c>
      <c r="N23" s="295"/>
      <c r="O23" s="294">
        <f t="shared" ref="O23:O24" si="20">M23-N23</f>
        <v>67.290495199999995</v>
      </c>
      <c r="P23" s="296">
        <f t="shared" ref="P23:P24" si="21">N23/M23</f>
        <v>0</v>
      </c>
      <c r="Q23" s="285">
        <f t="shared" ref="Q23:Q24" si="22">+E23+K23</f>
        <v>76.042149199999997</v>
      </c>
      <c r="R23" s="203">
        <f t="shared" ref="R23:R24" si="23">F23+L23</f>
        <v>0</v>
      </c>
      <c r="S23" s="204">
        <f>Q23+R23</f>
        <v>76.042149199999997</v>
      </c>
      <c r="T23" s="203">
        <f t="shared" ref="T23:T24" si="24">H23+N23</f>
        <v>0</v>
      </c>
      <c r="U23" s="204">
        <f t="shared" ref="U23:U24" si="25">S23-T23</f>
        <v>76.042149199999997</v>
      </c>
      <c r="V23" s="273">
        <f t="shared" ref="V23:V24" si="26">T23/S23</f>
        <v>0</v>
      </c>
      <c r="W23" s="644">
        <f>Q23+Q24</f>
        <v>84.502081399999994</v>
      </c>
      <c r="X23" s="645">
        <f>R23+R24</f>
        <v>0</v>
      </c>
      <c r="Y23" s="644">
        <f>W23+X23</f>
        <v>84.502081399999994</v>
      </c>
      <c r="Z23" s="645">
        <f>T23+T24</f>
        <v>0</v>
      </c>
      <c r="AA23" s="644">
        <f>Y23-Z23</f>
        <v>84.502081399999994</v>
      </c>
      <c r="AB23" s="646">
        <f>Z23/Y23</f>
        <v>0</v>
      </c>
    </row>
    <row r="24" spans="2:28" ht="18.75" customHeight="1">
      <c r="B24" s="649"/>
      <c r="C24" s="641"/>
      <c r="D24" s="302" t="s">
        <v>9</v>
      </c>
      <c r="E24" s="293">
        <f>+Movimientos_Ltp_Pep!H26</f>
        <v>0.97240599999999999</v>
      </c>
      <c r="F24" s="1">
        <f>+Movimientos_Ltp_Pep!J26</f>
        <v>0</v>
      </c>
      <c r="G24" s="4">
        <f>E24+F24+I23</f>
        <v>9.7240599999999997</v>
      </c>
      <c r="H24" s="2"/>
      <c r="I24" s="4">
        <f t="shared" si="18"/>
        <v>9.7240599999999997</v>
      </c>
      <c r="J24" s="311">
        <f t="shared" si="19"/>
        <v>0</v>
      </c>
      <c r="K24" s="293">
        <f>+Movimientos_Ltp_Pep!I26</f>
        <v>7.4875261999999996</v>
      </c>
      <c r="L24" s="1">
        <f>+Movimientos_Ltp_Pep!K26</f>
        <v>0</v>
      </c>
      <c r="M24" s="4">
        <f>O23+K24+L24</f>
        <v>74.7780214</v>
      </c>
      <c r="N24" s="238"/>
      <c r="O24" s="3">
        <f t="shared" si="20"/>
        <v>74.7780214</v>
      </c>
      <c r="P24" s="241">
        <f t="shared" si="21"/>
        <v>0</v>
      </c>
      <c r="Q24" s="7">
        <f t="shared" si="22"/>
        <v>8.459932199999999</v>
      </c>
      <c r="R24" s="56">
        <f t="shared" si="23"/>
        <v>0</v>
      </c>
      <c r="S24" s="7">
        <f>Q24+R24+U23</f>
        <v>84.502081399999994</v>
      </c>
      <c r="T24" s="56">
        <f t="shared" si="24"/>
        <v>0</v>
      </c>
      <c r="U24" s="6">
        <f t="shared" si="25"/>
        <v>84.502081399999994</v>
      </c>
      <c r="V24" s="272">
        <f t="shared" si="26"/>
        <v>0</v>
      </c>
      <c r="W24" s="644"/>
      <c r="X24" s="645"/>
      <c r="Y24" s="644"/>
      <c r="Z24" s="645"/>
      <c r="AA24" s="644"/>
      <c r="AB24" s="646"/>
    </row>
    <row r="25" spans="2:28" hidden="1">
      <c r="B25" s="649"/>
      <c r="C25" s="641" t="str">
        <f>+Movimientos_Ltp_Pep!B27</f>
        <v>SUNRISE S.A. PESQ.</v>
      </c>
      <c r="D25" s="303" t="s">
        <v>11</v>
      </c>
      <c r="E25" s="293">
        <f>+Movimientos_Ltp_Pep!H27</f>
        <v>0</v>
      </c>
      <c r="F25" s="1">
        <f>+Movimientos_Ltp_Pep!J27</f>
        <v>0</v>
      </c>
      <c r="G25" s="286">
        <f>E25+F25</f>
        <v>0</v>
      </c>
      <c r="H25" s="300"/>
      <c r="I25" s="286">
        <f t="shared" si="0"/>
        <v>0</v>
      </c>
      <c r="J25" s="312" t="str">
        <f>IF(G25&gt;0,H25/G25,"0%")</f>
        <v>0%</v>
      </c>
      <c r="K25" s="293">
        <f>+Movimientos_Ltp_Pep!I27</f>
        <v>0</v>
      </c>
      <c r="L25" s="1">
        <f>+Movimientos_Ltp_Pep!K27</f>
        <v>0</v>
      </c>
      <c r="M25" s="286">
        <f>K25+L25</f>
        <v>0</v>
      </c>
      <c r="N25" s="295"/>
      <c r="O25" s="286">
        <f t="shared" si="2"/>
        <v>0</v>
      </c>
      <c r="P25" s="296" t="str">
        <f t="shared" ref="P25:P26" si="27">IF(M25&gt;0,N25/M25,"0%")</f>
        <v>0%</v>
      </c>
      <c r="Q25" s="286">
        <f t="shared" si="4"/>
        <v>0</v>
      </c>
      <c r="R25" s="206">
        <f t="shared" si="5"/>
        <v>0</v>
      </c>
      <c r="S25" s="205">
        <f>Q25+R25</f>
        <v>0</v>
      </c>
      <c r="T25" s="206">
        <f t="shared" si="6"/>
        <v>0</v>
      </c>
      <c r="U25" s="205">
        <f t="shared" si="7"/>
        <v>0</v>
      </c>
      <c r="V25" s="274" t="str">
        <f t="shared" ref="V25:V26" si="28">IF(S25&gt;0,T25/S25,"0%")</f>
        <v>0%</v>
      </c>
      <c r="W25" s="643">
        <f>Q25+Q26</f>
        <v>0</v>
      </c>
      <c r="X25" s="643">
        <f>R25+R26</f>
        <v>0</v>
      </c>
      <c r="Y25" s="643">
        <f>W25+X25</f>
        <v>0</v>
      </c>
      <c r="Z25" s="643">
        <f>T25+T26</f>
        <v>0</v>
      </c>
      <c r="AA25" s="643">
        <f>Y25-Z25</f>
        <v>0</v>
      </c>
      <c r="AB25" s="646" t="str">
        <f t="shared" ref="AB25" si="29">IF(Y25&gt;0,Z25/Y25,"0%")</f>
        <v>0%</v>
      </c>
    </row>
    <row r="26" spans="2:28" hidden="1">
      <c r="B26" s="649"/>
      <c r="C26" s="641"/>
      <c r="D26" s="302" t="s">
        <v>9</v>
      </c>
      <c r="E26" s="293">
        <f>+Movimientos_Ltp_Pep!H28</f>
        <v>0</v>
      </c>
      <c r="F26" s="1">
        <f>+Movimientos_Ltp_Pep!J28</f>
        <v>0</v>
      </c>
      <c r="G26" s="106">
        <f>E26+F26+I25</f>
        <v>0</v>
      </c>
      <c r="H26" s="2"/>
      <c r="I26" s="106">
        <f t="shared" si="0"/>
        <v>0</v>
      </c>
      <c r="J26" s="311" t="str">
        <f>IF(G26&gt;0,H26/G26,"0%")</f>
        <v>0%</v>
      </c>
      <c r="K26" s="293">
        <f>+Movimientos_Ltp_Pep!I28</f>
        <v>0</v>
      </c>
      <c r="L26" s="1">
        <f>+Movimientos_Ltp_Pep!K28</f>
        <v>0</v>
      </c>
      <c r="M26" s="106">
        <f>O25+K26+L26</f>
        <v>0</v>
      </c>
      <c r="N26" s="238"/>
      <c r="O26" s="107">
        <f t="shared" si="2"/>
        <v>0</v>
      </c>
      <c r="P26" s="241" t="str">
        <f t="shared" si="27"/>
        <v>0%</v>
      </c>
      <c r="Q26" s="106">
        <f t="shared" si="4"/>
        <v>0</v>
      </c>
      <c r="R26" s="105">
        <f t="shared" si="5"/>
        <v>0</v>
      </c>
      <c r="S26" s="106">
        <f>Q26+R26+U25</f>
        <v>0</v>
      </c>
      <c r="T26" s="105">
        <f t="shared" si="6"/>
        <v>0</v>
      </c>
      <c r="U26" s="107">
        <f t="shared" si="7"/>
        <v>0</v>
      </c>
      <c r="V26" s="275" t="str">
        <f t="shared" si="28"/>
        <v>0%</v>
      </c>
      <c r="W26" s="643"/>
      <c r="X26" s="643"/>
      <c r="Y26" s="643"/>
      <c r="Z26" s="643"/>
      <c r="AA26" s="643"/>
      <c r="AB26" s="646"/>
    </row>
    <row r="27" spans="2:28" ht="15.6" customHeight="1">
      <c r="B27" s="649"/>
      <c r="C27" s="641" t="str">
        <f>+Movimientos_Ltp_Pep!B29</f>
        <v>ENFEMAR LTDA. SOC. PESQ.</v>
      </c>
      <c r="D27" s="303" t="s">
        <v>11</v>
      </c>
      <c r="E27" s="293">
        <f>+Movimientos_Ltp_Pep!H29</f>
        <v>7.2909000000000002E-2</v>
      </c>
      <c r="F27" s="1">
        <f>+Movimientos_Ltp_Pep!J29</f>
        <v>0</v>
      </c>
      <c r="G27" s="294">
        <f>E27+F27</f>
        <v>7.2909000000000002E-2</v>
      </c>
      <c r="H27" s="300"/>
      <c r="I27" s="294">
        <f t="shared" ref="I27:I30" si="30">G27-H27</f>
        <v>7.2909000000000002E-2</v>
      </c>
      <c r="J27" s="312">
        <f t="shared" ref="J27:J30" si="31">H27/G27</f>
        <v>0</v>
      </c>
      <c r="K27" s="293">
        <f>+Movimientos_Ltp_Pep!I29</f>
        <v>0.56058920000000001</v>
      </c>
      <c r="L27" s="1">
        <f>+Movimientos_Ltp_Pep!K29</f>
        <v>0</v>
      </c>
      <c r="M27" s="294">
        <f>K27+L27</f>
        <v>0.56058920000000001</v>
      </c>
      <c r="N27" s="295"/>
      <c r="O27" s="294">
        <f t="shared" ref="O27:O30" si="32">M27-N27</f>
        <v>0.56058920000000001</v>
      </c>
      <c r="P27" s="296">
        <f t="shared" ref="P27:P30" si="33">N27/M27</f>
        <v>0</v>
      </c>
      <c r="Q27" s="285">
        <f t="shared" ref="Q27:Q30" si="34">+E27+K27</f>
        <v>0.63349820000000001</v>
      </c>
      <c r="R27" s="203">
        <f t="shared" ref="R27:R30" si="35">F27+L27</f>
        <v>0</v>
      </c>
      <c r="S27" s="204">
        <f>Q27+R27</f>
        <v>0.63349820000000001</v>
      </c>
      <c r="T27" s="203">
        <f t="shared" ref="T27:T30" si="36">H27+N27</f>
        <v>0</v>
      </c>
      <c r="U27" s="204">
        <f t="shared" ref="U27:U30" si="37">S27-T27</f>
        <v>0.63349820000000001</v>
      </c>
      <c r="V27" s="273">
        <f t="shared" ref="V27:V30" si="38">T27/S27</f>
        <v>0</v>
      </c>
      <c r="W27" s="644">
        <f>Q27+Q28</f>
        <v>0.70397690000000002</v>
      </c>
      <c r="X27" s="645">
        <f>R27+R28</f>
        <v>0</v>
      </c>
      <c r="Y27" s="644">
        <f>W27+X27</f>
        <v>0.70397690000000002</v>
      </c>
      <c r="Z27" s="645">
        <f>T27+T28</f>
        <v>0</v>
      </c>
      <c r="AA27" s="644">
        <f>Y27-Z27</f>
        <v>0.70397690000000002</v>
      </c>
      <c r="AB27" s="646">
        <f>Z27/Y27</f>
        <v>0</v>
      </c>
    </row>
    <row r="28" spans="2:28">
      <c r="B28" s="649"/>
      <c r="C28" s="641"/>
      <c r="D28" s="302" t="s">
        <v>9</v>
      </c>
      <c r="E28" s="293">
        <f>+Movimientos_Ltp_Pep!H30</f>
        <v>8.1010000000000006E-3</v>
      </c>
      <c r="F28" s="1">
        <f>+Movimientos_Ltp_Pep!J30</f>
        <v>0</v>
      </c>
      <c r="G28" s="4">
        <f>E28+F28+I27</f>
        <v>8.1009999999999999E-2</v>
      </c>
      <c r="H28" s="2"/>
      <c r="I28" s="4">
        <f t="shared" si="30"/>
        <v>8.1009999999999999E-2</v>
      </c>
      <c r="J28" s="311">
        <f t="shared" si="31"/>
        <v>0</v>
      </c>
      <c r="K28" s="293">
        <f>+Movimientos_Ltp_Pep!I30</f>
        <v>6.2377700000000001E-2</v>
      </c>
      <c r="L28" s="1">
        <f>+Movimientos_Ltp_Pep!K30</f>
        <v>0</v>
      </c>
      <c r="M28" s="4">
        <f>O27+K28+L28</f>
        <v>0.62296689999999999</v>
      </c>
      <c r="N28" s="238"/>
      <c r="O28" s="3">
        <f t="shared" si="32"/>
        <v>0.62296689999999999</v>
      </c>
      <c r="P28" s="241">
        <f t="shared" si="33"/>
        <v>0</v>
      </c>
      <c r="Q28" s="7">
        <f t="shared" si="34"/>
        <v>7.0478700000000005E-2</v>
      </c>
      <c r="R28" s="56">
        <f t="shared" si="35"/>
        <v>0</v>
      </c>
      <c r="S28" s="7">
        <f>Q28+R28+U27</f>
        <v>0.70397690000000002</v>
      </c>
      <c r="T28" s="56">
        <f t="shared" si="36"/>
        <v>0</v>
      </c>
      <c r="U28" s="6">
        <f t="shared" si="37"/>
        <v>0.70397690000000002</v>
      </c>
      <c r="V28" s="272">
        <f t="shared" si="38"/>
        <v>0</v>
      </c>
      <c r="W28" s="644"/>
      <c r="X28" s="645"/>
      <c r="Y28" s="644"/>
      <c r="Z28" s="645"/>
      <c r="AA28" s="644"/>
      <c r="AB28" s="646"/>
    </row>
    <row r="29" spans="2:28" hidden="1">
      <c r="B29" s="649"/>
      <c r="C29" s="641" t="str">
        <f>+Movimientos_Ltp_Pep!B31</f>
        <v>ALIMENTOS ALSAN LTDA</v>
      </c>
      <c r="D29" s="304" t="s">
        <v>11</v>
      </c>
      <c r="E29" s="293">
        <f>+Movimientos_Ltp_Pep!H31</f>
        <v>0</v>
      </c>
      <c r="F29" s="1">
        <f>+Movimientos_Ltp_Pep!J31</f>
        <v>0</v>
      </c>
      <c r="G29" s="286">
        <f>E29+F29</f>
        <v>0</v>
      </c>
      <c r="H29" s="300"/>
      <c r="I29" s="286">
        <f t="shared" si="30"/>
        <v>0</v>
      </c>
      <c r="J29" s="312" t="e">
        <f t="shared" si="31"/>
        <v>#DIV/0!</v>
      </c>
      <c r="K29" s="293">
        <f>+Movimientos_Ltp_Pep!I31</f>
        <v>0</v>
      </c>
      <c r="L29" s="1">
        <f>+Movimientos_Ltp_Pep!K31</f>
        <v>0</v>
      </c>
      <c r="M29" s="286">
        <f>K29+L29</f>
        <v>0</v>
      </c>
      <c r="N29" s="295"/>
      <c r="O29" s="286">
        <f t="shared" si="32"/>
        <v>0</v>
      </c>
      <c r="P29" s="298" t="e">
        <f t="shared" si="33"/>
        <v>#DIV/0!</v>
      </c>
      <c r="Q29" s="286">
        <f t="shared" si="34"/>
        <v>0</v>
      </c>
      <c r="R29" s="206">
        <f t="shared" si="35"/>
        <v>0</v>
      </c>
      <c r="S29" s="205">
        <f>Q29+R29</f>
        <v>0</v>
      </c>
      <c r="T29" s="206">
        <f t="shared" si="36"/>
        <v>0</v>
      </c>
      <c r="U29" s="205">
        <f t="shared" si="37"/>
        <v>0</v>
      </c>
      <c r="V29" s="276" t="e">
        <f t="shared" si="38"/>
        <v>#DIV/0!</v>
      </c>
      <c r="W29" s="643">
        <f>Q29+Q30</f>
        <v>0</v>
      </c>
      <c r="X29" s="643">
        <f>R29+R30</f>
        <v>0</v>
      </c>
      <c r="Y29" s="643">
        <f>W29+X29</f>
        <v>0</v>
      </c>
      <c r="Z29" s="643">
        <f>T29+T30</f>
        <v>0</v>
      </c>
      <c r="AA29" s="643">
        <f>Y29-Z29</f>
        <v>0</v>
      </c>
      <c r="AB29" s="677" t="e">
        <f>Z29/Y29</f>
        <v>#DIV/0!</v>
      </c>
    </row>
    <row r="30" spans="2:28" hidden="1">
      <c r="B30" s="649"/>
      <c r="C30" s="641"/>
      <c r="D30" s="305" t="s">
        <v>9</v>
      </c>
      <c r="E30" s="293">
        <f>+Movimientos_Ltp_Pep!H32</f>
        <v>0</v>
      </c>
      <c r="F30" s="1">
        <f>+Movimientos_Ltp_Pep!J32</f>
        <v>0</v>
      </c>
      <c r="G30" s="107">
        <f>E30+F30+I29</f>
        <v>0</v>
      </c>
      <c r="H30" s="1"/>
      <c r="I30" s="107">
        <f t="shared" si="30"/>
        <v>0</v>
      </c>
      <c r="J30" s="311" t="e">
        <f t="shared" si="31"/>
        <v>#DIV/0!</v>
      </c>
      <c r="K30" s="293">
        <f>+Movimientos_Ltp_Pep!I32</f>
        <v>0</v>
      </c>
      <c r="L30" s="1">
        <f>+Movimientos_Ltp_Pep!K32</f>
        <v>0</v>
      </c>
      <c r="M30" s="107">
        <f>O29+K30+L30</f>
        <v>0</v>
      </c>
      <c r="N30" s="239"/>
      <c r="O30" s="107">
        <f t="shared" si="32"/>
        <v>0</v>
      </c>
      <c r="P30" s="242" t="e">
        <f t="shared" si="33"/>
        <v>#DIV/0!</v>
      </c>
      <c r="Q30" s="107">
        <f t="shared" si="34"/>
        <v>0</v>
      </c>
      <c r="R30" s="137">
        <f t="shared" si="35"/>
        <v>0</v>
      </c>
      <c r="S30" s="107">
        <f>Q30+R30+U29</f>
        <v>0</v>
      </c>
      <c r="T30" s="137">
        <f t="shared" si="36"/>
        <v>0</v>
      </c>
      <c r="U30" s="107">
        <f t="shared" si="37"/>
        <v>0</v>
      </c>
      <c r="V30" s="277" t="e">
        <f t="shared" si="38"/>
        <v>#DIV/0!</v>
      </c>
      <c r="W30" s="643"/>
      <c r="X30" s="643"/>
      <c r="Y30" s="643"/>
      <c r="Z30" s="643"/>
      <c r="AA30" s="643"/>
      <c r="AB30" s="677"/>
    </row>
    <row r="31" spans="2:28" ht="14.4" hidden="1" customHeight="1">
      <c r="B31" s="649"/>
      <c r="C31" s="641" t="str">
        <f>+Movimientos_Ltp_Pep!B33</f>
        <v>SOC. DISTRIBUIDORA DE PRODUCTOS DEL MAR LTDA.</v>
      </c>
      <c r="D31" s="303" t="s">
        <v>11</v>
      </c>
      <c r="E31" s="293">
        <f>+Movimientos_Ltp_Pep!H33</f>
        <v>0</v>
      </c>
      <c r="F31" s="1">
        <f>+Movimientos_Ltp_Pep!J33</f>
        <v>0</v>
      </c>
      <c r="G31" s="294">
        <f>E31+F31</f>
        <v>0</v>
      </c>
      <c r="H31" s="300"/>
      <c r="I31" s="294">
        <f t="shared" si="0"/>
        <v>0</v>
      </c>
      <c r="J31" s="312" t="str">
        <f>IF(G26&gt;0,H26/G26,"0%")</f>
        <v>0%</v>
      </c>
      <c r="K31" s="293">
        <f>+Movimientos_Ltp_Pep!I33</f>
        <v>0</v>
      </c>
      <c r="L31" s="1">
        <f>+Movimientos_Ltp_Pep!K33</f>
        <v>0</v>
      </c>
      <c r="M31" s="294">
        <f>K31+L31</f>
        <v>0</v>
      </c>
      <c r="N31" s="295"/>
      <c r="O31" s="294">
        <f t="shared" si="2"/>
        <v>0</v>
      </c>
      <c r="P31" s="296" t="str">
        <f t="shared" ref="P31:P32" si="39">IF(M31&gt;0,N31/M31,"0%")</f>
        <v>0%</v>
      </c>
      <c r="Q31" s="285">
        <f t="shared" si="4"/>
        <v>0</v>
      </c>
      <c r="R31" s="203">
        <f t="shared" si="5"/>
        <v>0</v>
      </c>
      <c r="S31" s="204">
        <f>Q31+R31</f>
        <v>0</v>
      </c>
      <c r="T31" s="203">
        <f t="shared" si="6"/>
        <v>0</v>
      </c>
      <c r="U31" s="204">
        <f t="shared" si="7"/>
        <v>0</v>
      </c>
      <c r="V31" s="273">
        <v>0</v>
      </c>
      <c r="W31" s="644">
        <f>Q31+Q32</f>
        <v>0</v>
      </c>
      <c r="X31" s="645">
        <f>R31+R32</f>
        <v>0</v>
      </c>
      <c r="Y31" s="644">
        <f>W31+X31</f>
        <v>0</v>
      </c>
      <c r="Z31" s="645">
        <f>T31+T32</f>
        <v>0</v>
      </c>
      <c r="AA31" s="644">
        <f>Y31-Z31</f>
        <v>0</v>
      </c>
      <c r="AB31" s="646" t="str">
        <f t="shared" ref="AB31" si="40">IF(Y31&gt;0,Z31/Y31,"0%")</f>
        <v>0%</v>
      </c>
    </row>
    <row r="32" spans="2:28" ht="18.75" hidden="1" customHeight="1">
      <c r="B32" s="649"/>
      <c r="C32" s="641"/>
      <c r="D32" s="302" t="s">
        <v>9</v>
      </c>
      <c r="E32" s="293">
        <f>+Movimientos_Ltp_Pep!H34</f>
        <v>0</v>
      </c>
      <c r="F32" s="1">
        <f>+Movimientos_Ltp_Pep!J34</f>
        <v>0</v>
      </c>
      <c r="G32" s="4">
        <f>E32+F32+I31</f>
        <v>0</v>
      </c>
      <c r="H32" s="2"/>
      <c r="I32" s="4">
        <f t="shared" si="0"/>
        <v>0</v>
      </c>
      <c r="J32" s="311" t="str">
        <f>IF(G32&gt;0,H32/G32,"0%")</f>
        <v>0%</v>
      </c>
      <c r="K32" s="293">
        <f>+Movimientos_Ltp_Pep!I34</f>
        <v>0</v>
      </c>
      <c r="L32" s="1">
        <f>+Movimientos_Ltp_Pep!K34</f>
        <v>0</v>
      </c>
      <c r="M32" s="4">
        <f>O31+K32+L32</f>
        <v>0</v>
      </c>
      <c r="N32" s="238"/>
      <c r="O32" s="3">
        <f t="shared" si="2"/>
        <v>0</v>
      </c>
      <c r="P32" s="241" t="str">
        <f t="shared" si="39"/>
        <v>0%</v>
      </c>
      <c r="Q32" s="7">
        <f t="shared" si="4"/>
        <v>0</v>
      </c>
      <c r="R32" s="56">
        <f t="shared" si="5"/>
        <v>0</v>
      </c>
      <c r="S32" s="7">
        <f>Q32+R32+U31</f>
        <v>0</v>
      </c>
      <c r="T32" s="56">
        <f t="shared" si="6"/>
        <v>0</v>
      </c>
      <c r="U32" s="6">
        <f t="shared" si="7"/>
        <v>0</v>
      </c>
      <c r="V32" s="272">
        <v>0</v>
      </c>
      <c r="W32" s="644"/>
      <c r="X32" s="645"/>
      <c r="Y32" s="644"/>
      <c r="Z32" s="645"/>
      <c r="AA32" s="644"/>
      <c r="AB32" s="646"/>
    </row>
    <row r="33" spans="2:28" ht="15.6" hidden="1" customHeight="1">
      <c r="B33" s="649"/>
      <c r="C33" s="641" t="str">
        <f>+Movimientos_Ltp_Pep!B35</f>
        <v>DA VENEZIA RETAMALES ANTONIO</v>
      </c>
      <c r="D33" s="303" t="s">
        <v>11</v>
      </c>
      <c r="E33" s="293">
        <f>+Movimientos_Ltp_Pep!H35</f>
        <v>0</v>
      </c>
      <c r="F33" s="1">
        <f>+Movimientos_Ltp_Pep!J35</f>
        <v>0</v>
      </c>
      <c r="G33" s="286">
        <f>E33+F33</f>
        <v>0</v>
      </c>
      <c r="H33" s="300"/>
      <c r="I33" s="286">
        <f t="shared" si="0"/>
        <v>0</v>
      </c>
      <c r="J33" s="312" t="str">
        <f t="shared" ref="J33:J34" si="41">IF(G33&gt;0,H33/G33,"0%")</f>
        <v>0%</v>
      </c>
      <c r="K33" s="293">
        <f>+Movimientos_Ltp_Pep!I35</f>
        <v>0</v>
      </c>
      <c r="L33" s="1">
        <f>+Movimientos_Ltp_Pep!K35</f>
        <v>0</v>
      </c>
      <c r="M33" s="286">
        <f>K33+L33</f>
        <v>0</v>
      </c>
      <c r="N33" s="295"/>
      <c r="O33" s="286">
        <f t="shared" si="2"/>
        <v>0</v>
      </c>
      <c r="P33" s="296" t="str">
        <f t="shared" ref="P33:P34" si="42">IF(M33&gt;0,N33/M33,"0%")</f>
        <v>0%</v>
      </c>
      <c r="Q33" s="286">
        <f t="shared" si="4"/>
        <v>0</v>
      </c>
      <c r="R33" s="206">
        <f t="shared" si="5"/>
        <v>0</v>
      </c>
      <c r="S33" s="205">
        <f>Q33+R33</f>
        <v>0</v>
      </c>
      <c r="T33" s="206">
        <f t="shared" si="6"/>
        <v>0</v>
      </c>
      <c r="U33" s="205">
        <f t="shared" si="7"/>
        <v>0</v>
      </c>
      <c r="V33" s="274" t="str">
        <f t="shared" ref="V33:V34" si="43">IF(S33&gt;0,T33/S33,"0%")</f>
        <v>0%</v>
      </c>
      <c r="W33" s="643">
        <f>Q33+Q34</f>
        <v>0</v>
      </c>
      <c r="X33" s="643">
        <f>R33+R34</f>
        <v>0</v>
      </c>
      <c r="Y33" s="643">
        <f>W33+X33</f>
        <v>0</v>
      </c>
      <c r="Z33" s="643">
        <f>T33+T34</f>
        <v>0</v>
      </c>
      <c r="AA33" s="643">
        <f>Y33-Z33</f>
        <v>0</v>
      </c>
      <c r="AB33" s="646" t="str">
        <f t="shared" ref="AB33" si="44">IF(Y33&gt;0,Z33/Y33,"0%")</f>
        <v>0%</v>
      </c>
    </row>
    <row r="34" spans="2:28" hidden="1">
      <c r="B34" s="649"/>
      <c r="C34" s="642"/>
      <c r="D34" s="301" t="s">
        <v>9</v>
      </c>
      <c r="E34" s="293">
        <f>+Movimientos_Ltp_Pep!H36</f>
        <v>0</v>
      </c>
      <c r="F34" s="1">
        <f>+Movimientos_Ltp_Pep!J36</f>
        <v>0</v>
      </c>
      <c r="G34" s="107">
        <f>E34+F34+I33</f>
        <v>0</v>
      </c>
      <c r="H34" s="1"/>
      <c r="I34" s="107">
        <f t="shared" si="0"/>
        <v>0</v>
      </c>
      <c r="J34" s="310" t="str">
        <f t="shared" si="41"/>
        <v>0%</v>
      </c>
      <c r="K34" s="293">
        <f>+Movimientos_Ltp_Pep!I36</f>
        <v>0</v>
      </c>
      <c r="L34" s="1">
        <f>+Movimientos_Ltp_Pep!K36</f>
        <v>0</v>
      </c>
      <c r="M34" s="107">
        <f>O33+K34+L34</f>
        <v>0</v>
      </c>
      <c r="N34" s="239"/>
      <c r="O34" s="107">
        <f t="shared" si="2"/>
        <v>0</v>
      </c>
      <c r="P34" s="240" t="str">
        <f t="shared" si="42"/>
        <v>0%</v>
      </c>
      <c r="Q34" s="107">
        <f t="shared" si="4"/>
        <v>0</v>
      </c>
      <c r="R34" s="137">
        <f t="shared" si="5"/>
        <v>0</v>
      </c>
      <c r="S34" s="107">
        <f>Q34+R34+U33</f>
        <v>0</v>
      </c>
      <c r="T34" s="137">
        <f t="shared" si="6"/>
        <v>0</v>
      </c>
      <c r="U34" s="107">
        <f t="shared" si="7"/>
        <v>0</v>
      </c>
      <c r="V34" s="278" t="str">
        <f t="shared" si="43"/>
        <v>0%</v>
      </c>
      <c r="W34" s="643"/>
      <c r="X34" s="643"/>
      <c r="Y34" s="643"/>
      <c r="Z34" s="643"/>
      <c r="AA34" s="643"/>
      <c r="AB34" s="646"/>
    </row>
    <row r="35" spans="2:28">
      <c r="B35" s="649"/>
      <c r="C35" s="641" t="str">
        <f>+Movimientos_Ltp_Pep!B37</f>
        <v>NICANOR GONZALEZ VEGA</v>
      </c>
      <c r="D35" s="303" t="s">
        <v>11</v>
      </c>
      <c r="E35" s="299">
        <f>+Movimientos_Ltp_Pep!H37</f>
        <v>1.5111270000000001</v>
      </c>
      <c r="F35" s="300">
        <f>+Movimientos_Ltp_Pep!J37</f>
        <v>-1.67903</v>
      </c>
      <c r="G35" s="294">
        <f>E35+F35</f>
        <v>-0.16790299999999991</v>
      </c>
      <c r="H35" s="300"/>
      <c r="I35" s="294">
        <f t="shared" si="0"/>
        <v>-0.16790299999999991</v>
      </c>
      <c r="J35" s="312">
        <f t="shared" si="1"/>
        <v>0</v>
      </c>
      <c r="K35" s="299">
        <f>+Movimientos_Ltp_Pep!I37</f>
        <v>11.618887600000001</v>
      </c>
      <c r="L35" s="300">
        <f>+Movimientos_Ltp_Pep!K37</f>
        <v>-12.911740700000001</v>
      </c>
      <c r="M35" s="294">
        <f>K35+L35</f>
        <v>-1.2928531000000003</v>
      </c>
      <c r="N35" s="295"/>
      <c r="O35" s="294">
        <f t="shared" si="2"/>
        <v>-1.2928531000000003</v>
      </c>
      <c r="P35" s="296">
        <f t="shared" si="3"/>
        <v>0</v>
      </c>
      <c r="Q35" s="285">
        <f t="shared" si="4"/>
        <v>13.130014600000001</v>
      </c>
      <c r="R35" s="203">
        <f t="shared" si="5"/>
        <v>-14.5907707</v>
      </c>
      <c r="S35" s="204">
        <f>Q35+R35</f>
        <v>-1.4607560999999993</v>
      </c>
      <c r="T35" s="203">
        <f t="shared" si="6"/>
        <v>0</v>
      </c>
      <c r="U35" s="204">
        <f t="shared" si="7"/>
        <v>-1.4607560999999993</v>
      </c>
      <c r="V35" s="273">
        <f t="shared" si="8"/>
        <v>0</v>
      </c>
      <c r="W35" s="644">
        <f>Q35+Q36</f>
        <v>14.5907707</v>
      </c>
      <c r="X35" s="645">
        <f>R35+R36</f>
        <v>-14.5907707</v>
      </c>
      <c r="Y35" s="644">
        <f>W35+X35</f>
        <v>0</v>
      </c>
      <c r="Z35" s="645">
        <f>T35+T36</f>
        <v>0</v>
      </c>
      <c r="AA35" s="644">
        <f>Y35-Z35</f>
        <v>0</v>
      </c>
      <c r="AB35" s="646">
        <v>0</v>
      </c>
    </row>
    <row r="36" spans="2:28">
      <c r="B36" s="649"/>
      <c r="C36" s="642"/>
      <c r="D36" s="301" t="s">
        <v>9</v>
      </c>
      <c r="E36" s="293">
        <f>+Movimientos_Ltp_Pep!H38</f>
        <v>0.16790300000000002</v>
      </c>
      <c r="F36" s="1">
        <f>+Movimientos_Ltp_Pep!J38</f>
        <v>0</v>
      </c>
      <c r="G36" s="3">
        <f>E36+F36+I35</f>
        <v>0</v>
      </c>
      <c r="H36" s="1"/>
      <c r="I36" s="3">
        <f t="shared" si="0"/>
        <v>0</v>
      </c>
      <c r="J36" s="310">
        <v>0</v>
      </c>
      <c r="K36" s="293">
        <f>+Movimientos_Ltp_Pep!I38</f>
        <v>1.2928531000000001</v>
      </c>
      <c r="L36" s="1">
        <f>+Movimientos_Ltp_Pep!K38</f>
        <v>0</v>
      </c>
      <c r="M36" s="3">
        <f>O35+K36+L36</f>
        <v>-2.2204460492503131E-16</v>
      </c>
      <c r="N36" s="239"/>
      <c r="O36" s="3">
        <f t="shared" si="2"/>
        <v>-2.2204460492503131E-16</v>
      </c>
      <c r="P36" s="240">
        <f t="shared" si="3"/>
        <v>0</v>
      </c>
      <c r="Q36" s="6">
        <f t="shared" si="4"/>
        <v>1.4607561000000002</v>
      </c>
      <c r="R36" s="55">
        <f t="shared" si="5"/>
        <v>0</v>
      </c>
      <c r="S36" s="6">
        <f>Q36+R36+U35</f>
        <v>0</v>
      </c>
      <c r="T36" s="55">
        <f t="shared" si="6"/>
        <v>0</v>
      </c>
      <c r="U36" s="6">
        <f t="shared" si="7"/>
        <v>0</v>
      </c>
      <c r="V36" s="271">
        <v>0</v>
      </c>
      <c r="W36" s="644"/>
      <c r="X36" s="645"/>
      <c r="Y36" s="644"/>
      <c r="Z36" s="645"/>
      <c r="AA36" s="644"/>
      <c r="AB36" s="646"/>
    </row>
    <row r="37" spans="2:28" s="449" customFormat="1">
      <c r="B37" s="649"/>
      <c r="C37" s="647" t="s">
        <v>104</v>
      </c>
      <c r="D37" s="306" t="s">
        <v>11</v>
      </c>
      <c r="E37" s="291">
        <f t="shared" ref="E37:H38" si="45">+E7+E9+E11+E13+E15+E17+E19+E21+E23+E25+E27+E29+E31+E33+E35</f>
        <v>89.999990999999994</v>
      </c>
      <c r="F37" s="291">
        <f t="shared" si="45"/>
        <v>0</v>
      </c>
      <c r="G37" s="291">
        <f t="shared" si="45"/>
        <v>89.999990999999994</v>
      </c>
      <c r="H37" s="292">
        <f t="shared" si="45"/>
        <v>9.3940000000000001</v>
      </c>
      <c r="I37" s="291">
        <f>G37-H37</f>
        <v>80.605990999999989</v>
      </c>
      <c r="J37" s="313">
        <f t="shared" si="1"/>
        <v>0.10437778821555661</v>
      </c>
      <c r="K37" s="291">
        <f>+K7+K9+K11+K13+K15+K17+K19+K21+K23+K25+K27+K29+K31+K33+K35</f>
        <v>691.9999307999999</v>
      </c>
      <c r="L37" s="291">
        <f>+L7+L9+L11+L13+L15+L17+L19+L21+L23+L25+L27+L29+L31+L33+L35</f>
        <v>87.843000000000004</v>
      </c>
      <c r="M37" s="291">
        <f>+K37+L37</f>
        <v>779.84293079999986</v>
      </c>
      <c r="N37" s="292">
        <f>+N7+N9+N11+N13+N15+N17+N19+N21+N23+N25+N27+N29+N31+N33+N35</f>
        <v>558.59399999999982</v>
      </c>
      <c r="O37" s="291">
        <f>M37-N37</f>
        <v>221.24893080000004</v>
      </c>
      <c r="P37" s="296">
        <f t="shared" si="3"/>
        <v>0.7162903937937446</v>
      </c>
      <c r="Q37" s="287">
        <f>+Q7+Q9+Q11+Q13+Q15+Q17+Q19+Q21+Q23+Q25+Q27+Q29+Q31+Q33+Q35</f>
        <v>781.99992180000015</v>
      </c>
      <c r="R37" s="200">
        <f>+R7+R9+R11+R13+R15+R17+R19+R21+R23+R25+R27+R29+R31+R33+R35</f>
        <v>87.842999999999989</v>
      </c>
      <c r="S37" s="200">
        <f>+Q37+R37</f>
        <v>869.84292180000011</v>
      </c>
      <c r="T37" s="200">
        <f>+T7+T9+T11+T13+T15+T17+T19+T21+T23+T25+T27+T29+T31+T33+T35</f>
        <v>567.98799999999983</v>
      </c>
      <c r="U37" s="199">
        <f t="shared" si="7"/>
        <v>301.85492180000028</v>
      </c>
      <c r="V37" s="279">
        <f t="shared" si="8"/>
        <v>0.65297766500719456</v>
      </c>
      <c r="W37" s="644">
        <f>SUM(W7:W36)</f>
        <v>868.99991310000019</v>
      </c>
      <c r="X37" s="644">
        <f>SUM(X7:X36)</f>
        <v>87.842999999999989</v>
      </c>
      <c r="Y37" s="644">
        <f>+W37+X37</f>
        <v>956.84291310000015</v>
      </c>
      <c r="Z37" s="644">
        <f>SUM(Z7:Z36)</f>
        <v>567.98799999999983</v>
      </c>
      <c r="AA37" s="663">
        <f>Y37-Z37</f>
        <v>388.85491310000032</v>
      </c>
      <c r="AB37" s="664">
        <f>Z37/Y37</f>
        <v>0.59360631951572929</v>
      </c>
    </row>
    <row r="38" spans="2:28" s="449" customFormat="1">
      <c r="B38" s="650"/>
      <c r="C38" s="648"/>
      <c r="D38" s="207" t="s">
        <v>9</v>
      </c>
      <c r="E38" s="291">
        <f t="shared" si="45"/>
        <v>9.9999990000000007</v>
      </c>
      <c r="F38" s="291">
        <f t="shared" si="45"/>
        <v>0</v>
      </c>
      <c r="G38" s="291">
        <f t="shared" si="45"/>
        <v>90.605989999999991</v>
      </c>
      <c r="H38" s="291">
        <f t="shared" si="45"/>
        <v>0</v>
      </c>
      <c r="I38" s="291">
        <f>G38-H38</f>
        <v>90.605989999999991</v>
      </c>
      <c r="J38" s="313">
        <f t="shared" ref="J38" si="46">H38/G38</f>
        <v>0</v>
      </c>
      <c r="K38" s="291">
        <f>+K8+K10+K12+K14+K16+K18+K20+K22+K24+K26+K28+K30+K32+K34+K36</f>
        <v>76.999992300000017</v>
      </c>
      <c r="L38" s="291">
        <f>+L8+L10+L12+L14+L16+L18+L20+L22+L24+L26+L28+L30+L32+L34+L36</f>
        <v>0</v>
      </c>
      <c r="M38" s="291">
        <f>+K38+L38+O37</f>
        <v>298.24892310000007</v>
      </c>
      <c r="N38" s="292">
        <f>+N8+N10+N12+N14+N16+N18+N20+N22+N24+N26+N28+N30+N32+N34+N36</f>
        <v>0</v>
      </c>
      <c r="O38" s="291">
        <f>M38-N38</f>
        <v>298.24892310000007</v>
      </c>
      <c r="P38" s="290">
        <f t="shared" si="3"/>
        <v>0</v>
      </c>
      <c r="Q38" s="287">
        <f>+Q8+Q10+Q12+Q14+Q16+Q18+Q20+Q22+Q24+Q26+Q28+Q30+Q32+Q34+Q36</f>
        <v>86.999991299999976</v>
      </c>
      <c r="R38" s="200">
        <f>+R8+R10+R12+R14+R16+R18+R20+R22+R24+R26+R28+R30+R32+R34+R36</f>
        <v>0</v>
      </c>
      <c r="S38" s="200">
        <f>+Q38+R38+U37</f>
        <v>388.85491310000026</v>
      </c>
      <c r="T38" s="201">
        <f>+T8+T10+T12+T14+T16+T18+T20+T22+T24+T26+T28+T30+T32+T34+T36</f>
        <v>0</v>
      </c>
      <c r="U38" s="199">
        <f t="shared" si="7"/>
        <v>388.85491310000026</v>
      </c>
      <c r="V38" s="280">
        <f t="shared" si="8"/>
        <v>0</v>
      </c>
      <c r="W38" s="644"/>
      <c r="X38" s="644"/>
      <c r="Y38" s="644"/>
      <c r="Z38" s="644"/>
      <c r="AA38" s="663"/>
      <c r="AB38" s="664"/>
    </row>
    <row r="39" spans="2:28">
      <c r="B39" s="447"/>
      <c r="C39" s="448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52">
        <f>+W37-Movimientos_Ltp_Pep!L39</f>
        <v>0</v>
      </c>
      <c r="X39" s="447"/>
      <c r="Y39" s="447"/>
      <c r="Z39" s="447"/>
      <c r="AA39" s="447"/>
      <c r="AB39" s="447"/>
    </row>
    <row r="40" spans="2:28">
      <c r="B40" s="447"/>
      <c r="C40" s="448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53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</row>
    <row r="41" spans="2:28">
      <c r="B41" s="447"/>
      <c r="C41" s="44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</row>
    <row r="42" spans="2:28">
      <c r="B42" s="447"/>
      <c r="C42" s="448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</row>
    <row r="43" spans="2:28" ht="96" customHeight="1">
      <c r="B43" s="447"/>
      <c r="C43" s="448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</row>
    <row r="44" spans="2:28">
      <c r="B44" s="447"/>
      <c r="C44" s="499"/>
      <c r="D44" s="447"/>
      <c r="E44" s="447">
        <v>4</v>
      </c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</row>
    <row r="45" spans="2:28">
      <c r="B45" s="447"/>
      <c r="C45" s="499" t="s">
        <v>84</v>
      </c>
      <c r="D45" s="500"/>
      <c r="E45" s="500">
        <v>157.15799999999996</v>
      </c>
      <c r="F45" s="500">
        <f>+D45+E45</f>
        <v>157.15799999999996</v>
      </c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</row>
    <row r="46" spans="2:28">
      <c r="B46" s="447"/>
      <c r="C46" s="460" t="s">
        <v>86</v>
      </c>
      <c r="D46" s="500"/>
      <c r="E46" s="500">
        <v>278.02899999999994</v>
      </c>
      <c r="F46" s="500">
        <f t="shared" ref="F46:F49" si="47">+D46+E46</f>
        <v>278.02899999999994</v>
      </c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</row>
    <row r="47" spans="2:28">
      <c r="B47" s="447"/>
      <c r="C47" s="499" t="s">
        <v>149</v>
      </c>
      <c r="D47" s="500">
        <v>9.3940000000000001</v>
      </c>
      <c r="E47" s="500">
        <v>82.361999999999995</v>
      </c>
      <c r="F47" s="500">
        <f t="shared" si="47"/>
        <v>91.756</v>
      </c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</row>
    <row r="48" spans="2:28">
      <c r="B48" s="447"/>
      <c r="C48" s="499" t="s">
        <v>150</v>
      </c>
      <c r="D48" s="500"/>
      <c r="E48" s="500">
        <v>41.045000000000002</v>
      </c>
      <c r="F48" s="500">
        <f t="shared" si="47"/>
        <v>41.045000000000002</v>
      </c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</row>
    <row r="49" spans="2:28">
      <c r="B49" s="447"/>
      <c r="C49" s="448" t="s">
        <v>148</v>
      </c>
      <c r="D49" s="781">
        <f>SUM(D45:D48)</f>
        <v>9.3940000000000001</v>
      </c>
      <c r="E49" s="781">
        <f>SUM(E45:E48)</f>
        <v>558.59399999999982</v>
      </c>
      <c r="F49" s="500">
        <f t="shared" si="47"/>
        <v>567.98799999999983</v>
      </c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</row>
    <row r="50" spans="2:28">
      <c r="B50" s="447"/>
      <c r="C50" s="448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</row>
    <row r="51" spans="2:28">
      <c r="B51" s="447"/>
      <c r="C51" s="448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</row>
    <row r="52" spans="2:28">
      <c r="B52" s="447"/>
      <c r="C52" s="448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</row>
  </sheetData>
  <mergeCells count="122">
    <mergeCell ref="C17:C18"/>
    <mergeCell ref="W17:W18"/>
    <mergeCell ref="X17:X18"/>
    <mergeCell ref="Y17:Y18"/>
    <mergeCell ref="Z17:Z18"/>
    <mergeCell ref="AA17:AA18"/>
    <mergeCell ref="AB17:AB18"/>
    <mergeCell ref="C29:C30"/>
    <mergeCell ref="W19:W20"/>
    <mergeCell ref="X19:X20"/>
    <mergeCell ref="Y19:Y20"/>
    <mergeCell ref="AB19:AB20"/>
    <mergeCell ref="C27:C28"/>
    <mergeCell ref="W27:W28"/>
    <mergeCell ref="X27:X28"/>
    <mergeCell ref="Y27:Y28"/>
    <mergeCell ref="Z27:Z28"/>
    <mergeCell ref="AA27:AA28"/>
    <mergeCell ref="AB27:AB28"/>
    <mergeCell ref="AA29:AA30"/>
    <mergeCell ref="AB29:AB30"/>
    <mergeCell ref="W29:W30"/>
    <mergeCell ref="X29:X30"/>
    <mergeCell ref="Y29:Y30"/>
    <mergeCell ref="AB11:AB12"/>
    <mergeCell ref="C13:C14"/>
    <mergeCell ref="W13:W14"/>
    <mergeCell ref="X13:X14"/>
    <mergeCell ref="Y13:Y14"/>
    <mergeCell ref="Z13:Z14"/>
    <mergeCell ref="AA13:AA14"/>
    <mergeCell ref="AB13:AB14"/>
    <mergeCell ref="C15:C16"/>
    <mergeCell ref="W15:W16"/>
    <mergeCell ref="X15:X16"/>
    <mergeCell ref="Y15:Y16"/>
    <mergeCell ref="Z15:Z16"/>
    <mergeCell ref="AA15:AA16"/>
    <mergeCell ref="AB15:AB16"/>
    <mergeCell ref="C9:C10"/>
    <mergeCell ref="W9:W10"/>
    <mergeCell ref="X9:X10"/>
    <mergeCell ref="Y9:Y10"/>
    <mergeCell ref="Z9:Z10"/>
    <mergeCell ref="AA9:AA10"/>
    <mergeCell ref="AB9:AB10"/>
    <mergeCell ref="C21:C22"/>
    <mergeCell ref="C25:C26"/>
    <mergeCell ref="AA21:AA22"/>
    <mergeCell ref="AB21:AB22"/>
    <mergeCell ref="AB25:AB26"/>
    <mergeCell ref="Z21:Z22"/>
    <mergeCell ref="W25:W26"/>
    <mergeCell ref="X25:X26"/>
    <mergeCell ref="Y25:Y26"/>
    <mergeCell ref="Z25:Z26"/>
    <mergeCell ref="AA25:AA26"/>
    <mergeCell ref="C11:C12"/>
    <mergeCell ref="W11:W12"/>
    <mergeCell ref="X11:X12"/>
    <mergeCell ref="Y11:Y12"/>
    <mergeCell ref="Z11:Z12"/>
    <mergeCell ref="AA11:AA12"/>
    <mergeCell ref="E5:J5"/>
    <mergeCell ref="K5:P5"/>
    <mergeCell ref="W21:W22"/>
    <mergeCell ref="X21:X22"/>
    <mergeCell ref="Y21:Y22"/>
    <mergeCell ref="W5:AB5"/>
    <mergeCell ref="C7:C8"/>
    <mergeCell ref="C23:C24"/>
    <mergeCell ref="C19:C20"/>
    <mergeCell ref="Z7:Z8"/>
    <mergeCell ref="AA7:AA8"/>
    <mergeCell ref="AB7:AB8"/>
    <mergeCell ref="W23:W24"/>
    <mergeCell ref="X23:X24"/>
    <mergeCell ref="Y23:Y24"/>
    <mergeCell ref="Q5:V5"/>
    <mergeCell ref="Z23:Z24"/>
    <mergeCell ref="AA23:AA24"/>
    <mergeCell ref="AB23:AB24"/>
    <mergeCell ref="W7:W8"/>
    <mergeCell ref="X7:X8"/>
    <mergeCell ref="Y7:Y8"/>
    <mergeCell ref="Z19:Z20"/>
    <mergeCell ref="AA19:AA20"/>
    <mergeCell ref="B7:B38"/>
    <mergeCell ref="B2:AB2"/>
    <mergeCell ref="B3:AB3"/>
    <mergeCell ref="D5:D6"/>
    <mergeCell ref="C5:C6"/>
    <mergeCell ref="B5:B6"/>
    <mergeCell ref="W37:W38"/>
    <mergeCell ref="X37:X38"/>
    <mergeCell ref="Y37:Y38"/>
    <mergeCell ref="Z37:Z38"/>
    <mergeCell ref="AA37:AA38"/>
    <mergeCell ref="AB37:AB38"/>
    <mergeCell ref="C33:C34"/>
    <mergeCell ref="Z31:Z32"/>
    <mergeCell ref="AA31:AA32"/>
    <mergeCell ref="AB31:AB32"/>
    <mergeCell ref="C31:C32"/>
    <mergeCell ref="W31:W32"/>
    <mergeCell ref="X31:X32"/>
    <mergeCell ref="Y31:Y32"/>
    <mergeCell ref="W33:W34"/>
    <mergeCell ref="X33:X34"/>
    <mergeCell ref="Y33:Y34"/>
    <mergeCell ref="Z33:Z34"/>
    <mergeCell ref="C35:C36"/>
    <mergeCell ref="Z29:Z30"/>
    <mergeCell ref="W35:W36"/>
    <mergeCell ref="X35:X36"/>
    <mergeCell ref="Y35:Y36"/>
    <mergeCell ref="Z35:Z36"/>
    <mergeCell ref="AA35:AA36"/>
    <mergeCell ref="AB35:AB36"/>
    <mergeCell ref="C37:C38"/>
    <mergeCell ref="AA33:AA34"/>
    <mergeCell ref="AB33:AB34"/>
  </mergeCells>
  <conditionalFormatting sqref="Z7:Z11 Z13:Z38">
    <cfRule type="dataBar" priority="31">
      <dataBar>
        <cfvo type="min" val="0"/>
        <cfvo type="max" val="0"/>
        <color rgb="FFFFB628"/>
      </dataBar>
    </cfRule>
  </conditionalFormatting>
  <conditionalFormatting sqref="E7:I38 K7:O38">
    <cfRule type="cellIs" dxfId="3" priority="30" operator="lessThan">
      <formula>0</formula>
    </cfRule>
  </conditionalFormatting>
  <conditionalFormatting sqref="Q7:U36 AA21:AA36 W7:Z11 W13:Z36 AA7:AB7 AA9:AB9 AA11:AB11 AA13:AB13 AA15:AB15 AA17:AB17 AA19:AB19 AB21 AB23 AB25 AB27 AB29 AB31 AB33 AB35">
    <cfRule type="cellIs" dxfId="2" priority="28" operator="lessThan">
      <formula>0</formula>
    </cfRule>
  </conditionalFormatting>
  <conditionalFormatting sqref="AB7 AB9 AB11 AB13 AB15 AB17 AB19 AB21 AB23 AB25 AB27 AB29 AB31 AB33 AB35 J7:J36 P7:P38 V37:V38">
    <cfRule type="cellIs" dxfId="1" priority="21" operator="greaterThan">
      <formula>0.8</formula>
    </cfRule>
  </conditionalFormatting>
  <conditionalFormatting sqref="AB7 AB9 AB11 AB13 AB15 AB17 AB19 AB21 AB23 AB25 AB27 AB29 AB31 AB33 AB35 J7:J36 P7:P38 V37:V38">
    <cfRule type="cellIs" dxfId="0" priority="20" operator="greaterThan">
      <formula>100</formula>
    </cfRule>
  </conditionalFormatting>
  <conditionalFormatting sqref="AB7:AB36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orientation="portrait" r:id="rId1"/>
  <ignoredErrors>
    <ignoredError sqref="G8 M8 S7:S8 Y7:Y8 M21:M26 S36:S38 M31:M36 Y25:Y26 Y31:Y36 Y21:Y22 Y9:Y20 Y23:Y24 Y27:Y30 G31:G36 G25:G26 G21:G22 G9:G20 G23:G24 G27:G30 G37:G38 M39 S31:S35 S21:S26 S9:S20 S27:S3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CC"/>
  </sheetPr>
  <dimension ref="B1:AE71"/>
  <sheetViews>
    <sheetView showGridLines="0" zoomScale="59" zoomScaleNormal="59" workbookViewId="0">
      <pane xSplit="4" ySplit="7" topLeftCell="E41" activePane="bottomRight" state="frozen"/>
      <selection pane="topRight" activeCell="F1" sqref="F1"/>
      <selection pane="bottomLeft" activeCell="A8" sqref="A8"/>
      <selection pane="bottomRight" activeCell="M52" sqref="M52"/>
    </sheetView>
  </sheetViews>
  <sheetFormatPr baseColWidth="10" defaultColWidth="11.5546875" defaultRowHeight="14.4"/>
  <cols>
    <col min="1" max="1" width="2.77734375" style="479" customWidth="1"/>
    <col min="2" max="2" width="11.88671875" style="479" customWidth="1"/>
    <col min="3" max="3" width="41" style="479" customWidth="1"/>
    <col min="4" max="4" width="12.109375" style="479" customWidth="1"/>
    <col min="5" max="5" width="11.88671875" style="479" customWidth="1"/>
    <col min="6" max="6" width="13.5546875" style="479" customWidth="1"/>
    <col min="7" max="7" width="14.44140625" style="479" customWidth="1"/>
    <col min="8" max="8" width="12.88671875" style="479" customWidth="1"/>
    <col min="9" max="9" width="11.5546875" style="479" customWidth="1"/>
    <col min="10" max="10" width="13.109375" style="479" customWidth="1"/>
    <col min="11" max="11" width="12.88671875" style="479" customWidth="1"/>
    <col min="12" max="12" width="11.109375" style="479" customWidth="1"/>
    <col min="13" max="13" width="13" style="479" customWidth="1"/>
    <col min="14" max="14" width="12.88671875" style="479" customWidth="1"/>
    <col min="15" max="15" width="11" style="479" customWidth="1"/>
    <col min="16" max="16" width="12.44140625" style="479" customWidth="1"/>
    <col min="17" max="17" width="10.109375" style="479" customWidth="1"/>
    <col min="18" max="18" width="13.5546875" style="479" customWidth="1"/>
    <col min="19" max="19" width="11.5546875" style="479" customWidth="1"/>
    <col min="20" max="20" width="12.44140625" style="479" customWidth="1"/>
    <col min="21" max="21" width="15.88671875" style="479" customWidth="1"/>
    <col min="22" max="22" width="11.5546875" style="479" customWidth="1"/>
    <col min="23" max="23" width="13.109375" style="479" customWidth="1"/>
    <col min="24" max="24" width="12.77734375" style="479" customWidth="1"/>
    <col min="25" max="25" width="14.6640625" style="479" customWidth="1"/>
    <col min="26" max="26" width="13.44140625" style="479" customWidth="1"/>
    <col min="27" max="27" width="15.21875" style="479" customWidth="1"/>
    <col min="28" max="28" width="12.21875" style="479" customWidth="1"/>
    <col min="29" max="29" width="12.44140625" style="479" customWidth="1"/>
    <col min="30" max="16384" width="11.5546875" style="479"/>
  </cols>
  <sheetData>
    <row r="1" spans="2:31" s="374" customFormat="1"/>
    <row r="2" spans="2:31" s="374" customFormat="1" ht="24" customHeight="1">
      <c r="B2" s="695" t="s">
        <v>125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7"/>
    </row>
    <row r="3" spans="2:31" s="374" customFormat="1" ht="26.4" customHeight="1">
      <c r="B3" s="698">
        <f>+'Resumen anual'!B4</f>
        <v>43656</v>
      </c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700"/>
    </row>
    <row r="4" spans="2:31" s="374" customFormat="1"/>
    <row r="5" spans="2:31" s="374" customFormat="1"/>
    <row r="6" spans="2:31" s="374" customFormat="1" ht="25.2" customHeight="1">
      <c r="B6" s="703" t="s">
        <v>70</v>
      </c>
      <c r="C6" s="703" t="s">
        <v>62</v>
      </c>
      <c r="D6" s="702" t="s">
        <v>24</v>
      </c>
      <c r="E6" s="707" t="s">
        <v>116</v>
      </c>
      <c r="F6" s="701" t="s">
        <v>77</v>
      </c>
      <c r="G6" s="701"/>
      <c r="H6" s="701"/>
      <c r="I6" s="701"/>
      <c r="J6" s="701"/>
      <c r="K6" s="701"/>
      <c r="L6" s="708" t="s">
        <v>76</v>
      </c>
      <c r="M6" s="708"/>
      <c r="N6" s="708"/>
      <c r="O6" s="708"/>
      <c r="P6" s="708"/>
      <c r="Q6" s="708"/>
      <c r="R6" s="704" t="s">
        <v>59</v>
      </c>
      <c r="S6" s="701"/>
      <c r="T6" s="701"/>
      <c r="U6" s="701"/>
      <c r="V6" s="701"/>
      <c r="W6" s="705"/>
      <c r="X6" s="706" t="s">
        <v>138</v>
      </c>
      <c r="Y6" s="706"/>
      <c r="Z6" s="706"/>
      <c r="AA6" s="706"/>
      <c r="AB6" s="706"/>
      <c r="AC6" s="706"/>
    </row>
    <row r="7" spans="2:31" s="374" customFormat="1" ht="36.6" customHeight="1">
      <c r="B7" s="703"/>
      <c r="C7" s="703"/>
      <c r="D7" s="702"/>
      <c r="E7" s="707"/>
      <c r="F7" s="347" t="s">
        <v>47</v>
      </c>
      <c r="G7" s="314" t="s">
        <v>3</v>
      </c>
      <c r="H7" s="314" t="s">
        <v>4</v>
      </c>
      <c r="I7" s="315" t="s">
        <v>5</v>
      </c>
      <c r="J7" s="315" t="s">
        <v>20</v>
      </c>
      <c r="K7" s="315" t="s">
        <v>21</v>
      </c>
      <c r="L7" s="316" t="s">
        <v>22</v>
      </c>
      <c r="M7" s="316" t="s">
        <v>3</v>
      </c>
      <c r="N7" s="317" t="s">
        <v>4</v>
      </c>
      <c r="O7" s="318" t="s">
        <v>5</v>
      </c>
      <c r="P7" s="318" t="s">
        <v>20</v>
      </c>
      <c r="Q7" s="318" t="s">
        <v>21</v>
      </c>
      <c r="R7" s="319" t="s">
        <v>51</v>
      </c>
      <c r="S7" s="314" t="s">
        <v>61</v>
      </c>
      <c r="T7" s="314" t="s">
        <v>4</v>
      </c>
      <c r="U7" s="315" t="s">
        <v>60</v>
      </c>
      <c r="V7" s="315" t="s">
        <v>20</v>
      </c>
      <c r="W7" s="270" t="s">
        <v>23</v>
      </c>
      <c r="X7" s="321" t="s">
        <v>139</v>
      </c>
      <c r="Y7" s="320" t="s">
        <v>135</v>
      </c>
      <c r="Z7" s="320" t="s">
        <v>4</v>
      </c>
      <c r="AA7" s="321" t="s">
        <v>136</v>
      </c>
      <c r="AB7" s="321" t="s">
        <v>137</v>
      </c>
      <c r="AC7" s="321" t="s">
        <v>23</v>
      </c>
    </row>
    <row r="8" spans="2:31" s="374" customFormat="1" ht="15" customHeight="1">
      <c r="B8" s="681" t="s">
        <v>58</v>
      </c>
      <c r="C8" s="480" t="str">
        <f>+Movimientos_Ltp_Pep!B66</f>
        <v>CAMANCHACA PESCA SUR</v>
      </c>
      <c r="D8" s="481" t="s">
        <v>18</v>
      </c>
      <c r="E8" s="690">
        <f>+Movimientos_Ltp_Pep!E66/100</f>
        <v>0.31481415900000004</v>
      </c>
      <c r="F8" s="49">
        <f>+Movimientos_Ltp_Pep!H66</f>
        <v>249.96244224600002</v>
      </c>
      <c r="G8" s="145">
        <f>+Movimientos_Ltp_Pep!J66</f>
        <v>-161.3785272092</v>
      </c>
      <c r="H8" s="47">
        <f>F8+G8</f>
        <v>88.583915036800022</v>
      </c>
      <c r="I8" s="126">
        <f>+D48+E48</f>
        <v>0</v>
      </c>
      <c r="J8" s="48">
        <f>H8-I8</f>
        <v>88.583915036800022</v>
      </c>
      <c r="K8" s="344">
        <f>(I8/H8)</f>
        <v>0</v>
      </c>
      <c r="L8" s="50">
        <f>+Movimientos_Ltp_Pep!I66</f>
        <v>305.36973423000006</v>
      </c>
      <c r="M8" s="145">
        <f>+Movimientos_Ltp_Pep!K66</f>
        <v>323.27620639999998</v>
      </c>
      <c r="N8" s="148">
        <f>L8+M8</f>
        <v>628.64594063000004</v>
      </c>
      <c r="O8" s="126">
        <f>+F48+G48</f>
        <v>529.37100000000009</v>
      </c>
      <c r="P8" s="50">
        <f t="shared" ref="P8:P13" si="0">N8-O8</f>
        <v>99.274940629999946</v>
      </c>
      <c r="Q8" s="339">
        <f>O8/N8</f>
        <v>0.8420813144350997</v>
      </c>
      <c r="R8" s="234">
        <f>+F8+L8</f>
        <v>555.33217647600009</v>
      </c>
      <c r="S8" s="145">
        <f>G8+M8</f>
        <v>161.89767919079998</v>
      </c>
      <c r="T8" s="47">
        <f>R8+S8</f>
        <v>717.22985566680006</v>
      </c>
      <c r="U8" s="46">
        <f>I8+O8</f>
        <v>529.37100000000009</v>
      </c>
      <c r="V8" s="47">
        <f t="shared" ref="V8:V15" si="1">T8-U8</f>
        <v>187.85885566679997</v>
      </c>
      <c r="W8" s="129">
        <f t="shared" ref="W8:W23" si="2">U8/T8</f>
        <v>0.73807719494310531</v>
      </c>
      <c r="X8" s="709">
        <f>R8+R9</f>
        <v>617.03575164000006</v>
      </c>
      <c r="Y8" s="712">
        <f t="shared" ref="Y8" si="3">S8+S9</f>
        <v>161.89767919079998</v>
      </c>
      <c r="Z8" s="709">
        <f>X8+Y8</f>
        <v>778.93343083080003</v>
      </c>
      <c r="AA8" s="710">
        <f>U8+U9</f>
        <v>529.37100000000009</v>
      </c>
      <c r="AB8" s="709">
        <f>Z8-AA8</f>
        <v>249.56243083079994</v>
      </c>
      <c r="AC8" s="711">
        <f t="shared" ref="AC8" si="4">AA8/Z8</f>
        <v>0.67961006556796522</v>
      </c>
      <c r="AD8" s="384"/>
      <c r="AE8" s="384"/>
    </row>
    <row r="9" spans="2:31" s="374" customFormat="1">
      <c r="B9" s="681"/>
      <c r="C9" s="482"/>
      <c r="D9" s="483" t="s">
        <v>9</v>
      </c>
      <c r="E9" s="691"/>
      <c r="F9" s="49">
        <f>+Movimientos_Ltp_Pep!H67</f>
        <v>27.703645992000002</v>
      </c>
      <c r="G9" s="243">
        <f>+Movimientos_Ltp_Pep!J67</f>
        <v>0</v>
      </c>
      <c r="H9" s="138">
        <f>F9+G9+J8</f>
        <v>116.28756102880003</v>
      </c>
      <c r="I9" s="127"/>
      <c r="J9" s="51">
        <f t="shared" ref="J9" si="5">H9-I9</f>
        <v>116.28756102880003</v>
      </c>
      <c r="K9" s="348">
        <f>I9/H9</f>
        <v>0</v>
      </c>
      <c r="L9" s="50">
        <f>+Movimientos_Ltp_Pep!I67</f>
        <v>33.999929172000002</v>
      </c>
      <c r="M9" s="243">
        <f>+Movimientos_Ltp_Pep!K67</f>
        <v>0</v>
      </c>
      <c r="N9" s="149">
        <f>L9+M9+P8</f>
        <v>133.27486980199996</v>
      </c>
      <c r="O9" s="127"/>
      <c r="P9" s="53">
        <f t="shared" si="0"/>
        <v>133.27486980199996</v>
      </c>
      <c r="Q9" s="340">
        <f t="shared" ref="Q9:Q29" si="6">O9/N9</f>
        <v>0</v>
      </c>
      <c r="R9" s="235">
        <f t="shared" ref="R9:R31" si="7">+F9+L9</f>
        <v>61.703575164</v>
      </c>
      <c r="S9" s="243">
        <f t="shared" ref="S9:S31" si="8">G9+M9</f>
        <v>0</v>
      </c>
      <c r="T9" s="138">
        <f>R9+S9+V8</f>
        <v>249.56243083079997</v>
      </c>
      <c r="U9" s="150">
        <f>I9+O9</f>
        <v>0</v>
      </c>
      <c r="V9" s="138">
        <f t="shared" si="1"/>
        <v>249.56243083079997</v>
      </c>
      <c r="W9" s="233">
        <f t="shared" si="2"/>
        <v>0</v>
      </c>
      <c r="X9" s="687"/>
      <c r="Y9" s="689"/>
      <c r="Z9" s="687"/>
      <c r="AA9" s="645"/>
      <c r="AB9" s="687"/>
      <c r="AC9" s="692"/>
      <c r="AD9" s="384"/>
      <c r="AE9" s="384"/>
    </row>
    <row r="10" spans="2:31" s="374" customFormat="1">
      <c r="B10" s="681"/>
      <c r="C10" s="484" t="str">
        <f>+Movimientos_Ltp_Pep!B68</f>
        <v>QUINTERO S.A. PESQ.</v>
      </c>
      <c r="D10" s="485" t="s">
        <v>18</v>
      </c>
      <c r="E10" s="690">
        <f>+Movimientos_Ltp_Pep!E68/100</f>
        <v>2.7400000000000001E-2</v>
      </c>
      <c r="F10" s="49">
        <f>+Movimientos_Ltp_Pep!H68</f>
        <v>21.755600000000001</v>
      </c>
      <c r="G10" s="145">
        <f>+Movimientos_Ltp_Pep!J68</f>
        <v>0</v>
      </c>
      <c r="H10" s="323">
        <f t="shared" ref="H10" si="9">F10+G10</f>
        <v>21.755600000000001</v>
      </c>
      <c r="I10" s="126">
        <f>+D50+E50</f>
        <v>15.81</v>
      </c>
      <c r="J10" s="324">
        <f>H10-I10</f>
        <v>5.9456000000000007</v>
      </c>
      <c r="K10" s="344">
        <f t="shared" ref="K10:K29" si="10">I10/H10</f>
        <v>0.72670944492452516</v>
      </c>
      <c r="L10" s="50">
        <f>+Movimientos_Ltp_Pep!I68</f>
        <v>26.577999999999999</v>
      </c>
      <c r="M10" s="145">
        <f>+Movimientos_Ltp_Pep!K68</f>
        <v>0</v>
      </c>
      <c r="N10" s="325">
        <f t="shared" ref="N10" si="11">L10+M10</f>
        <v>26.577999999999999</v>
      </c>
      <c r="O10" s="126">
        <f>+F50+G50</f>
        <v>19.763999999999999</v>
      </c>
      <c r="P10" s="326">
        <f t="shared" si="0"/>
        <v>6.8140000000000001</v>
      </c>
      <c r="Q10" s="339">
        <f t="shared" si="6"/>
        <v>0.74362254496199864</v>
      </c>
      <c r="R10" s="327">
        <f t="shared" si="7"/>
        <v>48.333600000000004</v>
      </c>
      <c r="S10" s="322">
        <f t="shared" si="8"/>
        <v>0</v>
      </c>
      <c r="T10" s="323">
        <f t="shared" ref="T10" si="12">R10+S10</f>
        <v>48.333600000000004</v>
      </c>
      <c r="U10" s="328">
        <f t="shared" ref="U10:U31" si="13">I10+O10</f>
        <v>35.573999999999998</v>
      </c>
      <c r="V10" s="323">
        <f t="shared" si="1"/>
        <v>12.759600000000006</v>
      </c>
      <c r="W10" s="329">
        <f t="shared" si="2"/>
        <v>0.73600973236009726</v>
      </c>
      <c r="X10" s="688">
        <f t="shared" ref="X10:Y10" si="14">R10+R11</f>
        <v>53.704000000000008</v>
      </c>
      <c r="Y10" s="689">
        <f t="shared" si="14"/>
        <v>0</v>
      </c>
      <c r="Z10" s="688">
        <f t="shared" ref="Z10" si="15">X10+Y10</f>
        <v>53.704000000000008</v>
      </c>
      <c r="AA10" s="645">
        <f t="shared" ref="AA10" si="16">U10+U11</f>
        <v>35.573999999999998</v>
      </c>
      <c r="AB10" s="688">
        <f t="shared" ref="AB10" si="17">Z10-AA10</f>
        <v>18.13000000000001</v>
      </c>
      <c r="AC10" s="692">
        <f t="shared" ref="AC10" si="18">AA10/Z10</f>
        <v>0.66240875912408748</v>
      </c>
      <c r="AD10" s="384"/>
      <c r="AE10" s="384"/>
    </row>
    <row r="11" spans="2:31" s="374" customFormat="1">
      <c r="B11" s="681"/>
      <c r="C11" s="482"/>
      <c r="D11" s="483" t="s">
        <v>9</v>
      </c>
      <c r="E11" s="691"/>
      <c r="F11" s="49">
        <f>+Movimientos_Ltp_Pep!H69</f>
        <v>2.4112</v>
      </c>
      <c r="G11" s="243">
        <f>+Movimientos_Ltp_Pep!J69</f>
        <v>0</v>
      </c>
      <c r="H11" s="138">
        <f>F11+G11+J10</f>
        <v>8.3567999999999998</v>
      </c>
      <c r="I11" s="127"/>
      <c r="J11" s="51">
        <f t="shared" ref="J11" si="19">H11-I11</f>
        <v>8.3567999999999998</v>
      </c>
      <c r="K11" s="348">
        <f t="shared" si="10"/>
        <v>0</v>
      </c>
      <c r="L11" s="50">
        <f>+Movimientos_Ltp_Pep!I69</f>
        <v>2.9592000000000001</v>
      </c>
      <c r="M11" s="243">
        <f>+Movimientos_Ltp_Pep!K69</f>
        <v>0</v>
      </c>
      <c r="N11" s="52">
        <f t="shared" ref="N11" si="20">L11+M11+P10</f>
        <v>9.7731999999999992</v>
      </c>
      <c r="O11" s="127"/>
      <c r="P11" s="53">
        <f t="shared" si="0"/>
        <v>9.7731999999999992</v>
      </c>
      <c r="Q11" s="340">
        <f t="shared" si="6"/>
        <v>0</v>
      </c>
      <c r="R11" s="235">
        <f t="shared" si="7"/>
        <v>5.3704000000000001</v>
      </c>
      <c r="S11" s="243">
        <f t="shared" si="8"/>
        <v>0</v>
      </c>
      <c r="T11" s="138">
        <f>R11+S11+V10</f>
        <v>18.130000000000006</v>
      </c>
      <c r="U11" s="150">
        <f t="shared" si="13"/>
        <v>0</v>
      </c>
      <c r="V11" s="138">
        <f t="shared" si="1"/>
        <v>18.130000000000006</v>
      </c>
      <c r="W11" s="233">
        <f t="shared" si="2"/>
        <v>0</v>
      </c>
      <c r="X11" s="688"/>
      <c r="Y11" s="689"/>
      <c r="Z11" s="688"/>
      <c r="AA11" s="645"/>
      <c r="AB11" s="688"/>
      <c r="AC11" s="692"/>
      <c r="AD11" s="384"/>
      <c r="AE11" s="384"/>
    </row>
    <row r="12" spans="2:31" s="374" customFormat="1">
      <c r="B12" s="681"/>
      <c r="C12" s="484" t="str">
        <f>+Movimientos_Ltp_Pep!B70</f>
        <v>BRACPESCA S.A.</v>
      </c>
      <c r="D12" s="485" t="s">
        <v>18</v>
      </c>
      <c r="E12" s="690">
        <f>+Movimientos_Ltp_Pep!E70/100</f>
        <v>0.23224539999999996</v>
      </c>
      <c r="F12" s="49">
        <f>+Movimientos_Ltp_Pep!H70</f>
        <v>184.40284759999997</v>
      </c>
      <c r="G12" s="145">
        <f>+Movimientos_Ltp_Pep!J70</f>
        <v>200.0000072</v>
      </c>
      <c r="H12" s="323">
        <f>F12+G12</f>
        <v>384.4028548</v>
      </c>
      <c r="I12" s="126">
        <f>+D47+E47</f>
        <v>368.83399999999989</v>
      </c>
      <c r="J12" s="324">
        <f>H12-I12</f>
        <v>15.568854800000111</v>
      </c>
      <c r="K12" s="344">
        <f t="shared" si="10"/>
        <v>0.9594985973553698</v>
      </c>
      <c r="L12" s="50">
        <f>+Movimientos_Ltp_Pep!I70</f>
        <v>225.27803799999995</v>
      </c>
      <c r="M12" s="145">
        <f>+Movimientos_Ltp_Pep!K70</f>
        <v>-225.58588640000002</v>
      </c>
      <c r="N12" s="325">
        <f t="shared" ref="N12" si="21">L12+M12</f>
        <v>-0.30784840000006852</v>
      </c>
      <c r="O12" s="126">
        <f>+F47+G47</f>
        <v>0</v>
      </c>
      <c r="P12" s="326">
        <f t="shared" si="0"/>
        <v>-0.30784840000006852</v>
      </c>
      <c r="Q12" s="339">
        <f t="shared" si="6"/>
        <v>0</v>
      </c>
      <c r="R12" s="327">
        <f t="shared" si="7"/>
        <v>409.6808855999999</v>
      </c>
      <c r="S12" s="322">
        <f t="shared" si="8"/>
        <v>-25.585879200000022</v>
      </c>
      <c r="T12" s="323">
        <f t="shared" ref="T12" si="22">R12+S12</f>
        <v>384.09500639999987</v>
      </c>
      <c r="U12" s="328">
        <f t="shared" si="13"/>
        <v>368.83399999999989</v>
      </c>
      <c r="V12" s="323">
        <f t="shared" si="1"/>
        <v>15.261006399999985</v>
      </c>
      <c r="W12" s="329">
        <f t="shared" si="2"/>
        <v>0.96026762611928607</v>
      </c>
      <c r="X12" s="688">
        <f t="shared" ref="X12" si="23">R12+R13</f>
        <v>455.20098399999989</v>
      </c>
      <c r="Y12" s="689">
        <f>S12+S13</f>
        <v>-25.585879200000022</v>
      </c>
      <c r="Z12" s="688">
        <f>X12+Y12</f>
        <v>429.61510479999987</v>
      </c>
      <c r="AA12" s="645">
        <f t="shared" ref="AA12" si="24">U12+U13</f>
        <v>368.83399999999989</v>
      </c>
      <c r="AB12" s="688">
        <f t="shared" ref="AB12" si="25">Z12-AA12</f>
        <v>60.78110479999998</v>
      </c>
      <c r="AC12" s="692">
        <f t="shared" ref="AC12" si="26">AA12/Z12</f>
        <v>0.85852195576713808</v>
      </c>
      <c r="AD12" s="478"/>
      <c r="AE12" s="384"/>
    </row>
    <row r="13" spans="2:31" s="374" customFormat="1">
      <c r="B13" s="681"/>
      <c r="C13" s="482"/>
      <c r="D13" s="483" t="s">
        <v>9</v>
      </c>
      <c r="E13" s="691"/>
      <c r="F13" s="49">
        <f>+Movimientos_Ltp_Pep!H71</f>
        <v>20.437595199999997</v>
      </c>
      <c r="G13" s="243">
        <f>+Movimientos_Ltp_Pep!J71</f>
        <v>0</v>
      </c>
      <c r="H13" s="138">
        <f t="shared" ref="H13" si="27">F13+G13+J12</f>
        <v>36.006450000000108</v>
      </c>
      <c r="I13" s="127"/>
      <c r="J13" s="51">
        <f t="shared" ref="J13:J31" si="28">H13-I13</f>
        <v>36.006450000000108</v>
      </c>
      <c r="K13" s="348">
        <f t="shared" si="10"/>
        <v>0</v>
      </c>
      <c r="L13" s="50">
        <f>+Movimientos_Ltp_Pep!I71</f>
        <v>25.082503199999994</v>
      </c>
      <c r="M13" s="243">
        <f>+Movimientos_Ltp_Pep!K71</f>
        <v>0</v>
      </c>
      <c r="N13" s="52">
        <f t="shared" ref="N13" si="29">L13+M13+P12</f>
        <v>24.774654799999926</v>
      </c>
      <c r="O13" s="127"/>
      <c r="P13" s="53">
        <f t="shared" si="0"/>
        <v>24.774654799999926</v>
      </c>
      <c r="Q13" s="340">
        <f t="shared" si="6"/>
        <v>0</v>
      </c>
      <c r="R13" s="235">
        <f t="shared" si="7"/>
        <v>45.520098399999995</v>
      </c>
      <c r="S13" s="243">
        <f t="shared" si="8"/>
        <v>0</v>
      </c>
      <c r="T13" s="138">
        <f>R13+S13+V12</f>
        <v>60.78110479999998</v>
      </c>
      <c r="U13" s="150">
        <f t="shared" si="13"/>
        <v>0</v>
      </c>
      <c r="V13" s="138">
        <f t="shared" si="1"/>
        <v>60.78110479999998</v>
      </c>
      <c r="W13" s="233">
        <f t="shared" si="2"/>
        <v>0</v>
      </c>
      <c r="X13" s="688"/>
      <c r="Y13" s="689"/>
      <c r="Z13" s="688"/>
      <c r="AA13" s="645"/>
      <c r="AB13" s="688"/>
      <c r="AC13" s="692"/>
      <c r="AD13" s="384"/>
      <c r="AE13" s="384"/>
    </row>
    <row r="14" spans="2:31" s="374" customFormat="1">
      <c r="B14" s="681"/>
      <c r="C14" s="484" t="str">
        <f>+Movimientos_Ltp_Pep!B72</f>
        <v>ISLADAMAS S.A. PESQ.</v>
      </c>
      <c r="D14" s="485" t="s">
        <v>18</v>
      </c>
      <c r="E14" s="690">
        <f>+Movimientos_Ltp_Pep!E72/100</f>
        <v>0.16724620000000001</v>
      </c>
      <c r="F14" s="49">
        <f>+Movimientos_Ltp_Pep!H72</f>
        <v>132.79348280000002</v>
      </c>
      <c r="G14" s="145">
        <f>+Movimientos_Ltp_Pep!J72</f>
        <v>29.547000000000001</v>
      </c>
      <c r="H14" s="323">
        <f t="shared" ref="H14" si="30">F14+G14</f>
        <v>162.34048280000002</v>
      </c>
      <c r="I14" s="126">
        <f>+D49+E49</f>
        <v>136.94400000000002</v>
      </c>
      <c r="J14" s="324">
        <f t="shared" si="28"/>
        <v>25.396482800000001</v>
      </c>
      <c r="K14" s="344">
        <f t="shared" si="10"/>
        <v>0.84356038394139854</v>
      </c>
      <c r="L14" s="50">
        <f>+Movimientos_Ltp_Pep!I72</f>
        <v>162.228814</v>
      </c>
      <c r="M14" s="145">
        <f>+Movimientos_Ltp_Pep!K72</f>
        <v>36.113</v>
      </c>
      <c r="N14" s="325">
        <f>L14+M14</f>
        <v>198.341814</v>
      </c>
      <c r="O14" s="126">
        <f>+F49+G49</f>
        <v>37.125</v>
      </c>
      <c r="P14" s="326">
        <f>N14-O14</f>
        <v>161.216814</v>
      </c>
      <c r="Q14" s="339">
        <f t="shared" si="6"/>
        <v>0.18717687032952113</v>
      </c>
      <c r="R14" s="327">
        <f t="shared" si="7"/>
        <v>295.02229680000005</v>
      </c>
      <c r="S14" s="322">
        <f t="shared" si="8"/>
        <v>65.66</v>
      </c>
      <c r="T14" s="323">
        <f t="shared" ref="T14" si="31">R14+S14</f>
        <v>360.68229680000002</v>
      </c>
      <c r="U14" s="328">
        <f t="shared" si="13"/>
        <v>174.06900000000002</v>
      </c>
      <c r="V14" s="323">
        <f t="shared" si="1"/>
        <v>186.6132968</v>
      </c>
      <c r="W14" s="329">
        <f t="shared" si="2"/>
        <v>0.48261032366809531</v>
      </c>
      <c r="X14" s="688">
        <f t="shared" ref="X14:Y14" si="32">R14+R15</f>
        <v>327.80255200000005</v>
      </c>
      <c r="Y14" s="689">
        <f t="shared" si="32"/>
        <v>65.66</v>
      </c>
      <c r="Z14" s="688">
        <f t="shared" ref="Z14" si="33">X14+Y14</f>
        <v>393.46255200000007</v>
      </c>
      <c r="AA14" s="645">
        <f t="shared" ref="AA14" si="34">U14+U15</f>
        <v>174.06900000000002</v>
      </c>
      <c r="AB14" s="688">
        <f t="shared" ref="AB14" si="35">Z14-AA14</f>
        <v>219.39355200000006</v>
      </c>
      <c r="AC14" s="692">
        <f t="shared" ref="AC14" si="36">AA14/Z14</f>
        <v>0.44240296596256506</v>
      </c>
      <c r="AD14" s="384"/>
      <c r="AE14" s="384"/>
    </row>
    <row r="15" spans="2:31" s="374" customFormat="1">
      <c r="B15" s="681"/>
      <c r="C15" s="482"/>
      <c r="D15" s="483" t="s">
        <v>9</v>
      </c>
      <c r="E15" s="691"/>
      <c r="F15" s="49">
        <f>+Movimientos_Ltp_Pep!H73</f>
        <v>14.7176656</v>
      </c>
      <c r="G15" s="243">
        <f>+Movimientos_Ltp_Pep!J73</f>
        <v>0</v>
      </c>
      <c r="H15" s="138">
        <f t="shared" ref="H15" si="37">F15+G15+J14</f>
        <v>40.114148400000005</v>
      </c>
      <c r="I15" s="127"/>
      <c r="J15" s="51">
        <f t="shared" si="28"/>
        <v>40.114148400000005</v>
      </c>
      <c r="K15" s="348">
        <f t="shared" si="10"/>
        <v>0</v>
      </c>
      <c r="L15" s="50">
        <f>+Movimientos_Ltp_Pep!I73</f>
        <v>18.062589600000003</v>
      </c>
      <c r="M15" s="243">
        <f>+Movimientos_Ltp_Pep!K73</f>
        <v>0</v>
      </c>
      <c r="N15" s="52">
        <f>L15+M15+P14</f>
        <v>179.27940359999999</v>
      </c>
      <c r="O15" s="127"/>
      <c r="P15" s="53">
        <f t="shared" ref="P15:P31" si="38">N15-O15</f>
        <v>179.27940359999999</v>
      </c>
      <c r="Q15" s="340">
        <f t="shared" si="6"/>
        <v>0</v>
      </c>
      <c r="R15" s="235">
        <f t="shared" si="7"/>
        <v>32.780255199999999</v>
      </c>
      <c r="S15" s="243">
        <f t="shared" si="8"/>
        <v>0</v>
      </c>
      <c r="T15" s="138">
        <f>R15+S15+V14</f>
        <v>219.393552</v>
      </c>
      <c r="U15" s="150">
        <f t="shared" si="13"/>
        <v>0</v>
      </c>
      <c r="V15" s="138">
        <f t="shared" si="1"/>
        <v>219.393552</v>
      </c>
      <c r="W15" s="233">
        <f t="shared" si="2"/>
        <v>0</v>
      </c>
      <c r="X15" s="688"/>
      <c r="Y15" s="689"/>
      <c r="Z15" s="688"/>
      <c r="AA15" s="645"/>
      <c r="AB15" s="688"/>
      <c r="AC15" s="692"/>
      <c r="AD15" s="384"/>
      <c r="AE15" s="384"/>
    </row>
    <row r="16" spans="2:31" s="374" customFormat="1">
      <c r="B16" s="681"/>
      <c r="C16" s="484" t="str">
        <f>+Movimientos_Ltp_Pep!B74</f>
        <v>ANTARTIC SEAFOOD S.A.</v>
      </c>
      <c r="D16" s="485" t="s">
        <v>18</v>
      </c>
      <c r="E16" s="690">
        <f>+Movimientos_Ltp_Pep!E74/100</f>
        <v>8.6899999999999991E-2</v>
      </c>
      <c r="F16" s="49">
        <f>+Movimientos_Ltp_Pep!H74</f>
        <v>68.998599999999996</v>
      </c>
      <c r="G16" s="145">
        <f>+Movimientos_Ltp_Pep!J74</f>
        <v>40.000000009200001</v>
      </c>
      <c r="H16" s="323">
        <f t="shared" ref="H16" si="39">F16+G16</f>
        <v>108.9986000092</v>
      </c>
      <c r="I16" s="126">
        <f>+D46+E46</f>
        <v>60.757999999999996</v>
      </c>
      <c r="J16" s="324">
        <f t="shared" si="28"/>
        <v>48.240600009200008</v>
      </c>
      <c r="K16" s="344">
        <f t="shared" si="10"/>
        <v>0.55742000351262977</v>
      </c>
      <c r="L16" s="50">
        <f>+Movimientos_Ltp_Pep!I74</f>
        <v>84.292999999999992</v>
      </c>
      <c r="M16" s="145">
        <f>+Movimientos_Ltp_Pep!K74</f>
        <v>-83.329399999999993</v>
      </c>
      <c r="N16" s="325">
        <f t="shared" ref="N16" si="40">L16+M16</f>
        <v>0.96359999999999957</v>
      </c>
      <c r="O16" s="126">
        <f>+F46+G46</f>
        <v>0</v>
      </c>
      <c r="P16" s="326">
        <f t="shared" si="38"/>
        <v>0.96359999999999957</v>
      </c>
      <c r="Q16" s="339">
        <f t="shared" si="6"/>
        <v>0</v>
      </c>
      <c r="R16" s="327">
        <f t="shared" si="7"/>
        <v>153.29159999999999</v>
      </c>
      <c r="S16" s="322">
        <f t="shared" si="8"/>
        <v>-43.329399990799992</v>
      </c>
      <c r="T16" s="323">
        <f>R16+S16</f>
        <v>109.96220000919999</v>
      </c>
      <c r="U16" s="328">
        <f>I16+O16</f>
        <v>60.757999999999996</v>
      </c>
      <c r="V16" s="323">
        <f>T16-U16</f>
        <v>49.204200009199994</v>
      </c>
      <c r="W16" s="329">
        <f t="shared" si="2"/>
        <v>0.55253532572935682</v>
      </c>
      <c r="X16" s="688">
        <f t="shared" ref="X16:Y16" si="41">R16+R17</f>
        <v>170.32399999999998</v>
      </c>
      <c r="Y16" s="689">
        <f t="shared" si="41"/>
        <v>-43.329399990799992</v>
      </c>
      <c r="Z16" s="688">
        <f t="shared" ref="Z16" si="42">X16+Y16</f>
        <v>126.99460000919998</v>
      </c>
      <c r="AA16" s="645">
        <f t="shared" ref="AA16" si="43">U16+U17</f>
        <v>60.757999999999996</v>
      </c>
      <c r="AB16" s="688">
        <f t="shared" ref="AB16" si="44">Z16-AA16</f>
        <v>66.236600009199989</v>
      </c>
      <c r="AC16" s="692">
        <f t="shared" ref="AC16" si="45">AA16/Z16</f>
        <v>0.47842979146828646</v>
      </c>
      <c r="AD16" s="384"/>
      <c r="AE16" s="384"/>
    </row>
    <row r="17" spans="2:31" s="374" customFormat="1">
      <c r="B17" s="681"/>
      <c r="C17" s="482"/>
      <c r="D17" s="483" t="s">
        <v>9</v>
      </c>
      <c r="E17" s="691"/>
      <c r="F17" s="49">
        <f>+Movimientos_Ltp_Pep!H75</f>
        <v>7.6471999999999989</v>
      </c>
      <c r="G17" s="243">
        <f>+Movimientos_Ltp_Pep!J75</f>
        <v>0</v>
      </c>
      <c r="H17" s="138">
        <f t="shared" ref="H17" si="46">F17+G17+J16</f>
        <v>55.887800009200006</v>
      </c>
      <c r="I17" s="127"/>
      <c r="J17" s="51">
        <f t="shared" si="28"/>
        <v>55.887800009200006</v>
      </c>
      <c r="K17" s="348">
        <f t="shared" si="10"/>
        <v>0</v>
      </c>
      <c r="L17" s="50">
        <f>+Movimientos_Ltp_Pep!I75</f>
        <v>9.3851999999999993</v>
      </c>
      <c r="M17" s="243">
        <f>+Movimientos_Ltp_Pep!K75</f>
        <v>0</v>
      </c>
      <c r="N17" s="52">
        <f t="shared" ref="N17" si="47">L17+M17+P16</f>
        <v>10.348799999999999</v>
      </c>
      <c r="O17" s="127"/>
      <c r="P17" s="53">
        <f t="shared" si="38"/>
        <v>10.348799999999999</v>
      </c>
      <c r="Q17" s="340">
        <f t="shared" si="6"/>
        <v>0</v>
      </c>
      <c r="R17" s="235">
        <f t="shared" si="7"/>
        <v>17.032399999999999</v>
      </c>
      <c r="S17" s="243">
        <f t="shared" si="8"/>
        <v>0</v>
      </c>
      <c r="T17" s="138">
        <f>R17+S17+V16</f>
        <v>66.236600009199989</v>
      </c>
      <c r="U17" s="150">
        <f t="shared" si="13"/>
        <v>0</v>
      </c>
      <c r="V17" s="138">
        <f t="shared" ref="V17:V31" si="48">T17-U17</f>
        <v>66.236600009199989</v>
      </c>
      <c r="W17" s="233">
        <f t="shared" si="2"/>
        <v>0</v>
      </c>
      <c r="X17" s="688"/>
      <c r="Y17" s="689"/>
      <c r="Z17" s="688"/>
      <c r="AA17" s="645"/>
      <c r="AB17" s="688"/>
      <c r="AC17" s="692"/>
      <c r="AD17" s="384"/>
      <c r="AE17" s="384"/>
    </row>
    <row r="18" spans="2:31" s="374" customFormat="1" ht="14.4" customHeight="1">
      <c r="B18" s="681"/>
      <c r="C18" s="484" t="str">
        <f>+Movimientos_Ltp_Pep!B76</f>
        <v>RUBIO Y MAUAD</v>
      </c>
      <c r="D18" s="485" t="s">
        <v>18</v>
      </c>
      <c r="E18" s="690">
        <f>+Movimientos_Ltp_Pep!E76/100</f>
        <v>6.0000000000000001E-3</v>
      </c>
      <c r="F18" s="49">
        <f>+Movimientos_Ltp_Pep!H76</f>
        <v>4.7640000000000002</v>
      </c>
      <c r="G18" s="145">
        <f>+Movimientos_Ltp_Pep!J76</f>
        <v>0</v>
      </c>
      <c r="H18" s="323">
        <f>F18+G18</f>
        <v>4.7640000000000002</v>
      </c>
      <c r="I18" s="126"/>
      <c r="J18" s="324">
        <f t="shared" ref="J18:J19" si="49">H18-I18</f>
        <v>4.7640000000000002</v>
      </c>
      <c r="K18" s="349">
        <v>0</v>
      </c>
      <c r="L18" s="50">
        <f>+Movimientos_Ltp_Pep!I76</f>
        <v>5.82</v>
      </c>
      <c r="M18" s="145">
        <f>+Movimientos_Ltp_Pep!K76</f>
        <v>0</v>
      </c>
      <c r="N18" s="325">
        <f t="shared" ref="N18" si="50">L18+M18</f>
        <v>5.82</v>
      </c>
      <c r="O18" s="126">
        <f>+F38+G38</f>
        <v>0</v>
      </c>
      <c r="P18" s="326">
        <f t="shared" ref="P18:P19" si="51">N18-O18</f>
        <v>5.82</v>
      </c>
      <c r="Q18" s="344">
        <v>0</v>
      </c>
      <c r="R18" s="327">
        <f t="shared" ref="R18:R19" si="52">+F18+L18</f>
        <v>10.584</v>
      </c>
      <c r="S18" s="322">
        <f t="shared" ref="S18:S19" si="53">G18+M18</f>
        <v>0</v>
      </c>
      <c r="T18" s="323">
        <f t="shared" ref="T18" si="54">R18+S18</f>
        <v>10.584</v>
      </c>
      <c r="U18" s="328">
        <f t="shared" ref="U18:U19" si="55">I18+O18</f>
        <v>0</v>
      </c>
      <c r="V18" s="323">
        <f t="shared" ref="V18:V19" si="56">T18-U18</f>
        <v>10.584</v>
      </c>
      <c r="W18" s="329">
        <v>0</v>
      </c>
      <c r="X18" s="688">
        <f>R18+R19</f>
        <v>11.76</v>
      </c>
      <c r="Y18" s="689">
        <f>S18+S19</f>
        <v>0</v>
      </c>
      <c r="Z18" s="688">
        <f>X18+Y18</f>
        <v>11.76</v>
      </c>
      <c r="AA18" s="645">
        <f>U18+U19</f>
        <v>0</v>
      </c>
      <c r="AB18" s="688">
        <f t="shared" ref="AB18" si="57">Z18-AA18</f>
        <v>11.76</v>
      </c>
      <c r="AC18" s="692">
        <f>IF(Z18&gt;0,AA18/Z18,"0%")</f>
        <v>0</v>
      </c>
      <c r="AD18" s="384"/>
      <c r="AE18" s="384"/>
    </row>
    <row r="19" spans="2:31" s="374" customFormat="1">
      <c r="B19" s="681"/>
      <c r="C19" s="482"/>
      <c r="D19" s="483" t="s">
        <v>9</v>
      </c>
      <c r="E19" s="691"/>
      <c r="F19" s="49">
        <f>+Movimientos_Ltp_Pep!H77</f>
        <v>0.52800000000000002</v>
      </c>
      <c r="G19" s="243">
        <f>+Movimientos_Ltp_Pep!J77</f>
        <v>0</v>
      </c>
      <c r="H19" s="47">
        <f>F19+G19+J18</f>
        <v>5.2919999999999998</v>
      </c>
      <c r="I19" s="127"/>
      <c r="J19" s="48">
        <f t="shared" si="49"/>
        <v>5.2919999999999998</v>
      </c>
      <c r="K19" s="344">
        <v>0</v>
      </c>
      <c r="L19" s="50">
        <f>+Movimientos_Ltp_Pep!I77</f>
        <v>0.64800000000000002</v>
      </c>
      <c r="M19" s="243">
        <f>+Movimientos_Ltp_Pep!K77</f>
        <v>0</v>
      </c>
      <c r="N19" s="52">
        <f>L19+M19+P18</f>
        <v>6.468</v>
      </c>
      <c r="O19" s="127"/>
      <c r="P19" s="53">
        <f t="shared" si="51"/>
        <v>6.468</v>
      </c>
      <c r="Q19" s="340">
        <v>0</v>
      </c>
      <c r="R19" s="235">
        <f t="shared" si="52"/>
        <v>1.1760000000000002</v>
      </c>
      <c r="S19" s="243">
        <f t="shared" si="53"/>
        <v>0</v>
      </c>
      <c r="T19" s="138">
        <f>R19+S19+V18</f>
        <v>11.76</v>
      </c>
      <c r="U19" s="150">
        <f t="shared" si="55"/>
        <v>0</v>
      </c>
      <c r="V19" s="138">
        <f t="shared" si="56"/>
        <v>11.76</v>
      </c>
      <c r="W19" s="233">
        <v>0</v>
      </c>
      <c r="X19" s="688"/>
      <c r="Y19" s="689"/>
      <c r="Z19" s="688"/>
      <c r="AA19" s="645"/>
      <c r="AB19" s="688"/>
      <c r="AC19" s="692"/>
      <c r="AD19" s="384"/>
      <c r="AE19" s="384"/>
    </row>
    <row r="20" spans="2:31" s="374" customFormat="1">
      <c r="B20" s="681"/>
      <c r="C20" s="484" t="str">
        <f>+Movimientos_Ltp_Pep!B78</f>
        <v>ANTONIO CRUZ CORDOVA NAKOUZI E.I.R.L</v>
      </c>
      <c r="D20" s="485" t="s">
        <v>18</v>
      </c>
      <c r="E20" s="690">
        <f>+Movimientos_Ltp_Pep!E78/100</f>
        <v>1.3669999999999999E-4</v>
      </c>
      <c r="F20" s="49">
        <f>+Movimientos_Ltp_Pep!H78</f>
        <v>0.10853979999999999</v>
      </c>
      <c r="G20" s="145">
        <f>+Movimientos_Ltp_Pep!J78</f>
        <v>0</v>
      </c>
      <c r="H20" s="323">
        <f t="shared" ref="H20" si="58">F20+G20</f>
        <v>0.10853979999999999</v>
      </c>
      <c r="I20" s="126"/>
      <c r="J20" s="324">
        <f t="shared" si="28"/>
        <v>0.10853979999999999</v>
      </c>
      <c r="K20" s="344">
        <f t="shared" si="10"/>
        <v>0</v>
      </c>
      <c r="L20" s="50">
        <f>+Movimientos_Ltp_Pep!I78</f>
        <v>0.13259899999999999</v>
      </c>
      <c r="M20" s="145">
        <f>+Movimientos_Ltp_Pep!K78</f>
        <v>0</v>
      </c>
      <c r="N20" s="325">
        <f t="shared" ref="N20" si="59">L20+M20</f>
        <v>0.13259899999999999</v>
      </c>
      <c r="O20" s="126"/>
      <c r="P20" s="326">
        <f t="shared" si="38"/>
        <v>0.13259899999999999</v>
      </c>
      <c r="Q20" s="339">
        <f t="shared" si="6"/>
        <v>0</v>
      </c>
      <c r="R20" s="327">
        <f t="shared" si="7"/>
        <v>0.24113879999999999</v>
      </c>
      <c r="S20" s="322">
        <f t="shared" si="8"/>
        <v>0</v>
      </c>
      <c r="T20" s="323">
        <f t="shared" ref="T20:T22" si="60">R20+S20</f>
        <v>0.24113879999999999</v>
      </c>
      <c r="U20" s="328">
        <f t="shared" si="13"/>
        <v>0</v>
      </c>
      <c r="V20" s="323">
        <f t="shared" si="48"/>
        <v>0.24113879999999999</v>
      </c>
      <c r="W20" s="329">
        <f t="shared" si="2"/>
        <v>0</v>
      </c>
      <c r="X20" s="688">
        <f t="shared" ref="X20:Y20" si="61">R20+R21</f>
        <v>0.267932</v>
      </c>
      <c r="Y20" s="689">
        <f t="shared" si="61"/>
        <v>0</v>
      </c>
      <c r="Z20" s="688">
        <f t="shared" ref="Z20" si="62">X20+Y20</f>
        <v>0.267932</v>
      </c>
      <c r="AA20" s="645">
        <f t="shared" ref="AA20" si="63">U20+U21</f>
        <v>0</v>
      </c>
      <c r="AB20" s="688">
        <f t="shared" ref="AB20" si="64">Z20-AA20</f>
        <v>0.267932</v>
      </c>
      <c r="AC20" s="692">
        <f t="shared" ref="AC20" si="65">AA20/Z20</f>
        <v>0</v>
      </c>
      <c r="AD20" s="384"/>
      <c r="AE20" s="384"/>
    </row>
    <row r="21" spans="2:31" s="374" customFormat="1">
      <c r="B21" s="681"/>
      <c r="C21" s="482"/>
      <c r="D21" s="483" t="s">
        <v>9</v>
      </c>
      <c r="E21" s="691"/>
      <c r="F21" s="49">
        <f>+Movimientos_Ltp_Pep!H79</f>
        <v>1.20296E-2</v>
      </c>
      <c r="G21" s="243">
        <f>+Movimientos_Ltp_Pep!J79</f>
        <v>0</v>
      </c>
      <c r="H21" s="138">
        <f t="shared" ref="H21" si="66">F21+G21+J20</f>
        <v>0.12056939999999999</v>
      </c>
      <c r="I21" s="127"/>
      <c r="J21" s="51">
        <f t="shared" si="28"/>
        <v>0.12056939999999999</v>
      </c>
      <c r="K21" s="348">
        <f t="shared" si="10"/>
        <v>0</v>
      </c>
      <c r="L21" s="50">
        <f>+Movimientos_Ltp_Pep!I79</f>
        <v>1.4763599999999998E-2</v>
      </c>
      <c r="M21" s="243">
        <f>+Movimientos_Ltp_Pep!K79</f>
        <v>0</v>
      </c>
      <c r="N21" s="52">
        <f t="shared" ref="N21" si="67">L21+M21+P20</f>
        <v>0.14736259999999998</v>
      </c>
      <c r="O21" s="127"/>
      <c r="P21" s="53">
        <f t="shared" si="38"/>
        <v>0.14736259999999998</v>
      </c>
      <c r="Q21" s="340">
        <f t="shared" si="6"/>
        <v>0</v>
      </c>
      <c r="R21" s="235">
        <f t="shared" si="7"/>
        <v>2.6793199999999996E-2</v>
      </c>
      <c r="S21" s="243">
        <f t="shared" si="8"/>
        <v>0</v>
      </c>
      <c r="T21" s="138">
        <f>R21+S21+V20</f>
        <v>0.267932</v>
      </c>
      <c r="U21" s="150">
        <f t="shared" si="13"/>
        <v>0</v>
      </c>
      <c r="V21" s="138">
        <f t="shared" si="48"/>
        <v>0.267932</v>
      </c>
      <c r="W21" s="233">
        <f t="shared" si="2"/>
        <v>0</v>
      </c>
      <c r="X21" s="688"/>
      <c r="Y21" s="689"/>
      <c r="Z21" s="688"/>
      <c r="AA21" s="645"/>
      <c r="AB21" s="688"/>
      <c r="AC21" s="692"/>
      <c r="AD21" s="384"/>
      <c r="AE21" s="384"/>
    </row>
    <row r="22" spans="2:31" s="374" customFormat="1">
      <c r="B22" s="681"/>
      <c r="C22" s="484" t="str">
        <f>+Movimientos_Ltp_Pep!B80</f>
        <v>ENFEMAR LTDA. SOC. PESQ.</v>
      </c>
      <c r="D22" s="485" t="s">
        <v>18</v>
      </c>
      <c r="E22" s="690">
        <f>+Movimientos_Ltp_Pep!E80/100</f>
        <v>5.4599999999999999E-5</v>
      </c>
      <c r="F22" s="49">
        <f>+Movimientos_Ltp_Pep!H80</f>
        <v>4.3352399999999999E-2</v>
      </c>
      <c r="G22" s="145">
        <f>+Movimientos_Ltp_Pep!J80</f>
        <v>0</v>
      </c>
      <c r="H22" s="323">
        <f t="shared" ref="H22" si="68">F22+G22</f>
        <v>4.3352399999999999E-2</v>
      </c>
      <c r="I22" s="126"/>
      <c r="J22" s="324">
        <f t="shared" si="28"/>
        <v>4.3352399999999999E-2</v>
      </c>
      <c r="K22" s="344">
        <f t="shared" si="10"/>
        <v>0</v>
      </c>
      <c r="L22" s="50">
        <f>+Movimientos_Ltp_Pep!I80</f>
        <v>5.2962000000000002E-2</v>
      </c>
      <c r="M22" s="145">
        <f>+Movimientos_Ltp_Pep!K80</f>
        <v>0</v>
      </c>
      <c r="N22" s="325">
        <f t="shared" ref="N22" si="69">L22+M22</f>
        <v>5.2962000000000002E-2</v>
      </c>
      <c r="O22" s="126"/>
      <c r="P22" s="326">
        <f t="shared" si="38"/>
        <v>5.2962000000000002E-2</v>
      </c>
      <c r="Q22" s="339">
        <f t="shared" si="6"/>
        <v>0</v>
      </c>
      <c r="R22" s="327">
        <f t="shared" si="7"/>
        <v>9.6314399999999994E-2</v>
      </c>
      <c r="S22" s="322">
        <f t="shared" si="8"/>
        <v>0</v>
      </c>
      <c r="T22" s="323">
        <f t="shared" si="60"/>
        <v>9.6314399999999994E-2</v>
      </c>
      <c r="U22" s="328">
        <f t="shared" si="13"/>
        <v>0</v>
      </c>
      <c r="V22" s="323">
        <f t="shared" si="48"/>
        <v>9.6314399999999994E-2</v>
      </c>
      <c r="W22" s="329">
        <f t="shared" si="2"/>
        <v>0</v>
      </c>
      <c r="X22" s="688">
        <f t="shared" ref="X22:Y22" si="70">R22+R23</f>
        <v>0.107016</v>
      </c>
      <c r="Y22" s="689">
        <f t="shared" si="70"/>
        <v>0</v>
      </c>
      <c r="Z22" s="688">
        <f t="shared" ref="Z22" si="71">X22+Y22</f>
        <v>0.107016</v>
      </c>
      <c r="AA22" s="645">
        <f t="shared" ref="AA22" si="72">U22+U23</f>
        <v>0</v>
      </c>
      <c r="AB22" s="688">
        <f t="shared" ref="AB22" si="73">Z22-AA22</f>
        <v>0.107016</v>
      </c>
      <c r="AC22" s="692">
        <f t="shared" ref="AC22" si="74">AA22/Z22</f>
        <v>0</v>
      </c>
      <c r="AD22" s="384"/>
      <c r="AE22" s="384"/>
    </row>
    <row r="23" spans="2:31" s="374" customFormat="1">
      <c r="B23" s="681"/>
      <c r="C23" s="482"/>
      <c r="D23" s="483" t="s">
        <v>9</v>
      </c>
      <c r="E23" s="691"/>
      <c r="F23" s="49">
        <f>+Movimientos_Ltp_Pep!H81</f>
        <v>4.8047999999999997E-3</v>
      </c>
      <c r="G23" s="243">
        <f>+Movimientos_Ltp_Pep!J81</f>
        <v>0</v>
      </c>
      <c r="H23" s="138">
        <f t="shared" ref="H23" si="75">F23+G23+J22</f>
        <v>4.8157199999999997E-2</v>
      </c>
      <c r="I23" s="127"/>
      <c r="J23" s="51">
        <f t="shared" si="28"/>
        <v>4.8157199999999997E-2</v>
      </c>
      <c r="K23" s="348">
        <f t="shared" si="10"/>
        <v>0</v>
      </c>
      <c r="L23" s="50">
        <f>+Movimientos_Ltp_Pep!I81</f>
        <v>5.8967999999999998E-3</v>
      </c>
      <c r="M23" s="243">
        <f>+Movimientos_Ltp_Pep!K81</f>
        <v>0</v>
      </c>
      <c r="N23" s="52">
        <f t="shared" ref="N23" si="76">L23+M23+P22</f>
        <v>5.8858800000000003E-2</v>
      </c>
      <c r="O23" s="127"/>
      <c r="P23" s="53">
        <f t="shared" si="38"/>
        <v>5.8858800000000003E-2</v>
      </c>
      <c r="Q23" s="340">
        <f t="shared" si="6"/>
        <v>0</v>
      </c>
      <c r="R23" s="235">
        <f t="shared" si="7"/>
        <v>1.0701599999999999E-2</v>
      </c>
      <c r="S23" s="243">
        <f t="shared" si="8"/>
        <v>0</v>
      </c>
      <c r="T23" s="138">
        <f>R23+S23+V22</f>
        <v>0.107016</v>
      </c>
      <c r="U23" s="150">
        <f t="shared" si="13"/>
        <v>0</v>
      </c>
      <c r="V23" s="138">
        <f t="shared" si="48"/>
        <v>0.107016</v>
      </c>
      <c r="W23" s="233">
        <f t="shared" si="2"/>
        <v>0</v>
      </c>
      <c r="X23" s="688"/>
      <c r="Y23" s="689"/>
      <c r="Z23" s="688"/>
      <c r="AA23" s="645"/>
      <c r="AB23" s="688"/>
      <c r="AC23" s="692"/>
      <c r="AD23" s="384"/>
      <c r="AE23" s="384"/>
    </row>
    <row r="24" spans="2:31" s="374" customFormat="1">
      <c r="B24" s="681"/>
      <c r="C24" s="484" t="str">
        <f>+Movimientos_Ltp_Pep!B82</f>
        <v>PACIFICBLU SpA.</v>
      </c>
      <c r="D24" s="481" t="s">
        <v>18</v>
      </c>
      <c r="E24" s="690">
        <f>+Movimientos_Ltp_Pep!E82/100</f>
        <v>0.16418584000000003</v>
      </c>
      <c r="F24" s="49">
        <f>+Movimientos_Ltp_Pep!H82</f>
        <v>130.36355696000001</v>
      </c>
      <c r="G24" s="145">
        <f>+Movimientos_Ltp_Pep!J82</f>
        <v>-116.98847999999998</v>
      </c>
      <c r="H24" s="47">
        <f>F24+G24</f>
        <v>13.37507696000003</v>
      </c>
      <c r="I24" s="126"/>
      <c r="J24" s="48">
        <f t="shared" ref="J24:J25" si="77">H24-I24</f>
        <v>13.37507696000003</v>
      </c>
      <c r="K24" s="344">
        <v>0</v>
      </c>
      <c r="L24" s="50">
        <f>+Movimientos_Ltp_Pep!I82</f>
        <v>159.26026480000002</v>
      </c>
      <c r="M24" s="145">
        <f>+Movimientos_Ltp_Pep!K82</f>
        <v>-142.98591999999996</v>
      </c>
      <c r="N24" s="49">
        <f t="shared" ref="N24" si="78">L24+M24</f>
        <v>16.274344800000051</v>
      </c>
      <c r="O24" s="126"/>
      <c r="P24" s="130">
        <f t="shared" ref="P24:P25" si="79">N24-O24</f>
        <v>16.274344800000051</v>
      </c>
      <c r="Q24" s="341">
        <v>0</v>
      </c>
      <c r="R24" s="236">
        <f t="shared" ref="R24:R25" si="80">+F24+L24</f>
        <v>289.62382176000006</v>
      </c>
      <c r="S24" s="322">
        <f t="shared" ref="S24:S25" si="81">G24+M24</f>
        <v>-259.97439999999995</v>
      </c>
      <c r="T24" s="131">
        <f t="shared" ref="T24" si="82">R24+S24</f>
        <v>29.649421760000109</v>
      </c>
      <c r="U24" s="151">
        <f t="shared" ref="U24:U25" si="83">I24+O24</f>
        <v>0</v>
      </c>
      <c r="V24" s="131">
        <f t="shared" ref="V24:V25" si="84">T24-U24</f>
        <v>29.649421760000109</v>
      </c>
      <c r="W24" s="329">
        <v>0</v>
      </c>
      <c r="X24" s="688">
        <f>R24+R25</f>
        <v>321.80424640000007</v>
      </c>
      <c r="Y24" s="689">
        <f>S24+S25</f>
        <v>-259.97439999999995</v>
      </c>
      <c r="Z24" s="688">
        <f t="shared" ref="Z24" si="85">X24+Y24</f>
        <v>61.829846400000122</v>
      </c>
      <c r="AA24" s="645">
        <f>U24+U25</f>
        <v>0</v>
      </c>
      <c r="AB24" s="688">
        <f t="shared" ref="AB24" si="86">Z24-AA24</f>
        <v>61.829846400000122</v>
      </c>
      <c r="AC24" s="692">
        <v>0</v>
      </c>
      <c r="AD24" s="384"/>
      <c r="AE24" s="384"/>
    </row>
    <row r="25" spans="2:31" s="374" customFormat="1">
      <c r="B25" s="681"/>
      <c r="C25" s="482"/>
      <c r="D25" s="481" t="s">
        <v>9</v>
      </c>
      <c r="E25" s="691"/>
      <c r="F25" s="49">
        <f>+Movimientos_Ltp_Pep!H83</f>
        <v>14.448353920000002</v>
      </c>
      <c r="G25" s="243">
        <f>+Movimientos_Ltp_Pep!J83</f>
        <v>0</v>
      </c>
      <c r="H25" s="47">
        <f>F25+G25+J24</f>
        <v>27.823430880000032</v>
      </c>
      <c r="I25" s="127"/>
      <c r="J25" s="48">
        <f t="shared" si="77"/>
        <v>27.823430880000032</v>
      </c>
      <c r="K25" s="344">
        <v>0</v>
      </c>
      <c r="L25" s="50">
        <f>+Movimientos_Ltp_Pep!I83</f>
        <v>17.732070720000003</v>
      </c>
      <c r="M25" s="243">
        <f>+Movimientos_Ltp_Pep!K83</f>
        <v>0</v>
      </c>
      <c r="N25" s="49">
        <f>L25+M25+P24</f>
        <v>34.006415520000054</v>
      </c>
      <c r="O25" s="127"/>
      <c r="P25" s="130">
        <f t="shared" si="79"/>
        <v>34.006415520000054</v>
      </c>
      <c r="Q25" s="341">
        <v>0</v>
      </c>
      <c r="R25" s="236">
        <f t="shared" si="80"/>
        <v>32.180424640000005</v>
      </c>
      <c r="S25" s="243">
        <f t="shared" si="81"/>
        <v>0</v>
      </c>
      <c r="T25" s="131">
        <f>R25+S25+V24</f>
        <v>61.829846400000115</v>
      </c>
      <c r="U25" s="151">
        <f t="shared" si="83"/>
        <v>0</v>
      </c>
      <c r="V25" s="131">
        <f t="shared" si="84"/>
        <v>61.829846400000115</v>
      </c>
      <c r="W25" s="233">
        <v>0</v>
      </c>
      <c r="X25" s="688"/>
      <c r="Y25" s="689"/>
      <c r="Z25" s="688"/>
      <c r="AA25" s="645"/>
      <c r="AB25" s="688"/>
      <c r="AC25" s="692"/>
      <c r="AD25" s="384"/>
      <c r="AE25" s="384"/>
    </row>
    <row r="26" spans="2:31" s="374" customFormat="1">
      <c r="B26" s="681"/>
      <c r="C26" s="484" t="str">
        <f>+Movimientos_Ltp_Pep!B84</f>
        <v xml:space="preserve">ANTONIO DA VENEZIA RETAMALES </v>
      </c>
      <c r="D26" s="485" t="s">
        <v>18</v>
      </c>
      <c r="E26" s="690">
        <f>+Movimientos_Ltp_Pep!E84/100</f>
        <v>2.0100000000000001E-5</v>
      </c>
      <c r="F26" s="49">
        <f>+Movimientos_Ltp_Pep!H84</f>
        <v>1.5959400000000002E-2</v>
      </c>
      <c r="G26" s="145">
        <f>+Movimientos_Ltp_Pep!J84</f>
        <v>0</v>
      </c>
      <c r="H26" s="323">
        <f t="shared" ref="H26" si="87">F26+G26</f>
        <v>1.5959400000000002E-2</v>
      </c>
      <c r="I26" s="126"/>
      <c r="J26" s="324">
        <f t="shared" si="28"/>
        <v>1.5959400000000002E-2</v>
      </c>
      <c r="K26" s="349">
        <f t="shared" si="10"/>
        <v>0</v>
      </c>
      <c r="L26" s="50">
        <f>+Movimientos_Ltp_Pep!I84</f>
        <v>1.9497E-2</v>
      </c>
      <c r="M26" s="145">
        <f>+Movimientos_Ltp_Pep!K84</f>
        <v>0</v>
      </c>
      <c r="N26" s="325">
        <f t="shared" ref="N26" si="88">L26+M26</f>
        <v>1.9497E-2</v>
      </c>
      <c r="O26" s="126"/>
      <c r="P26" s="330">
        <f t="shared" si="38"/>
        <v>1.9497E-2</v>
      </c>
      <c r="Q26" s="342">
        <f t="shared" si="6"/>
        <v>0</v>
      </c>
      <c r="R26" s="331">
        <f t="shared" si="7"/>
        <v>3.5456399999999999E-2</v>
      </c>
      <c r="S26" s="322">
        <f t="shared" si="8"/>
        <v>0</v>
      </c>
      <c r="T26" s="323">
        <f t="shared" ref="T26" si="89">R26+S26</f>
        <v>3.5456399999999999E-2</v>
      </c>
      <c r="U26" s="328">
        <f t="shared" si="13"/>
        <v>0</v>
      </c>
      <c r="V26" s="323">
        <f t="shared" si="48"/>
        <v>3.5456399999999999E-2</v>
      </c>
      <c r="W26" s="329">
        <f t="shared" ref="W26:W29" si="90">U26/T26</f>
        <v>0</v>
      </c>
      <c r="X26" s="688">
        <f>R26+R27</f>
        <v>3.9396E-2</v>
      </c>
      <c r="Y26" s="689">
        <f>S26+S27</f>
        <v>0</v>
      </c>
      <c r="Z26" s="688">
        <f t="shared" ref="Z26" si="91">X26+Y26</f>
        <v>3.9396E-2</v>
      </c>
      <c r="AA26" s="645">
        <f>U26+U27</f>
        <v>0</v>
      </c>
      <c r="AB26" s="688">
        <f t="shared" ref="AB26" si="92">Z26-AA26</f>
        <v>3.9396E-2</v>
      </c>
      <c r="AC26" s="692">
        <f t="shared" ref="AC26" si="93">AA26/Z26</f>
        <v>0</v>
      </c>
      <c r="AD26" s="384"/>
      <c r="AE26" s="384"/>
    </row>
    <row r="27" spans="2:31" s="374" customFormat="1">
      <c r="B27" s="681"/>
      <c r="C27" s="482"/>
      <c r="D27" s="483" t="s">
        <v>9</v>
      </c>
      <c r="E27" s="691"/>
      <c r="F27" s="49">
        <f>+Movimientos_Ltp_Pep!H85</f>
        <v>1.7688000000000001E-3</v>
      </c>
      <c r="G27" s="243">
        <f>+Movimientos_Ltp_Pep!J85</f>
        <v>0</v>
      </c>
      <c r="H27" s="138">
        <f>F27+G27+J26</f>
        <v>1.7728200000000003E-2</v>
      </c>
      <c r="I27" s="127"/>
      <c r="J27" s="51">
        <f t="shared" si="28"/>
        <v>1.7728200000000003E-2</v>
      </c>
      <c r="K27" s="348">
        <f t="shared" si="10"/>
        <v>0</v>
      </c>
      <c r="L27" s="50">
        <f>+Movimientos_Ltp_Pep!I85</f>
        <v>2.1708000000000001E-3</v>
      </c>
      <c r="M27" s="243">
        <f>+Movimientos_Ltp_Pep!K85</f>
        <v>0</v>
      </c>
      <c r="N27" s="52">
        <f>L27+M27+P26</f>
        <v>2.1667800000000001E-2</v>
      </c>
      <c r="O27" s="127"/>
      <c r="P27" s="53">
        <f t="shared" si="38"/>
        <v>2.1667800000000001E-2</v>
      </c>
      <c r="Q27" s="340">
        <f t="shared" si="6"/>
        <v>0</v>
      </c>
      <c r="R27" s="235">
        <f t="shared" si="7"/>
        <v>3.9395999999999997E-3</v>
      </c>
      <c r="S27" s="243">
        <f t="shared" si="8"/>
        <v>0</v>
      </c>
      <c r="T27" s="138">
        <f>R27+S27+V26</f>
        <v>3.9396E-2</v>
      </c>
      <c r="U27" s="150">
        <f t="shared" si="13"/>
        <v>0</v>
      </c>
      <c r="V27" s="138">
        <f t="shared" si="48"/>
        <v>3.9396E-2</v>
      </c>
      <c r="W27" s="233">
        <f t="shared" si="90"/>
        <v>0</v>
      </c>
      <c r="X27" s="688"/>
      <c r="Y27" s="689"/>
      <c r="Z27" s="688"/>
      <c r="AA27" s="645"/>
      <c r="AB27" s="688"/>
      <c r="AC27" s="692"/>
      <c r="AD27" s="384"/>
      <c r="AE27" s="384"/>
    </row>
    <row r="28" spans="2:31" s="374" customFormat="1">
      <c r="B28" s="681"/>
      <c r="C28" s="484" t="str">
        <f>+Movimientos_Ltp_Pep!B86</f>
        <v>LANDES S.A. SOC. PESQ.</v>
      </c>
      <c r="D28" s="485" t="s">
        <v>18</v>
      </c>
      <c r="E28" s="690">
        <f>+Movimientos_Ltp_Pep!E86/100</f>
        <v>1E-3</v>
      </c>
      <c r="F28" s="49">
        <f>+Movimientos_Ltp_Pep!H86</f>
        <v>0.79400000000000004</v>
      </c>
      <c r="G28" s="145">
        <f>+Movimientos_Ltp_Pep!J86</f>
        <v>0</v>
      </c>
      <c r="H28" s="323">
        <f>F28+G28</f>
        <v>0.79400000000000004</v>
      </c>
      <c r="I28" s="126"/>
      <c r="J28" s="324">
        <f t="shared" si="28"/>
        <v>0.79400000000000004</v>
      </c>
      <c r="K28" s="349">
        <f t="shared" si="10"/>
        <v>0</v>
      </c>
      <c r="L28" s="50">
        <f>+Movimientos_Ltp_Pep!I86</f>
        <v>0.97</v>
      </c>
      <c r="M28" s="145">
        <f>+Movimientos_Ltp_Pep!K86</f>
        <v>0</v>
      </c>
      <c r="N28" s="325">
        <f t="shared" ref="N28" si="94">L28+M28</f>
        <v>0.97</v>
      </c>
      <c r="O28" s="126"/>
      <c r="P28" s="326">
        <f t="shared" si="38"/>
        <v>0.97</v>
      </c>
      <c r="Q28" s="343">
        <f t="shared" si="6"/>
        <v>0</v>
      </c>
      <c r="R28" s="327">
        <f t="shared" si="7"/>
        <v>1.764</v>
      </c>
      <c r="S28" s="322">
        <f t="shared" si="8"/>
        <v>0</v>
      </c>
      <c r="T28" s="323">
        <f t="shared" ref="T28" si="95">R28+S28</f>
        <v>1.764</v>
      </c>
      <c r="U28" s="328">
        <f t="shared" si="13"/>
        <v>0</v>
      </c>
      <c r="V28" s="323">
        <f t="shared" si="48"/>
        <v>1.764</v>
      </c>
      <c r="W28" s="329">
        <f t="shared" si="90"/>
        <v>0</v>
      </c>
      <c r="X28" s="688">
        <f>R28+R29</f>
        <v>1.96</v>
      </c>
      <c r="Y28" s="689">
        <f>S28+S29</f>
        <v>0</v>
      </c>
      <c r="Z28" s="688">
        <f t="shared" ref="Z28" si="96">X28+Y28</f>
        <v>1.96</v>
      </c>
      <c r="AA28" s="645">
        <f>U28+U29</f>
        <v>0</v>
      </c>
      <c r="AB28" s="688">
        <f t="shared" ref="AB28" si="97">Z28-AA28</f>
        <v>1.96</v>
      </c>
      <c r="AC28" s="692">
        <f t="shared" ref="AC28" si="98">AA28/Z28</f>
        <v>0</v>
      </c>
      <c r="AD28" s="384"/>
      <c r="AE28" s="384"/>
    </row>
    <row r="29" spans="2:31" s="374" customFormat="1">
      <c r="B29" s="681"/>
      <c r="C29" s="482"/>
      <c r="D29" s="483" t="s">
        <v>9</v>
      </c>
      <c r="E29" s="691"/>
      <c r="F29" s="49">
        <f>+Movimientos_Ltp_Pep!H87</f>
        <v>8.7999999999999995E-2</v>
      </c>
      <c r="G29" s="243">
        <f>+Movimientos_Ltp_Pep!J87</f>
        <v>0</v>
      </c>
      <c r="H29" s="47">
        <f>F29+G29+J28</f>
        <v>0.88200000000000001</v>
      </c>
      <c r="I29" s="127"/>
      <c r="J29" s="48">
        <f t="shared" si="28"/>
        <v>0.88200000000000001</v>
      </c>
      <c r="K29" s="344">
        <f t="shared" si="10"/>
        <v>0</v>
      </c>
      <c r="L29" s="50">
        <f>+Movimientos_Ltp_Pep!I87</f>
        <v>0.108</v>
      </c>
      <c r="M29" s="243">
        <f>+Movimientos_Ltp_Pep!K87</f>
        <v>0</v>
      </c>
      <c r="N29" s="52">
        <f>L29+M29+P28</f>
        <v>1.0780000000000001</v>
      </c>
      <c r="O29" s="127"/>
      <c r="P29" s="53">
        <f t="shared" si="38"/>
        <v>1.0780000000000001</v>
      </c>
      <c r="Q29" s="340">
        <f t="shared" si="6"/>
        <v>0</v>
      </c>
      <c r="R29" s="235">
        <f t="shared" si="7"/>
        <v>0.19600000000000001</v>
      </c>
      <c r="S29" s="243">
        <f t="shared" si="8"/>
        <v>0</v>
      </c>
      <c r="T29" s="138">
        <f>R29+S29+V28</f>
        <v>1.96</v>
      </c>
      <c r="U29" s="150">
        <f t="shared" si="13"/>
        <v>0</v>
      </c>
      <c r="V29" s="138">
        <f t="shared" si="48"/>
        <v>1.96</v>
      </c>
      <c r="W29" s="233">
        <f t="shared" si="90"/>
        <v>0</v>
      </c>
      <c r="X29" s="688"/>
      <c r="Y29" s="689"/>
      <c r="Z29" s="688"/>
      <c r="AA29" s="645"/>
      <c r="AB29" s="688"/>
      <c r="AC29" s="692"/>
      <c r="AD29" s="384"/>
      <c r="AE29" s="384"/>
    </row>
    <row r="30" spans="2:31" s="374" customFormat="1" ht="14.4" customHeight="1">
      <c r="B30" s="681"/>
      <c r="C30" s="484" t="str">
        <f>+Movimientos_Ltp_Pep!B88</f>
        <v>JORGE COFRE REYES</v>
      </c>
      <c r="D30" s="485" t="s">
        <v>18</v>
      </c>
      <c r="E30" s="690">
        <f>+Movimientos_Ltp_Pep!E88/100</f>
        <v>0</v>
      </c>
      <c r="F30" s="49">
        <f>+Movimientos_Ltp_Pep!H88</f>
        <v>0</v>
      </c>
      <c r="G30" s="145">
        <f>+Movimientos_Ltp_Pep!J88</f>
        <v>0</v>
      </c>
      <c r="H30" s="323">
        <f>F30+G30</f>
        <v>0</v>
      </c>
      <c r="I30" s="126"/>
      <c r="J30" s="324">
        <f t="shared" si="28"/>
        <v>0</v>
      </c>
      <c r="K30" s="349">
        <v>0</v>
      </c>
      <c r="L30" s="50">
        <f>+Movimientos_Ltp_Pep!I88</f>
        <v>0</v>
      </c>
      <c r="M30" s="145">
        <f>+Movimientos_Ltp_Pep!K88</f>
        <v>81.731999999999999</v>
      </c>
      <c r="N30" s="325">
        <f t="shared" ref="N30" si="99">L30+M30</f>
        <v>81.731999999999999</v>
      </c>
      <c r="O30" s="126">
        <f>+F51+G51</f>
        <v>65.218000000000004</v>
      </c>
      <c r="P30" s="326">
        <f t="shared" si="38"/>
        <v>16.513999999999996</v>
      </c>
      <c r="Q30" s="344">
        <v>0</v>
      </c>
      <c r="R30" s="327">
        <f t="shared" si="7"/>
        <v>0</v>
      </c>
      <c r="S30" s="322">
        <f t="shared" si="8"/>
        <v>81.731999999999999</v>
      </c>
      <c r="T30" s="323">
        <f t="shared" ref="T30" si="100">R30+S30</f>
        <v>81.731999999999999</v>
      </c>
      <c r="U30" s="328">
        <f t="shared" si="13"/>
        <v>65.218000000000004</v>
      </c>
      <c r="V30" s="323">
        <f t="shared" si="48"/>
        <v>16.513999999999996</v>
      </c>
      <c r="W30" s="329">
        <v>0</v>
      </c>
      <c r="X30" s="688">
        <f>R30+R31</f>
        <v>0</v>
      </c>
      <c r="Y30" s="689">
        <f>S30+S31</f>
        <v>81.731999999999999</v>
      </c>
      <c r="Z30" s="688">
        <f>X30+Y30</f>
        <v>81.731999999999999</v>
      </c>
      <c r="AA30" s="645">
        <f>U30+U31</f>
        <v>65.218000000000004</v>
      </c>
      <c r="AB30" s="688">
        <f t="shared" ref="AB30" si="101">Z30-AA30</f>
        <v>16.513999999999996</v>
      </c>
      <c r="AC30" s="692">
        <f>IF(Z30&gt;0,AA30/Z30,"0%")</f>
        <v>0.79794939558557243</v>
      </c>
      <c r="AD30" s="384"/>
      <c r="AE30" s="384"/>
    </row>
    <row r="31" spans="2:31" s="374" customFormat="1">
      <c r="B31" s="681"/>
      <c r="C31" s="482"/>
      <c r="D31" s="483" t="s">
        <v>9</v>
      </c>
      <c r="E31" s="691"/>
      <c r="F31" s="49">
        <f>+Movimientos_Ltp_Pep!H89</f>
        <v>0</v>
      </c>
      <c r="G31" s="243">
        <f>+Movimientos_Ltp_Pep!J89</f>
        <v>0</v>
      </c>
      <c r="H31" s="47">
        <f>F31+G31+J30</f>
        <v>0</v>
      </c>
      <c r="I31" s="127"/>
      <c r="J31" s="48">
        <f t="shared" si="28"/>
        <v>0</v>
      </c>
      <c r="K31" s="344">
        <v>0</v>
      </c>
      <c r="L31" s="50">
        <f>+Movimientos_Ltp_Pep!I89</f>
        <v>0</v>
      </c>
      <c r="M31" s="243">
        <f>+Movimientos_Ltp_Pep!K89</f>
        <v>0</v>
      </c>
      <c r="N31" s="52">
        <f>L31+M31+P30</f>
        <v>16.513999999999996</v>
      </c>
      <c r="O31" s="127"/>
      <c r="P31" s="53">
        <f t="shared" si="38"/>
        <v>16.513999999999996</v>
      </c>
      <c r="Q31" s="340">
        <v>0</v>
      </c>
      <c r="R31" s="235">
        <f t="shared" si="7"/>
        <v>0</v>
      </c>
      <c r="S31" s="243">
        <f t="shared" si="8"/>
        <v>0</v>
      </c>
      <c r="T31" s="138">
        <f>R31+S31+V30</f>
        <v>16.513999999999996</v>
      </c>
      <c r="U31" s="150">
        <f t="shared" si="13"/>
        <v>0</v>
      </c>
      <c r="V31" s="138">
        <f t="shared" si="48"/>
        <v>16.513999999999996</v>
      </c>
      <c r="W31" s="233">
        <v>0</v>
      </c>
      <c r="X31" s="688"/>
      <c r="Y31" s="689"/>
      <c r="Z31" s="688"/>
      <c r="AA31" s="645"/>
      <c r="AB31" s="688"/>
      <c r="AC31" s="692"/>
      <c r="AD31" s="384"/>
      <c r="AE31" s="384"/>
    </row>
    <row r="32" spans="2:31" s="374" customFormat="1">
      <c r="B32" s="681"/>
      <c r="C32" s="484" t="str">
        <f>+Movimientos_Ltp_Pep!B90</f>
        <v>CRISTIAN RODRIGO ANTONIO MARDONES PANTOJA</v>
      </c>
      <c r="D32" s="485" t="s">
        <v>18</v>
      </c>
      <c r="E32" s="690">
        <f>+Movimientos_Ltp_Pep!E90/100</f>
        <v>0</v>
      </c>
      <c r="F32" s="49">
        <f>+Movimientos_Ltp_Pep!H90</f>
        <v>0</v>
      </c>
      <c r="G32" s="145">
        <f>+Movimientos_Ltp_Pep!J90</f>
        <v>0</v>
      </c>
      <c r="H32" s="323">
        <f>F32+G32</f>
        <v>0</v>
      </c>
      <c r="I32" s="126"/>
      <c r="J32" s="324">
        <f t="shared" ref="J32:J35" si="102">H32-I32</f>
        <v>0</v>
      </c>
      <c r="K32" s="349">
        <v>0</v>
      </c>
      <c r="L32" s="50">
        <f>+Movimientos_Ltp_Pep!I90</f>
        <v>0</v>
      </c>
      <c r="M32" s="145">
        <f>+Movimientos_Ltp_Pep!K90</f>
        <v>0</v>
      </c>
      <c r="N32" s="325">
        <f t="shared" ref="N32" si="103">L32+M32</f>
        <v>0</v>
      </c>
      <c r="O32" s="126"/>
      <c r="P32" s="326">
        <f t="shared" ref="P32:P35" si="104">N32-O32</f>
        <v>0</v>
      </c>
      <c r="Q32" s="344">
        <v>0</v>
      </c>
      <c r="R32" s="327">
        <f t="shared" ref="R32:R35" si="105">+F32+L32</f>
        <v>0</v>
      </c>
      <c r="S32" s="322">
        <f t="shared" ref="S32:S35" si="106">G32+M32</f>
        <v>0</v>
      </c>
      <c r="T32" s="323">
        <f t="shared" ref="T32" si="107">R32+S32</f>
        <v>0</v>
      </c>
      <c r="U32" s="328">
        <f t="shared" ref="U32:U35" si="108">I32+O32</f>
        <v>0</v>
      </c>
      <c r="V32" s="323">
        <f t="shared" ref="V32:V35" si="109">T32-U32</f>
        <v>0</v>
      </c>
      <c r="W32" s="329">
        <v>0</v>
      </c>
      <c r="X32" s="688">
        <f>R32+R33</f>
        <v>0</v>
      </c>
      <c r="Y32" s="689">
        <f>S32+S33</f>
        <v>0</v>
      </c>
      <c r="Z32" s="688">
        <f t="shared" ref="Z32" si="110">X32+Y32</f>
        <v>0</v>
      </c>
      <c r="AA32" s="645">
        <f>U32+U33</f>
        <v>0</v>
      </c>
      <c r="AB32" s="688">
        <f t="shared" ref="AB32" si="111">Z32-AA32</f>
        <v>0</v>
      </c>
      <c r="AC32" s="692">
        <v>0</v>
      </c>
      <c r="AD32" s="384"/>
      <c r="AE32" s="384"/>
    </row>
    <row r="33" spans="2:31" s="374" customFormat="1">
      <c r="B33" s="681"/>
      <c r="C33" s="482"/>
      <c r="D33" s="483" t="s">
        <v>9</v>
      </c>
      <c r="E33" s="691"/>
      <c r="F33" s="49">
        <f>+Movimientos_Ltp_Pep!H91</f>
        <v>0</v>
      </c>
      <c r="G33" s="243">
        <f>+Movimientos_Ltp_Pep!J91</f>
        <v>0</v>
      </c>
      <c r="H33" s="47">
        <f>F33+G33+J32</f>
        <v>0</v>
      </c>
      <c r="I33" s="127"/>
      <c r="J33" s="48">
        <f t="shared" si="102"/>
        <v>0</v>
      </c>
      <c r="K33" s="344">
        <v>0</v>
      </c>
      <c r="L33" s="50">
        <f>+Movimientos_Ltp_Pep!I91</f>
        <v>0</v>
      </c>
      <c r="M33" s="243">
        <f>+Movimientos_Ltp_Pep!K91</f>
        <v>0</v>
      </c>
      <c r="N33" s="52">
        <f>L33+M33+P32</f>
        <v>0</v>
      </c>
      <c r="O33" s="127"/>
      <c r="P33" s="53">
        <f t="shared" si="104"/>
        <v>0</v>
      </c>
      <c r="Q33" s="340">
        <v>0</v>
      </c>
      <c r="R33" s="235">
        <f t="shared" si="105"/>
        <v>0</v>
      </c>
      <c r="S33" s="243">
        <f t="shared" si="106"/>
        <v>0</v>
      </c>
      <c r="T33" s="138">
        <f>R33+S33+V32</f>
        <v>0</v>
      </c>
      <c r="U33" s="150">
        <f t="shared" si="108"/>
        <v>0</v>
      </c>
      <c r="V33" s="138">
        <f t="shared" si="109"/>
        <v>0</v>
      </c>
      <c r="W33" s="233">
        <v>0</v>
      </c>
      <c r="X33" s="688"/>
      <c r="Y33" s="689"/>
      <c r="Z33" s="688"/>
      <c r="AA33" s="645"/>
      <c r="AB33" s="688"/>
      <c r="AC33" s="692"/>
      <c r="AD33" s="384"/>
      <c r="AE33" s="384"/>
    </row>
    <row r="34" spans="2:31" s="374" customFormat="1">
      <c r="B34" s="681"/>
      <c r="C34" s="484" t="str">
        <f>+Movimientos_Ltp_Pep!B92</f>
        <v>PESQUERA CMK LTDA.</v>
      </c>
      <c r="D34" s="485" t="s">
        <v>18</v>
      </c>
      <c r="E34" s="690">
        <f>+Movimientos_Ltp_Pep!E92/100</f>
        <v>0</v>
      </c>
      <c r="F34" s="49">
        <f>+Movimientos_Ltp_Pep!H92</f>
        <v>0</v>
      </c>
      <c r="G34" s="145">
        <f>+Movimientos_Ltp_Pep!J92</f>
        <v>8.82</v>
      </c>
      <c r="H34" s="323">
        <f>F34+G34</f>
        <v>8.82</v>
      </c>
      <c r="I34" s="126"/>
      <c r="J34" s="324">
        <f t="shared" si="102"/>
        <v>8.82</v>
      </c>
      <c r="K34" s="349">
        <v>0</v>
      </c>
      <c r="L34" s="50">
        <f>+Movimientos_Ltp_Pep!I92</f>
        <v>0</v>
      </c>
      <c r="M34" s="145">
        <f>+Movimientos_Ltp_Pep!K92</f>
        <v>10.78</v>
      </c>
      <c r="N34" s="325">
        <f t="shared" ref="N34" si="112">L34+M34</f>
        <v>10.78</v>
      </c>
      <c r="O34" s="126"/>
      <c r="P34" s="326">
        <f t="shared" si="104"/>
        <v>10.78</v>
      </c>
      <c r="Q34" s="344">
        <v>0</v>
      </c>
      <c r="R34" s="327">
        <f t="shared" si="105"/>
        <v>0</v>
      </c>
      <c r="S34" s="322">
        <f t="shared" si="106"/>
        <v>19.600000000000001</v>
      </c>
      <c r="T34" s="323">
        <f t="shared" ref="T34" si="113">R34+S34</f>
        <v>19.600000000000001</v>
      </c>
      <c r="U34" s="328">
        <f t="shared" si="108"/>
        <v>0</v>
      </c>
      <c r="V34" s="323">
        <f t="shared" si="109"/>
        <v>19.600000000000001</v>
      </c>
      <c r="W34" s="329">
        <v>0</v>
      </c>
      <c r="X34" s="688">
        <f>R34+R35</f>
        <v>0</v>
      </c>
      <c r="Y34" s="689">
        <f>S34+S35</f>
        <v>19.600000000000001</v>
      </c>
      <c r="Z34" s="688">
        <f>X34+Y34</f>
        <v>19.600000000000001</v>
      </c>
      <c r="AA34" s="645">
        <f>U34+U35</f>
        <v>0</v>
      </c>
      <c r="AB34" s="688">
        <f t="shared" ref="AB34" si="114">Z34-AA34</f>
        <v>19.600000000000001</v>
      </c>
      <c r="AC34" s="692">
        <f>IF(Z34&gt;0,AA34/Z34,"0%")</f>
        <v>0</v>
      </c>
      <c r="AD34" s="384"/>
      <c r="AE34" s="384"/>
    </row>
    <row r="35" spans="2:31" s="374" customFormat="1">
      <c r="B35" s="682"/>
      <c r="C35" s="482"/>
      <c r="D35" s="483" t="s">
        <v>9</v>
      </c>
      <c r="E35" s="691"/>
      <c r="F35" s="49">
        <f>+Movimientos_Ltp_Pep!H93</f>
        <v>0</v>
      </c>
      <c r="G35" s="243">
        <f>+Movimientos_Ltp_Pep!J93</f>
        <v>0</v>
      </c>
      <c r="H35" s="47">
        <f>F35+G35+J34</f>
        <v>8.82</v>
      </c>
      <c r="I35" s="127"/>
      <c r="J35" s="48">
        <f t="shared" si="102"/>
        <v>8.82</v>
      </c>
      <c r="K35" s="344">
        <v>0</v>
      </c>
      <c r="L35" s="50">
        <f>+Movimientos_Ltp_Pep!I93</f>
        <v>0</v>
      </c>
      <c r="M35" s="243">
        <f>+Movimientos_Ltp_Pep!K93</f>
        <v>0</v>
      </c>
      <c r="N35" s="52">
        <f>L35+M35+P34</f>
        <v>10.78</v>
      </c>
      <c r="O35" s="127"/>
      <c r="P35" s="53">
        <f t="shared" si="104"/>
        <v>10.78</v>
      </c>
      <c r="Q35" s="340">
        <v>0</v>
      </c>
      <c r="R35" s="235">
        <f t="shared" si="105"/>
        <v>0</v>
      </c>
      <c r="S35" s="145">
        <f t="shared" si="106"/>
        <v>0</v>
      </c>
      <c r="T35" s="138">
        <f>R35+S35+V34</f>
        <v>19.600000000000001</v>
      </c>
      <c r="U35" s="150">
        <f t="shared" si="108"/>
        <v>0</v>
      </c>
      <c r="V35" s="138">
        <f t="shared" si="109"/>
        <v>19.600000000000001</v>
      </c>
      <c r="W35" s="233">
        <v>0</v>
      </c>
      <c r="X35" s="688"/>
      <c r="Y35" s="689"/>
      <c r="Z35" s="688"/>
      <c r="AA35" s="645"/>
      <c r="AB35" s="688"/>
      <c r="AC35" s="692"/>
      <c r="AD35" s="384"/>
      <c r="AE35" s="384"/>
    </row>
    <row r="36" spans="2:31" s="374" customFormat="1">
      <c r="B36" s="454"/>
      <c r="C36" s="693" t="s">
        <v>112</v>
      </c>
      <c r="D36" s="485" t="s">
        <v>18</v>
      </c>
      <c r="E36" s="683">
        <f>SUM(E8:E35)</f>
        <v>1.0000029989999999</v>
      </c>
      <c r="F36" s="350">
        <f t="shared" ref="F36:I37" si="115">+F8+F10+F12+F14+F16+F18+F20+F22+F24+F26+F28+F30+F32+F34</f>
        <v>794.00238120600011</v>
      </c>
      <c r="G36" s="350">
        <f t="shared" si="115"/>
        <v>0</v>
      </c>
      <c r="H36" s="350">
        <f t="shared" si="115"/>
        <v>794.00238120600011</v>
      </c>
      <c r="I36" s="350">
        <f t="shared" si="115"/>
        <v>582.346</v>
      </c>
      <c r="J36" s="332">
        <f>H36-I36</f>
        <v>211.65638120600011</v>
      </c>
      <c r="K36" s="351">
        <f>I36/H36</f>
        <v>0.73343104981055862</v>
      </c>
      <c r="L36" s="350">
        <f>+L8+L10+L12+L14+L16+L18+L20+L22+L24+L26+L28+L30+L32+L34</f>
        <v>970.00290902999996</v>
      </c>
      <c r="M36" s="350">
        <f>+M8+M10+M12+M14+M16+M18+M20+M22+M24+M26+M28+M30+M32+M34</f>
        <v>0</v>
      </c>
      <c r="N36" s="334">
        <f>+L36+M36</f>
        <v>970.00290902999996</v>
      </c>
      <c r="O36" s="350">
        <f>+O8+O10+O12+O14+O16+O18+O20+O22+O24+O26+O28+O30+O32+O34</f>
        <v>651.47800000000007</v>
      </c>
      <c r="P36" s="334">
        <f>N36-O36</f>
        <v>318.52490902999989</v>
      </c>
      <c r="Q36" s="345">
        <f>O36/N36</f>
        <v>0.67162478992096641</v>
      </c>
      <c r="R36" s="350">
        <f>+R8+R10+R12+R14+R16+R18+R20+R22+R24+R26+R28+R30+R32+R34</f>
        <v>1764.0052902360001</v>
      </c>
      <c r="S36" s="350">
        <f>+S8+S10+S12+S14+S16+S18+S20+S22+S24+S26+S28+S30+S32+S34</f>
        <v>0</v>
      </c>
      <c r="T36" s="334">
        <f>+R36+S36</f>
        <v>1764.0052902360001</v>
      </c>
      <c r="U36" s="350">
        <f>+U8+U10+U12+U14+U16+U18+U20+U22+U24+U26+U28+U30+U32+U34</f>
        <v>1233.8240000000001</v>
      </c>
      <c r="V36" s="334">
        <f>T36-U36</f>
        <v>530.181290236</v>
      </c>
      <c r="W36" s="335">
        <f>U36/T36</f>
        <v>0.69944461438374206</v>
      </c>
      <c r="X36" s="685">
        <f>SUM(X8:X35)</f>
        <v>1960.00587804</v>
      </c>
      <c r="Y36" s="686">
        <f>SUM(Y8:Y35)</f>
        <v>0</v>
      </c>
      <c r="Z36" s="686">
        <f>+X36+Y36</f>
        <v>1960.00587804</v>
      </c>
      <c r="AA36" s="686">
        <f>SUM(AA8:AA35)</f>
        <v>1233.8240000000001</v>
      </c>
      <c r="AB36" s="687">
        <f>+Z36-AA36</f>
        <v>726.1818780399999</v>
      </c>
      <c r="AC36" s="692">
        <f>AA36/Z36</f>
        <v>0.62950015294536787</v>
      </c>
    </row>
    <row r="37" spans="2:31" s="374" customFormat="1" ht="21" customHeight="1">
      <c r="C37" s="694"/>
      <c r="D37" s="483" t="s">
        <v>9</v>
      </c>
      <c r="E37" s="684"/>
      <c r="F37" s="350">
        <f t="shared" si="115"/>
        <v>88.000263912000008</v>
      </c>
      <c r="G37" s="350">
        <f t="shared" si="115"/>
        <v>0</v>
      </c>
      <c r="H37" s="350">
        <f t="shared" si="115"/>
        <v>299.6566451180002</v>
      </c>
      <c r="I37" s="350">
        <f t="shared" si="115"/>
        <v>0</v>
      </c>
      <c r="J37" s="332">
        <f>H37-I37</f>
        <v>299.6566451180002</v>
      </c>
      <c r="K37" s="338">
        <f>I37/H37</f>
        <v>0</v>
      </c>
      <c r="L37" s="350">
        <f>+L9+L11+L13+L15+L17+L19+L21+L23+L25+L27+L29+L31+L33+L35</f>
        <v>108.000323892</v>
      </c>
      <c r="M37" s="350">
        <f>+M9+M11+M13+M15+M17+M19+M21+M23+M25+M27+M29+M31+M33+M35</f>
        <v>0</v>
      </c>
      <c r="N37" s="336">
        <f>L37+M37+P36</f>
        <v>426.52523292199987</v>
      </c>
      <c r="O37" s="350">
        <f>+O9+O11+O13+O15+O17+O19+O21+O23+O25+O27+O29+O31+O33+O35</f>
        <v>0</v>
      </c>
      <c r="P37" s="333">
        <f>N37-O37</f>
        <v>426.52523292199987</v>
      </c>
      <c r="Q37" s="346">
        <f>O37/N37</f>
        <v>0</v>
      </c>
      <c r="R37" s="350">
        <f>+R9+R11+R13+R15+R17+R19+R21+R23+R25+R27+R29+R31+R33+R35</f>
        <v>196.00058780399996</v>
      </c>
      <c r="S37" s="350">
        <f>+S9+S11+S13+S15+S17+S19+S21+S23+S25+S27+S29+S31+S33+S35</f>
        <v>0</v>
      </c>
      <c r="T37" s="336">
        <f>R37+S37+V36</f>
        <v>726.1818780399999</v>
      </c>
      <c r="U37" s="350">
        <f>+U9+U11+U13+U15+U17+U19+U21+U23+U25+U27+U29+U31+U33+U35</f>
        <v>0</v>
      </c>
      <c r="V37" s="333">
        <f>T37-U37</f>
        <v>726.1818780399999</v>
      </c>
      <c r="W37" s="337">
        <f>U37/T37</f>
        <v>0</v>
      </c>
      <c r="X37" s="685"/>
      <c r="Y37" s="686"/>
      <c r="Z37" s="686"/>
      <c r="AA37" s="686"/>
      <c r="AB37" s="687"/>
      <c r="AC37" s="692"/>
    </row>
    <row r="38" spans="2:31" s="374" customFormat="1">
      <c r="C38" s="456"/>
      <c r="D38" s="456"/>
      <c r="E38" s="456"/>
      <c r="F38" s="456"/>
      <c r="G38" s="456"/>
      <c r="H38" s="456"/>
      <c r="I38" s="457"/>
      <c r="J38" s="456"/>
      <c r="K38" s="456"/>
      <c r="O38" s="458"/>
      <c r="X38" s="459" t="s">
        <v>46</v>
      </c>
      <c r="Y38" s="459"/>
      <c r="Z38" s="460"/>
    </row>
    <row r="39" spans="2:31" s="374" customFormat="1">
      <c r="I39" s="461"/>
      <c r="M39" s="380"/>
      <c r="O39" s="462"/>
    </row>
    <row r="40" spans="2:31" s="374" customFormat="1" ht="18">
      <c r="C40" s="463" t="s">
        <v>74</v>
      </c>
      <c r="D40" s="454"/>
      <c r="E40" s="454"/>
      <c r="F40" s="454"/>
      <c r="G40" s="454"/>
      <c r="H40" s="454"/>
      <c r="I40" s="461"/>
      <c r="J40" s="454"/>
      <c r="K40" s="454"/>
      <c r="Q40" s="454"/>
      <c r="R40" s="454"/>
    </row>
    <row r="41" spans="2:31" s="374" customFormat="1" ht="18">
      <c r="C41" s="463" t="s">
        <v>75</v>
      </c>
      <c r="D41" s="455"/>
      <c r="E41" s="455"/>
      <c r="F41" s="455"/>
      <c r="G41" s="455"/>
      <c r="H41" s="455"/>
      <c r="I41" s="464"/>
      <c r="J41" s="455"/>
      <c r="K41" s="455"/>
      <c r="L41" s="455"/>
      <c r="M41" s="455"/>
      <c r="P41" s="454"/>
      <c r="Q41" s="454"/>
      <c r="R41" s="454"/>
      <c r="S41" s="462"/>
      <c r="T41" s="454"/>
      <c r="U41" s="380"/>
      <c r="AA41" s="375"/>
    </row>
    <row r="42" spans="2:31" s="374" customFormat="1" ht="18">
      <c r="B42" s="455"/>
      <c r="C42" s="465" t="s">
        <v>121</v>
      </c>
      <c r="D42" s="455"/>
      <c r="E42" s="455"/>
      <c r="F42" s="455"/>
      <c r="G42" s="466"/>
      <c r="H42" s="455"/>
      <c r="I42" s="466"/>
      <c r="J42" s="467"/>
      <c r="K42" s="455"/>
      <c r="L42" s="455"/>
      <c r="M42" s="455"/>
      <c r="N42" s="454"/>
      <c r="R42" s="454"/>
    </row>
    <row r="43" spans="2:31" s="374" customFormat="1" ht="18">
      <c r="B43" s="455"/>
      <c r="C43" s="455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4"/>
    </row>
    <row r="44" spans="2:31" s="374" customFormat="1" ht="18"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4"/>
    </row>
    <row r="45" spans="2:31" s="374" customFormat="1" ht="18">
      <c r="B45" s="455"/>
      <c r="C45" s="468" t="s">
        <v>153</v>
      </c>
      <c r="D45" s="469">
        <v>5</v>
      </c>
      <c r="E45" s="468">
        <v>6</v>
      </c>
      <c r="F45" s="469">
        <v>7</v>
      </c>
      <c r="G45" s="469">
        <v>8</v>
      </c>
      <c r="H45" s="470" t="s">
        <v>154</v>
      </c>
      <c r="N45" s="454"/>
    </row>
    <row r="46" spans="2:31" s="374" customFormat="1" ht="18">
      <c r="B46" s="455"/>
      <c r="C46" s="471" t="s">
        <v>84</v>
      </c>
      <c r="D46" s="783">
        <v>60.757999999999996</v>
      </c>
      <c r="E46" s="784"/>
      <c r="F46" s="784"/>
      <c r="G46" s="785"/>
      <c r="H46" s="472">
        <f>SUM(D46:G46)</f>
        <v>60.757999999999996</v>
      </c>
      <c r="N46" s="454"/>
    </row>
    <row r="47" spans="2:31" s="374" customFormat="1" ht="18">
      <c r="B47" s="455"/>
      <c r="C47" s="473" t="s">
        <v>86</v>
      </c>
      <c r="D47" s="786">
        <v>368.83399999999989</v>
      </c>
      <c r="E47" s="787"/>
      <c r="F47" s="787"/>
      <c r="G47" s="788"/>
      <c r="H47" s="472">
        <f t="shared" ref="H47:H51" si="116">SUM(D47:G47)</f>
        <v>368.83399999999989</v>
      </c>
      <c r="N47" s="454"/>
    </row>
    <row r="48" spans="2:31" s="374" customFormat="1" ht="18">
      <c r="B48" s="455"/>
      <c r="C48" s="471" t="s">
        <v>151</v>
      </c>
      <c r="D48" s="786"/>
      <c r="E48" s="787"/>
      <c r="F48" s="787">
        <v>68.463999999999999</v>
      </c>
      <c r="G48" s="788">
        <v>460.9070000000001</v>
      </c>
      <c r="H48" s="472">
        <f t="shared" si="116"/>
        <v>529.37100000000009</v>
      </c>
      <c r="N48" s="454"/>
    </row>
    <row r="49" spans="2:14" s="374" customFormat="1" ht="18">
      <c r="B49" s="455"/>
      <c r="C49" s="473" t="s">
        <v>149</v>
      </c>
      <c r="D49" s="786">
        <v>134.02200000000002</v>
      </c>
      <c r="E49" s="787">
        <v>2.9220000000000002</v>
      </c>
      <c r="F49" s="787">
        <v>37.125</v>
      </c>
      <c r="G49" s="788"/>
      <c r="H49" s="472">
        <f t="shared" si="116"/>
        <v>174.06900000000002</v>
      </c>
      <c r="N49" s="454"/>
    </row>
    <row r="50" spans="2:14" s="374" customFormat="1" ht="18">
      <c r="B50" s="455"/>
      <c r="C50" s="471" t="s">
        <v>150</v>
      </c>
      <c r="D50" s="789">
        <v>15.81</v>
      </c>
      <c r="E50" s="790"/>
      <c r="F50" s="790">
        <v>19.763999999999999</v>
      </c>
      <c r="G50" s="791"/>
      <c r="H50" s="472">
        <f t="shared" si="116"/>
        <v>35.573999999999998</v>
      </c>
      <c r="N50" s="454"/>
    </row>
    <row r="51" spans="2:14" s="374" customFormat="1" ht="18">
      <c r="B51" s="455"/>
      <c r="C51" s="473" t="s">
        <v>235</v>
      </c>
      <c r="D51" s="436"/>
      <c r="E51" s="437"/>
      <c r="F51" s="782">
        <f>+GETPIVOTDATA("Captura",[3]Resumen_Art!$F$39,"Nombre Embarcación","TOME","Región Captura",7)</f>
        <v>20.442</v>
      </c>
      <c r="G51" s="782">
        <f>+GETPIVOTDATA("Captura",[3]Resumen_Art!$F$39,"Nombre Embarcación","TOME","Región Captura",8)</f>
        <v>44.776000000000003</v>
      </c>
      <c r="H51" s="472">
        <f t="shared" si="116"/>
        <v>65.218000000000004</v>
      </c>
      <c r="N51" s="454"/>
    </row>
    <row r="52" spans="2:14" s="374" customFormat="1" ht="18">
      <c r="B52" s="455"/>
      <c r="C52" s="474" t="s">
        <v>140</v>
      </c>
      <c r="D52" s="475">
        <f>SUM(D46:D51)</f>
        <v>579.42399999999986</v>
      </c>
      <c r="E52" s="476">
        <f t="shared" ref="E52" si="117">SUM(E46:E51)</f>
        <v>2.9220000000000002</v>
      </c>
      <c r="F52" s="475">
        <f>SUM(F46:F51)</f>
        <v>145.79499999999999</v>
      </c>
      <c r="G52" s="475">
        <f>SUM(G46:G51)</f>
        <v>505.68300000000011</v>
      </c>
      <c r="H52" s="477">
        <f>SUM(H46:H51)</f>
        <v>1233.8240000000001</v>
      </c>
      <c r="I52" s="375">
        <f>+H52-AA36</f>
        <v>0</v>
      </c>
      <c r="N52" s="454"/>
    </row>
    <row r="53" spans="2:14" s="374" customFormat="1">
      <c r="D53" s="678">
        <f>SUM(D52:E52)</f>
        <v>582.34599999999989</v>
      </c>
      <c r="E53" s="679"/>
      <c r="F53" s="680">
        <f>SUM(F52:G52)</f>
        <v>651.47800000000007</v>
      </c>
      <c r="G53" s="680"/>
      <c r="N53" s="454"/>
    </row>
    <row r="54" spans="2:14" s="374" customFormat="1">
      <c r="N54" s="454"/>
    </row>
    <row r="55" spans="2:14" s="374" customFormat="1">
      <c r="N55" s="454"/>
    </row>
    <row r="56" spans="2:14" s="374" customFormat="1">
      <c r="N56" s="454"/>
    </row>
    <row r="57" spans="2:14" s="374" customFormat="1">
      <c r="N57" s="454"/>
    </row>
    <row r="58" spans="2:14" s="374" customFormat="1">
      <c r="N58" s="454"/>
    </row>
    <row r="59" spans="2:14" s="374" customFormat="1"/>
    <row r="60" spans="2:14" s="374" customFormat="1"/>
    <row r="61" spans="2:14" s="374" customFormat="1"/>
    <row r="62" spans="2:14" s="374" customFormat="1"/>
    <row r="63" spans="2:14" s="374" customFormat="1"/>
    <row r="64" spans="2:14" s="374" customFormat="1"/>
    <row r="65" s="374" customFormat="1"/>
    <row r="66" s="374" customFormat="1"/>
    <row r="67" s="374" customFormat="1"/>
    <row r="68" s="374" customFormat="1"/>
    <row r="69" s="374" customFormat="1"/>
    <row r="70" s="374" customFormat="1"/>
    <row r="71" s="374" customFormat="1"/>
  </sheetData>
  <mergeCells count="119">
    <mergeCell ref="AC24:AC25"/>
    <mergeCell ref="X26:X27"/>
    <mergeCell ref="Z16:Z17"/>
    <mergeCell ref="AA16:AA17"/>
    <mergeCell ref="AB16:AB17"/>
    <mergeCell ref="AC16:AC17"/>
    <mergeCell ref="X14:X15"/>
    <mergeCell ref="Y14:Y15"/>
    <mergeCell ref="Z14:Z15"/>
    <mergeCell ref="AA14:AA15"/>
    <mergeCell ref="AB14:AB15"/>
    <mergeCell ref="AC20:AC21"/>
    <mergeCell ref="AA22:AA23"/>
    <mergeCell ref="AB22:AB23"/>
    <mergeCell ref="AC14:AC15"/>
    <mergeCell ref="X22:X23"/>
    <mergeCell ref="Y22:Y23"/>
    <mergeCell ref="Z22:Z23"/>
    <mergeCell ref="X24:X25"/>
    <mergeCell ref="Y24:Y25"/>
    <mergeCell ref="Z24:Z25"/>
    <mergeCell ref="AA24:AA25"/>
    <mergeCell ref="Y18:Y19"/>
    <mergeCell ref="AB18:AB19"/>
    <mergeCell ref="AC18:AC19"/>
    <mergeCell ref="Z18:Z19"/>
    <mergeCell ref="AA18:AA19"/>
    <mergeCell ref="Z8:Z9"/>
    <mergeCell ref="AA8:AA9"/>
    <mergeCell ref="AC10:AC11"/>
    <mergeCell ref="X12:X13"/>
    <mergeCell ref="Y12:Y13"/>
    <mergeCell ref="Z12:Z13"/>
    <mergeCell ref="AA12:AA13"/>
    <mergeCell ref="AB8:AB9"/>
    <mergeCell ref="AC8:AC9"/>
    <mergeCell ref="X8:X9"/>
    <mergeCell ref="Y8:Y9"/>
    <mergeCell ref="X16:X17"/>
    <mergeCell ref="Y16:Y17"/>
    <mergeCell ref="AB12:AB13"/>
    <mergeCell ref="AC12:AC13"/>
    <mergeCell ref="X10:X11"/>
    <mergeCell ref="Y10:Y11"/>
    <mergeCell ref="Z10:Z11"/>
    <mergeCell ref="AA10:AA11"/>
    <mergeCell ref="AB10:AB11"/>
    <mergeCell ref="B2:AC2"/>
    <mergeCell ref="B3:AC3"/>
    <mergeCell ref="F6:K6"/>
    <mergeCell ref="D6:D7"/>
    <mergeCell ref="C6:C7"/>
    <mergeCell ref="R6:W6"/>
    <mergeCell ref="X6:AC6"/>
    <mergeCell ref="E6:E7"/>
    <mergeCell ref="L6:Q6"/>
    <mergeCell ref="B6:B7"/>
    <mergeCell ref="AC22:AC23"/>
    <mergeCell ref="AB30:AB31"/>
    <mergeCell ref="AC30:AC31"/>
    <mergeCell ref="E32:E33"/>
    <mergeCell ref="E34:E35"/>
    <mergeCell ref="X32:X33"/>
    <mergeCell ref="Y32:Y33"/>
    <mergeCell ref="AB24:AB25"/>
    <mergeCell ref="E24:E25"/>
    <mergeCell ref="AB26:AB27"/>
    <mergeCell ref="Z26:Z27"/>
    <mergeCell ref="AC26:AC27"/>
    <mergeCell ref="E26:E27"/>
    <mergeCell ref="AB34:AB35"/>
    <mergeCell ref="AC34:AC35"/>
    <mergeCell ref="E30:E31"/>
    <mergeCell ref="X30:X31"/>
    <mergeCell ref="Y30:Y31"/>
    <mergeCell ref="Z30:Z31"/>
    <mergeCell ref="AA30:AA31"/>
    <mergeCell ref="AC32:AC33"/>
    <mergeCell ref="X34:X35"/>
    <mergeCell ref="Y34:Y35"/>
    <mergeCell ref="E22:E23"/>
    <mergeCell ref="AC36:AC37"/>
    <mergeCell ref="C36:C37"/>
    <mergeCell ref="AC28:AC29"/>
    <mergeCell ref="X28:X29"/>
    <mergeCell ref="Y28:Y29"/>
    <mergeCell ref="Z28:Z29"/>
    <mergeCell ref="AA28:AA29"/>
    <mergeCell ref="AB28:AB29"/>
    <mergeCell ref="E28:E29"/>
    <mergeCell ref="Z34:Z35"/>
    <mergeCell ref="AA34:AA35"/>
    <mergeCell ref="Z32:Z33"/>
    <mergeCell ref="AA32:AA33"/>
    <mergeCell ref="AB32:AB33"/>
    <mergeCell ref="D53:E53"/>
    <mergeCell ref="F53:G53"/>
    <mergeCell ref="B8:B35"/>
    <mergeCell ref="E36:E37"/>
    <mergeCell ref="X36:X37"/>
    <mergeCell ref="Y36:Y37"/>
    <mergeCell ref="Z36:Z37"/>
    <mergeCell ref="AA36:AA37"/>
    <mergeCell ref="AB36:AB37"/>
    <mergeCell ref="X20:X21"/>
    <mergeCell ref="Y20:Y21"/>
    <mergeCell ref="Z20:Z21"/>
    <mergeCell ref="AA20:AA21"/>
    <mergeCell ref="AB20:AB21"/>
    <mergeCell ref="E20:E21"/>
    <mergeCell ref="E14:E15"/>
    <mergeCell ref="E16:E17"/>
    <mergeCell ref="E8:E9"/>
    <mergeCell ref="E10:E11"/>
    <mergeCell ref="E12:E13"/>
    <mergeCell ref="Y26:Y27"/>
    <mergeCell ref="AA26:AA27"/>
    <mergeCell ref="E18:E19"/>
    <mergeCell ref="X18:X19"/>
  </mergeCells>
  <conditionalFormatting sqref="Y10:Y12 Y14 Y8 AC30 AC34 N36 AC18 Y16:Y35 R8:V35 AA8:AA35 F8:J35 L8:P35">
    <cfRule type="cellIs" dxfId="25" priority="50" operator="lessThan">
      <formula>0</formula>
    </cfRule>
  </conditionalFormatting>
  <conditionalFormatting sqref="Q32 Q34 Q30 Q18 K8:K35 W8:W35">
    <cfRule type="cellIs" dxfId="24" priority="49" operator="greaterThan">
      <formula>0.95</formula>
    </cfRule>
  </conditionalFormatting>
  <conditionalFormatting sqref="AC8:AC35">
    <cfRule type="cellIs" dxfId="23" priority="32" operator="greaterThan">
      <formula>0.8</formula>
    </cfRule>
  </conditionalFormatting>
  <conditionalFormatting sqref="W8:W35">
    <cfRule type="cellIs" dxfId="22" priority="30" operator="greaterThan">
      <formula>0.9</formula>
    </cfRule>
  </conditionalFormatting>
  <conditionalFormatting sqref="Y10:Y12 Y14 Y8 Y16:Y35 S8:S35 G8:G35 M8:M35">
    <cfRule type="cellIs" dxfId="21" priority="18" operator="greaterThan">
      <formula>0</formula>
    </cfRule>
    <cfRule type="cellIs" dxfId="20" priority="19" operator="lessThan">
      <formula>0</formula>
    </cfRule>
  </conditionalFormatting>
  <conditionalFormatting sqref="AC30 AC34 AC18">
    <cfRule type="cellIs" dxfId="19" priority="7" operator="greaterThan">
      <formula>100</formula>
    </cfRule>
  </conditionalFormatting>
  <conditionalFormatting sqref="AA8:AA35">
    <cfRule type="dataBar" priority="158">
      <dataBar>
        <cfvo type="min" val="0"/>
        <cfvo type="max" val="0"/>
        <color rgb="FFFFB628"/>
      </dataBar>
    </cfRule>
  </conditionalFormatting>
  <conditionalFormatting sqref="I8:I35">
    <cfRule type="dataBar" priority="159">
      <dataBar>
        <cfvo type="min" val="0"/>
        <cfvo type="max" val="0"/>
        <color rgb="FFFFB628"/>
      </dataBar>
    </cfRule>
  </conditionalFormatting>
  <conditionalFormatting sqref="O8:O35">
    <cfRule type="dataBar" priority="160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162" orientation="portrait" r:id="rId1"/>
  <ignoredErrors>
    <ignoredError sqref="N9 N20:N36 H10 H20:H33 Z9:Z17 H12:H17 T8:T17 N11:N17 T20:T37 H35 Z20:Z3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B2:J22"/>
  <sheetViews>
    <sheetView showGridLines="0" workbookViewId="0">
      <selection activeCell="L6" sqref="L6"/>
    </sheetView>
  </sheetViews>
  <sheetFormatPr baseColWidth="10" defaultRowHeight="14.4"/>
  <cols>
    <col min="1" max="1" width="7.6640625" customWidth="1"/>
    <col min="2" max="2" width="10.6640625" customWidth="1"/>
    <col min="3" max="3" width="12.6640625" customWidth="1"/>
    <col min="4" max="4" width="10.77734375" customWidth="1"/>
  </cols>
  <sheetData>
    <row r="2" spans="2:10">
      <c r="B2" s="717" t="s">
        <v>231</v>
      </c>
      <c r="C2" s="717"/>
      <c r="D2" s="717"/>
      <c r="E2" s="717"/>
      <c r="F2" s="717"/>
      <c r="G2" s="717"/>
      <c r="H2" s="717"/>
      <c r="I2" s="717"/>
      <c r="J2" s="717"/>
    </row>
    <row r="3" spans="2:10" ht="20.399999999999999" customHeight="1">
      <c r="B3" s="524" t="s">
        <v>222</v>
      </c>
      <c r="C3" s="525" t="s">
        <v>232</v>
      </c>
      <c r="D3" s="505" t="s">
        <v>223</v>
      </c>
      <c r="E3" s="505" t="s">
        <v>224</v>
      </c>
      <c r="F3" s="510" t="s">
        <v>225</v>
      </c>
      <c r="G3" s="510" t="s">
        <v>226</v>
      </c>
      <c r="H3" s="510" t="s">
        <v>227</v>
      </c>
      <c r="I3" s="510" t="s">
        <v>228</v>
      </c>
      <c r="J3" s="521" t="s">
        <v>207</v>
      </c>
    </row>
    <row r="4" spans="2:10" ht="20.399999999999999" customHeight="1">
      <c r="B4" s="522" t="s">
        <v>211</v>
      </c>
      <c r="C4" s="792" t="s">
        <v>147</v>
      </c>
      <c r="D4" s="518"/>
      <c r="E4" s="208">
        <v>14.437999999999999</v>
      </c>
      <c r="F4" s="511"/>
      <c r="G4" s="511"/>
      <c r="H4" s="512"/>
      <c r="I4" s="512"/>
      <c r="J4" s="522">
        <f>SUM(D4:I4)</f>
        <v>14.437999999999999</v>
      </c>
    </row>
    <row r="5" spans="2:10">
      <c r="B5" s="522" t="s">
        <v>211</v>
      </c>
      <c r="C5" s="792"/>
      <c r="D5" s="518"/>
      <c r="E5" s="506"/>
      <c r="F5" s="511"/>
      <c r="G5" s="511"/>
      <c r="H5" s="512"/>
      <c r="I5" s="512"/>
      <c r="J5" s="522">
        <f t="shared" ref="J5:J9" si="0">SUM(D5:I5)</f>
        <v>0</v>
      </c>
    </row>
    <row r="6" spans="2:10">
      <c r="B6" s="522" t="s">
        <v>211</v>
      </c>
      <c r="C6" s="792"/>
      <c r="D6" s="506"/>
      <c r="E6" s="506"/>
      <c r="F6" s="511"/>
      <c r="G6" s="511"/>
      <c r="H6" s="512"/>
      <c r="I6" s="512"/>
      <c r="J6" s="522">
        <f t="shared" si="0"/>
        <v>0</v>
      </c>
    </row>
    <row r="7" spans="2:10" ht="16.2" customHeight="1">
      <c r="B7" s="522" t="s">
        <v>229</v>
      </c>
      <c r="C7" s="793" t="s">
        <v>230</v>
      </c>
      <c r="D7" s="519"/>
      <c r="E7" s="519"/>
      <c r="F7" s="513"/>
      <c r="G7" s="513"/>
      <c r="H7" s="208">
        <v>0.14600000000000002</v>
      </c>
      <c r="I7" s="208">
        <v>0.39</v>
      </c>
      <c r="J7" s="522">
        <f t="shared" si="0"/>
        <v>0.53600000000000003</v>
      </c>
    </row>
    <row r="8" spans="2:10" ht="14.4" customHeight="1">
      <c r="B8" s="522" t="s">
        <v>210</v>
      </c>
      <c r="C8" s="792"/>
      <c r="D8" s="519"/>
      <c r="E8" s="507"/>
      <c r="F8" s="514"/>
      <c r="G8" s="511"/>
      <c r="H8" s="511"/>
      <c r="I8" s="511"/>
      <c r="J8" s="522">
        <f t="shared" si="0"/>
        <v>0</v>
      </c>
    </row>
    <row r="9" spans="2:10">
      <c r="B9" s="522" t="s">
        <v>210</v>
      </c>
      <c r="C9" s="792"/>
      <c r="D9" s="520"/>
      <c r="E9" s="508"/>
      <c r="F9" s="515"/>
      <c r="G9" s="516"/>
      <c r="H9" s="511"/>
      <c r="I9" s="511"/>
      <c r="J9" s="522">
        <f t="shared" si="0"/>
        <v>0</v>
      </c>
    </row>
    <row r="10" spans="2:10">
      <c r="B10" s="718" t="s">
        <v>234</v>
      </c>
      <c r="C10" s="719"/>
      <c r="D10" s="509">
        <f>SUM(E4:E9)</f>
        <v>14.437999999999999</v>
      </c>
      <c r="E10" s="509">
        <f>SUM(F4:F9)</f>
        <v>0</v>
      </c>
      <c r="F10" s="517">
        <f>SUM(F4:F9)</f>
        <v>0</v>
      </c>
      <c r="G10" s="517">
        <f t="shared" ref="G10:I10" si="1">SUM(G4:G9)</f>
        <v>0</v>
      </c>
      <c r="H10" s="517">
        <f t="shared" si="1"/>
        <v>0.14600000000000002</v>
      </c>
      <c r="I10" s="517">
        <f t="shared" si="1"/>
        <v>0.39</v>
      </c>
      <c r="J10" s="523">
        <f>SUM(J4:J9)</f>
        <v>14.973999999999998</v>
      </c>
    </row>
    <row r="11" spans="2:10">
      <c r="B11" s="713" t="s">
        <v>148</v>
      </c>
      <c r="C11" s="713"/>
      <c r="D11" s="720">
        <f>+D10+E10</f>
        <v>14.437999999999999</v>
      </c>
      <c r="E11" s="721"/>
      <c r="F11" s="720">
        <f>+F10+G10+H10+I10</f>
        <v>0.53600000000000003</v>
      </c>
      <c r="G11" s="722"/>
      <c r="H11" s="722"/>
      <c r="I11" s="721"/>
      <c r="J11" s="526"/>
    </row>
    <row r="13" spans="2:10" ht="14.4" customHeight="1">
      <c r="B13" s="717" t="s">
        <v>233</v>
      </c>
      <c r="C13" s="717"/>
      <c r="D13" s="717"/>
      <c r="E13" s="717"/>
      <c r="F13" s="717"/>
      <c r="G13" s="717"/>
      <c r="H13" s="717"/>
      <c r="I13" s="717"/>
      <c r="J13" s="717"/>
    </row>
    <row r="14" spans="2:10" ht="18.600000000000001" customHeight="1">
      <c r="B14" s="524" t="s">
        <v>222</v>
      </c>
      <c r="C14" s="525" t="s">
        <v>232</v>
      </c>
      <c r="D14" s="524" t="s">
        <v>223</v>
      </c>
      <c r="E14" s="524" t="s">
        <v>224</v>
      </c>
      <c r="F14" s="510" t="s">
        <v>225</v>
      </c>
      <c r="G14" s="510" t="s">
        <v>226</v>
      </c>
      <c r="H14" s="510" t="s">
        <v>227</v>
      </c>
      <c r="I14" s="510" t="s">
        <v>228</v>
      </c>
      <c r="J14" s="521" t="s">
        <v>207</v>
      </c>
    </row>
    <row r="15" spans="2:10">
      <c r="B15" s="522" t="s">
        <v>211</v>
      </c>
      <c r="C15" s="794" t="s">
        <v>236</v>
      </c>
      <c r="D15" s="530"/>
      <c r="E15" s="531"/>
      <c r="F15" s="511"/>
      <c r="G15" s="528">
        <v>0.66700000000000004</v>
      </c>
      <c r="H15" s="512"/>
      <c r="I15" s="512"/>
      <c r="J15" s="522">
        <f>SUM(D15:I15)</f>
        <v>0.66700000000000004</v>
      </c>
    </row>
    <row r="16" spans="2:10">
      <c r="B16" s="522" t="s">
        <v>211</v>
      </c>
      <c r="C16" s="792"/>
      <c r="D16" s="530"/>
      <c r="E16" s="532"/>
      <c r="F16" s="511"/>
      <c r="G16" s="511"/>
      <c r="H16" s="512"/>
      <c r="I16" s="512"/>
      <c r="J16" s="522">
        <f t="shared" ref="J16:J20" si="2">SUM(D16:I16)</f>
        <v>0</v>
      </c>
    </row>
    <row r="17" spans="2:10" ht="13.2" customHeight="1">
      <c r="B17" s="522" t="s">
        <v>211</v>
      </c>
      <c r="C17" s="792"/>
      <c r="D17" s="532"/>
      <c r="E17" s="532"/>
      <c r="F17" s="511"/>
      <c r="G17" s="511"/>
      <c r="H17" s="512"/>
      <c r="I17" s="512"/>
      <c r="J17" s="522">
        <f t="shared" si="2"/>
        <v>0</v>
      </c>
    </row>
    <row r="18" spans="2:10" ht="14.4" customHeight="1">
      <c r="B18" s="522" t="s">
        <v>211</v>
      </c>
      <c r="C18" s="793"/>
      <c r="D18" s="533"/>
      <c r="E18" s="533"/>
      <c r="F18" s="513"/>
      <c r="G18" s="513"/>
      <c r="H18" s="511"/>
      <c r="I18" s="511"/>
      <c r="J18" s="522">
        <f t="shared" si="2"/>
        <v>0</v>
      </c>
    </row>
    <row r="19" spans="2:10">
      <c r="B19" s="522" t="s">
        <v>211</v>
      </c>
      <c r="C19" s="792"/>
      <c r="D19" s="533"/>
      <c r="E19" s="534"/>
      <c r="F19" s="514"/>
      <c r="G19" s="511"/>
      <c r="H19" s="511"/>
      <c r="I19" s="511"/>
      <c r="J19" s="522">
        <f t="shared" si="2"/>
        <v>0</v>
      </c>
    </row>
    <row r="20" spans="2:10">
      <c r="B20" s="522" t="s">
        <v>211</v>
      </c>
      <c r="C20" s="792"/>
      <c r="D20" s="535"/>
      <c r="E20" s="536"/>
      <c r="F20" s="515"/>
      <c r="G20" s="516"/>
      <c r="H20" s="511"/>
      <c r="I20" s="511"/>
      <c r="J20" s="522">
        <f t="shared" si="2"/>
        <v>0</v>
      </c>
    </row>
    <row r="21" spans="2:10">
      <c r="B21" s="718" t="s">
        <v>234</v>
      </c>
      <c r="C21" s="719"/>
      <c r="D21" s="537">
        <f>SUM(E15:E20)</f>
        <v>0</v>
      </c>
      <c r="E21" s="537">
        <f>SUM(F15:F20)</f>
        <v>0</v>
      </c>
      <c r="F21" s="529">
        <f>SUM(F15:F20)</f>
        <v>0</v>
      </c>
      <c r="G21" s="529">
        <f t="shared" ref="G21:I21" si="3">SUM(G15:G20)</f>
        <v>0.66700000000000004</v>
      </c>
      <c r="H21" s="529">
        <f t="shared" si="3"/>
        <v>0</v>
      </c>
      <c r="I21" s="529">
        <f t="shared" si="3"/>
        <v>0</v>
      </c>
      <c r="J21" s="523">
        <f>SUM(J15:J20)</f>
        <v>0.66700000000000004</v>
      </c>
    </row>
    <row r="22" spans="2:10">
      <c r="B22" s="713" t="s">
        <v>148</v>
      </c>
      <c r="C22" s="713"/>
      <c r="D22" s="714">
        <f>+D21+E21</f>
        <v>0</v>
      </c>
      <c r="E22" s="715"/>
      <c r="F22" s="714">
        <f>+F21+G21+H21+I21</f>
        <v>0.66700000000000004</v>
      </c>
      <c r="G22" s="716"/>
      <c r="H22" s="716"/>
      <c r="I22" s="715"/>
      <c r="J22" s="527"/>
    </row>
  </sheetData>
  <mergeCells count="10">
    <mergeCell ref="B22:C22"/>
    <mergeCell ref="D22:E22"/>
    <mergeCell ref="F22:I22"/>
    <mergeCell ref="B2:J2"/>
    <mergeCell ref="B11:C11"/>
    <mergeCell ref="B13:J13"/>
    <mergeCell ref="B21:C21"/>
    <mergeCell ref="D11:E11"/>
    <mergeCell ref="F11:I11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6"/>
  <sheetViews>
    <sheetView topLeftCell="A10" zoomScale="71" zoomScaleNormal="71" workbookViewId="0">
      <selection activeCell="I55" sqref="I55"/>
    </sheetView>
  </sheetViews>
  <sheetFormatPr baseColWidth="10" defaultColWidth="12" defaultRowHeight="12" customHeight="1"/>
  <cols>
    <col min="1" max="1" width="8.33203125" style="247" customWidth="1"/>
    <col min="2" max="2" width="19" style="247" customWidth="1"/>
    <col min="3" max="3" width="14.44140625" style="247" customWidth="1"/>
    <col min="4" max="4" width="21.109375" style="247" customWidth="1"/>
    <col min="5" max="5" width="17.6640625" style="247" customWidth="1"/>
    <col min="6" max="6" width="12.77734375" style="247" customWidth="1"/>
    <col min="7" max="7" width="14.5546875" style="247" customWidth="1"/>
    <col min="8" max="8" width="15.77734375" style="247" customWidth="1"/>
    <col min="9" max="9" width="15.109375" style="247" customWidth="1"/>
    <col min="10" max="10" width="11.109375" style="247" customWidth="1"/>
    <col min="11" max="11" width="10.88671875" style="247" customWidth="1"/>
    <col min="12" max="12" width="11" style="247" customWidth="1"/>
    <col min="13" max="13" width="13" style="247" customWidth="1"/>
    <col min="14" max="14" width="15.88671875" style="247" customWidth="1"/>
    <col min="15" max="15" width="13.109375" style="247" customWidth="1"/>
    <col min="16" max="16" width="11.109375" style="247" customWidth="1"/>
    <col min="17" max="16384" width="12" style="247"/>
  </cols>
  <sheetData>
    <row r="1" spans="2:13" ht="23.1" customHeight="1">
      <c r="B1" s="764" t="s">
        <v>155</v>
      </c>
      <c r="C1" s="764"/>
      <c r="D1" s="764"/>
      <c r="E1" s="764"/>
    </row>
    <row r="2" spans="2:13" ht="12" customHeight="1">
      <c r="B2" s="248" t="s">
        <v>122</v>
      </c>
      <c r="C2" s="249" t="s">
        <v>97</v>
      </c>
      <c r="D2" s="250" t="s">
        <v>81</v>
      </c>
      <c r="E2" s="249" t="s">
        <v>98</v>
      </c>
    </row>
    <row r="3" spans="2:13" ht="12" customHeight="1">
      <c r="B3" s="251" t="s">
        <v>99</v>
      </c>
      <c r="C3" s="252">
        <f>+[2]Coeficientes!C22</f>
        <v>90</v>
      </c>
      <c r="D3" s="252">
        <f>+[2]Coeficientes!D22</f>
        <v>692</v>
      </c>
      <c r="E3" s="253">
        <f>SUM(C3:D3)</f>
        <v>782</v>
      </c>
    </row>
    <row r="4" spans="2:13" ht="12" customHeight="1">
      <c r="B4" s="251" t="s">
        <v>100</v>
      </c>
      <c r="C4" s="252">
        <f>+[2]Coeficientes!C23</f>
        <v>10</v>
      </c>
      <c r="D4" s="252">
        <f>+[2]Coeficientes!D23</f>
        <v>77</v>
      </c>
      <c r="E4" s="253">
        <f t="shared" ref="E4:E5" si="0">SUM(C4:D4)</f>
        <v>87</v>
      </c>
    </row>
    <row r="5" spans="2:13" ht="12" customHeight="1">
      <c r="B5" s="248" t="s">
        <v>101</v>
      </c>
      <c r="C5" s="254">
        <f>SUM(C3:C4)</f>
        <v>100</v>
      </c>
      <c r="D5" s="254">
        <f t="shared" ref="D5" si="1">SUM(D3:D4)</f>
        <v>769</v>
      </c>
      <c r="E5" s="253">
        <f t="shared" si="0"/>
        <v>869</v>
      </c>
    </row>
    <row r="6" spans="2:13" ht="12" customHeight="1">
      <c r="B6" s="255"/>
      <c r="C6" s="256"/>
      <c r="D6" s="256"/>
      <c r="E6" s="256"/>
      <c r="F6" s="256"/>
      <c r="G6" s="256"/>
      <c r="H6" s="256"/>
      <c r="I6" s="256"/>
    </row>
    <row r="7" spans="2:13" ht="32.4" customHeight="1">
      <c r="H7" s="733" t="s">
        <v>131</v>
      </c>
      <c r="I7" s="734"/>
      <c r="J7" s="731" t="s">
        <v>3</v>
      </c>
      <c r="K7" s="732"/>
    </row>
    <row r="8" spans="2:13" ht="14.4" customHeight="1">
      <c r="B8" s="745" t="s">
        <v>193</v>
      </c>
      <c r="C8" s="746"/>
      <c r="D8" s="747"/>
      <c r="E8" s="354" t="s">
        <v>188</v>
      </c>
      <c r="F8" s="354" t="s">
        <v>102</v>
      </c>
      <c r="G8" s="354" t="s">
        <v>134</v>
      </c>
      <c r="H8" s="354" t="s">
        <v>97</v>
      </c>
      <c r="I8" s="354" t="s">
        <v>81</v>
      </c>
      <c r="J8" s="417" t="s">
        <v>97</v>
      </c>
      <c r="K8" s="417" t="s">
        <v>81</v>
      </c>
      <c r="L8" s="354" t="s">
        <v>103</v>
      </c>
      <c r="M8" s="354" t="s">
        <v>114</v>
      </c>
    </row>
    <row r="9" spans="2:13" ht="12" customHeight="1">
      <c r="B9" s="739" t="s">
        <v>84</v>
      </c>
      <c r="C9" s="740"/>
      <c r="D9" s="741"/>
      <c r="E9" s="257">
        <v>0.31569000000000003</v>
      </c>
      <c r="F9" s="754">
        <f>+(E9+E10)*$E$5</f>
        <v>305.40136000000001</v>
      </c>
      <c r="G9" s="258">
        <f>+H9+I9</f>
        <v>274.82607999999999</v>
      </c>
      <c r="H9" s="261">
        <f>+(E9+E10)*$C$3</f>
        <v>31.629600000000003</v>
      </c>
      <c r="I9" s="261">
        <f>+(E9+E10)*$D$3</f>
        <v>243.19648000000001</v>
      </c>
      <c r="J9" s="268">
        <f>+J44</f>
        <v>1.67903</v>
      </c>
      <c r="K9" s="268">
        <f>+K44</f>
        <v>12.911740700000001</v>
      </c>
      <c r="L9" s="754">
        <f>+F9+J9+K9</f>
        <v>319.99213070000002</v>
      </c>
      <c r="M9" s="267">
        <f>+L9/$E$5</f>
        <v>0.36823030000000001</v>
      </c>
    </row>
    <row r="10" spans="2:13" ht="12" customHeight="1">
      <c r="B10" s="742"/>
      <c r="C10" s="743"/>
      <c r="D10" s="744"/>
      <c r="E10" s="257">
        <f>0.00975+0.00975+0.002+0.01425</f>
        <v>3.5749999999999997E-2</v>
      </c>
      <c r="F10" s="755"/>
      <c r="G10" s="258">
        <f>+H10+I10</f>
        <v>30.575279999999999</v>
      </c>
      <c r="H10" s="261">
        <f>+(E9+E10)*$C$4</f>
        <v>3.5144000000000002</v>
      </c>
      <c r="I10" s="261">
        <f>+(E9+E10)*$D$4</f>
        <v>27.060880000000001</v>
      </c>
      <c r="J10" s="258"/>
      <c r="K10" s="258"/>
      <c r="L10" s="755"/>
      <c r="M10" s="267"/>
    </row>
    <row r="11" spans="2:13" ht="12" customHeight="1">
      <c r="B11" s="739" t="s">
        <v>85</v>
      </c>
      <c r="C11" s="740" t="s">
        <v>85</v>
      </c>
      <c r="D11" s="741"/>
      <c r="E11" s="257">
        <v>3.0000000000000001E-5</v>
      </c>
      <c r="F11" s="754">
        <f t="shared" ref="F11" si="2">+(E11+E12)*$E$5</f>
        <v>2.6069999999999999E-2</v>
      </c>
      <c r="G11" s="258">
        <f>+H11+I11</f>
        <v>2.3460000000000002E-2</v>
      </c>
      <c r="H11" s="261">
        <f>+(E11+E12)*$C$3</f>
        <v>2.7000000000000001E-3</v>
      </c>
      <c r="I11" s="261">
        <f t="shared" ref="I11" si="3">+(E11+E12)*$D$3</f>
        <v>2.0760000000000001E-2</v>
      </c>
      <c r="J11" s="258"/>
      <c r="K11" s="258"/>
      <c r="L11" s="754">
        <f t="shared" ref="L11" si="4">+F11+J11+K11</f>
        <v>2.6069999999999999E-2</v>
      </c>
      <c r="M11" s="267">
        <f t="shared" ref="M11" si="5">+L11/$E$5</f>
        <v>3.0000000000000001E-5</v>
      </c>
    </row>
    <row r="12" spans="2:13" ht="12" customHeight="1">
      <c r="B12" s="742"/>
      <c r="C12" s="743"/>
      <c r="D12" s="744"/>
      <c r="E12" s="257"/>
      <c r="F12" s="755"/>
      <c r="G12" s="258">
        <f>+H12+I12</f>
        <v>2.6099999999999999E-3</v>
      </c>
      <c r="H12" s="261">
        <f>+(E11+E12)*$C$4</f>
        <v>3.0000000000000003E-4</v>
      </c>
      <c r="I12" s="261">
        <f t="shared" ref="I12" si="6">+(E11+E12)*$D$4</f>
        <v>2.31E-3</v>
      </c>
      <c r="J12" s="258"/>
      <c r="K12" s="258"/>
      <c r="L12" s="755"/>
      <c r="M12" s="267"/>
    </row>
    <row r="13" spans="2:13" ht="12" customHeight="1">
      <c r="B13" s="739" t="s">
        <v>86</v>
      </c>
      <c r="C13" s="740" t="s">
        <v>86</v>
      </c>
      <c r="D13" s="741"/>
      <c r="E13" s="257">
        <v>0.34622619999999998</v>
      </c>
      <c r="F13" s="754">
        <f t="shared" ref="F13" si="7">+(E13+E14)*$E$5</f>
        <v>332.76286779999998</v>
      </c>
      <c r="G13" s="258">
        <f t="shared" ref="G13:G38" si="8">+H13+I13</f>
        <v>299.44828840000002</v>
      </c>
      <c r="H13" s="261">
        <f t="shared" ref="H13" si="9">+(E13+E14)*$C$3</f>
        <v>34.463357999999999</v>
      </c>
      <c r="I13" s="261">
        <f t="shared" ref="I13" si="10">+(E13+E14)*$D$3</f>
        <v>264.9849304</v>
      </c>
      <c r="J13" s="258"/>
      <c r="K13" s="258"/>
      <c r="L13" s="754">
        <f t="shared" ref="L13" si="11">+F13+J13+K13</f>
        <v>332.76286779999998</v>
      </c>
      <c r="M13" s="267">
        <f t="shared" ref="M13" si="12">+L13/$E$5</f>
        <v>0.38292619999999999</v>
      </c>
    </row>
    <row r="14" spans="2:13" ht="12" customHeight="1">
      <c r="B14" s="742"/>
      <c r="C14" s="743"/>
      <c r="D14" s="744"/>
      <c r="E14" s="257">
        <f>0.00775+0.00026+0.00319+0.01125+0.01425</f>
        <v>3.6699999999999997E-2</v>
      </c>
      <c r="F14" s="755"/>
      <c r="G14" s="258">
        <f t="shared" si="8"/>
        <v>33.3145794</v>
      </c>
      <c r="H14" s="261">
        <f t="shared" ref="H14" si="13">+(E13+E14)*$C$4</f>
        <v>3.8292619999999999</v>
      </c>
      <c r="I14" s="261">
        <f t="shared" ref="I14" si="14">+(E13+E14)*$D$4</f>
        <v>29.4853174</v>
      </c>
      <c r="J14" s="258"/>
      <c r="K14" s="258"/>
      <c r="L14" s="755"/>
      <c r="M14" s="267"/>
    </row>
    <row r="15" spans="2:13" ht="12" customHeight="1">
      <c r="B15" s="739" t="s">
        <v>87</v>
      </c>
      <c r="C15" s="740" t="s">
        <v>87</v>
      </c>
      <c r="D15" s="741"/>
      <c r="E15" s="257">
        <v>1.7310000000000001E-4</v>
      </c>
      <c r="F15" s="754">
        <f t="shared" ref="F15" si="15">+(E15+E16)*$E$5</f>
        <v>0.1504239</v>
      </c>
      <c r="G15" s="258">
        <f t="shared" si="8"/>
        <v>0.13536420000000002</v>
      </c>
      <c r="H15" s="261">
        <f t="shared" ref="H15" si="16">+(E15+E16)*$C$3</f>
        <v>1.5579000000000001E-2</v>
      </c>
      <c r="I15" s="261">
        <f t="shared" ref="I15" si="17">+(E15+E16)*$D$3</f>
        <v>0.11978520000000001</v>
      </c>
      <c r="J15" s="258"/>
      <c r="K15" s="258"/>
      <c r="L15" s="754">
        <f t="shared" ref="L15" si="18">+F15+J15+K15</f>
        <v>0.1504239</v>
      </c>
      <c r="M15" s="267">
        <f t="shared" ref="M15" si="19">+L15/$E$5</f>
        <v>1.7310000000000001E-4</v>
      </c>
    </row>
    <row r="16" spans="2:13" ht="12" customHeight="1">
      <c r="B16" s="742"/>
      <c r="C16" s="743"/>
      <c r="D16" s="744"/>
      <c r="E16" s="257"/>
      <c r="F16" s="755"/>
      <c r="G16" s="258">
        <f t="shared" si="8"/>
        <v>1.5059700000000001E-2</v>
      </c>
      <c r="H16" s="261">
        <f t="shared" ref="H16" si="20">+(E15+E16)*$C$4</f>
        <v>1.7310000000000001E-3</v>
      </c>
      <c r="I16" s="261">
        <f t="shared" ref="I16" si="21">+(E15+E16)*$D$4</f>
        <v>1.3328700000000001E-2</v>
      </c>
      <c r="J16" s="258"/>
      <c r="K16" s="258"/>
      <c r="L16" s="755"/>
      <c r="M16" s="267"/>
    </row>
    <row r="17" spans="2:13" ht="12" customHeight="1">
      <c r="B17" s="739" t="s">
        <v>88</v>
      </c>
      <c r="C17" s="740" t="s">
        <v>88</v>
      </c>
      <c r="D17" s="741"/>
      <c r="E17" s="257">
        <f>0.0438706+0.0216617</f>
        <v>6.5532300000000002E-2</v>
      </c>
      <c r="F17" s="754">
        <f t="shared" ref="F17" si="22">+(E17+E18)*$E$5</f>
        <v>72.850268700000001</v>
      </c>
      <c r="G17" s="258">
        <f t="shared" si="8"/>
        <v>65.556858599999998</v>
      </c>
      <c r="H17" s="261">
        <f t="shared" ref="H17" si="23">+(E17+E18)*$C$3</f>
        <v>7.5449070000000003</v>
      </c>
      <c r="I17" s="261">
        <f t="shared" ref="I17" si="24">+(E17+E18)*$D$3</f>
        <v>58.011951599999996</v>
      </c>
      <c r="J17" s="258">
        <f>(-J45-J46)+(J47+J48+J49)</f>
        <v>0</v>
      </c>
      <c r="K17" s="258">
        <f>(-K45-K46)+(K47+K48+K49)</f>
        <v>0</v>
      </c>
      <c r="L17" s="754">
        <f>+F17+J17+K17</f>
        <v>72.850268700000001</v>
      </c>
      <c r="M17" s="267">
        <f t="shared" ref="M17" si="25">+L17/$E$5</f>
        <v>8.3832299999999998E-2</v>
      </c>
    </row>
    <row r="18" spans="2:13" ht="12" customHeight="1">
      <c r="B18" s="742"/>
      <c r="C18" s="743"/>
      <c r="D18" s="744"/>
      <c r="E18" s="259">
        <f>0.00225+0.009+0.00705</f>
        <v>1.83E-2</v>
      </c>
      <c r="F18" s="755"/>
      <c r="G18" s="258">
        <f t="shared" si="8"/>
        <v>7.2934101</v>
      </c>
      <c r="H18" s="261">
        <f t="shared" ref="H18" si="26">+(E17+E18)*$C$4</f>
        <v>0.83832299999999993</v>
      </c>
      <c r="I18" s="261">
        <f t="shared" ref="I18" si="27">+(E17+E18)*$D$4</f>
        <v>6.4550871000000001</v>
      </c>
      <c r="J18" s="258"/>
      <c r="K18" s="258"/>
      <c r="L18" s="755"/>
      <c r="M18" s="267"/>
    </row>
    <row r="19" spans="2:13" ht="12" customHeight="1">
      <c r="B19" s="739" t="s">
        <v>89</v>
      </c>
      <c r="C19" s="740" t="s">
        <v>89</v>
      </c>
      <c r="D19" s="741"/>
      <c r="E19" s="257">
        <v>1.0009999999999999E-4</v>
      </c>
      <c r="F19" s="754">
        <f t="shared" ref="F19" si="28">+(E19+E20)*$E$5</f>
        <v>8.6986899999999992E-2</v>
      </c>
      <c r="G19" s="258">
        <f t="shared" si="8"/>
        <v>7.8278199999999992E-2</v>
      </c>
      <c r="H19" s="261">
        <f t="shared" ref="H19" si="29">+(E19+E20)*$C$3</f>
        <v>9.0089999999999996E-3</v>
      </c>
      <c r="I19" s="261">
        <f t="shared" ref="I19" si="30">+(E19+E20)*$D$3</f>
        <v>6.9269199999999989E-2</v>
      </c>
      <c r="J19" s="258"/>
      <c r="K19" s="258"/>
      <c r="L19" s="754">
        <f>+F19+J19+K19</f>
        <v>8.6986899999999992E-2</v>
      </c>
      <c r="M19" s="267">
        <f t="shared" ref="M19" si="31">+L19/$E$5</f>
        <v>1.0009999999999999E-4</v>
      </c>
    </row>
    <row r="20" spans="2:13" ht="12" customHeight="1">
      <c r="B20" s="742"/>
      <c r="C20" s="743"/>
      <c r="D20" s="744"/>
      <c r="E20" s="257"/>
      <c r="F20" s="755"/>
      <c r="G20" s="258">
        <f t="shared" si="8"/>
        <v>8.7086999999999998E-3</v>
      </c>
      <c r="H20" s="261">
        <f t="shared" ref="H20" si="32">+(E19+E20)*$C$4</f>
        <v>1.0009999999999999E-3</v>
      </c>
      <c r="I20" s="261">
        <f t="shared" ref="I20" si="33">+(E19+E20)*$D$4</f>
        <v>7.7076999999999996E-3</v>
      </c>
      <c r="J20" s="258"/>
      <c r="K20" s="258"/>
      <c r="L20" s="755"/>
      <c r="M20" s="267"/>
    </row>
    <row r="21" spans="2:13" ht="12" customHeight="1">
      <c r="B21" s="739" t="s">
        <v>26</v>
      </c>
      <c r="C21" s="740" t="s">
        <v>26</v>
      </c>
      <c r="D21" s="741"/>
      <c r="E21" s="257">
        <v>2.0100000000000001E-5</v>
      </c>
      <c r="F21" s="754">
        <f t="shared" ref="F21" si="34">+(E21+E22)*$E$5</f>
        <v>1.74669E-2</v>
      </c>
      <c r="G21" s="258">
        <f t="shared" si="8"/>
        <v>1.5718200000000002E-2</v>
      </c>
      <c r="H21" s="261">
        <f t="shared" ref="H21" si="35">+(E21+E22)*$C$3</f>
        <v>1.8090000000000001E-3</v>
      </c>
      <c r="I21" s="261">
        <f t="shared" ref="I21" si="36">+(E21+E22)*$D$3</f>
        <v>1.39092E-2</v>
      </c>
      <c r="J21" s="258"/>
      <c r="K21" s="258"/>
      <c r="L21" s="754">
        <f t="shared" ref="L21" si="37">+F21+J21+K21</f>
        <v>1.74669E-2</v>
      </c>
      <c r="M21" s="267">
        <f t="shared" ref="M21" si="38">+L21/$E$5</f>
        <v>2.0100000000000001E-5</v>
      </c>
    </row>
    <row r="22" spans="2:13" ht="12" customHeight="1">
      <c r="B22" s="742"/>
      <c r="C22" s="743"/>
      <c r="D22" s="744"/>
      <c r="E22" s="257"/>
      <c r="F22" s="755"/>
      <c r="G22" s="258">
        <f t="shared" si="8"/>
        <v>1.7487E-3</v>
      </c>
      <c r="H22" s="261">
        <f t="shared" ref="H22" si="39">+(E21+E22)*$C$4</f>
        <v>2.0100000000000001E-4</v>
      </c>
      <c r="I22" s="261">
        <f t="shared" ref="I22" si="40">+(E21+E22)*$D$4</f>
        <v>1.5476999999999999E-3</v>
      </c>
      <c r="J22" s="258"/>
      <c r="K22" s="258"/>
      <c r="L22" s="755"/>
      <c r="M22" s="267"/>
    </row>
    <row r="23" spans="2:13" ht="12" customHeight="1">
      <c r="B23" s="739" t="s">
        <v>19</v>
      </c>
      <c r="C23" s="740" t="s">
        <v>19</v>
      </c>
      <c r="D23" s="741"/>
      <c r="E23" s="257">
        <f>0.0239553+0.0058632+0.0026566+0.027712</f>
        <v>6.01871E-2</v>
      </c>
      <c r="F23" s="754">
        <f t="shared" ref="F23" si="41">+(E23+E24)*$E$5</f>
        <v>57.907639900000007</v>
      </c>
      <c r="G23" s="258">
        <f t="shared" si="8"/>
        <v>52.110212200000007</v>
      </c>
      <c r="H23" s="261">
        <f t="shared" ref="H23" si="42">+(E23+E24)*$C$3</f>
        <v>5.9973390000000002</v>
      </c>
      <c r="I23" s="261">
        <f t="shared" ref="I23" si="43">+(E23+E24)*$D$3</f>
        <v>46.112873200000003</v>
      </c>
      <c r="J23" s="258"/>
      <c r="K23" s="258"/>
      <c r="L23" s="754">
        <f t="shared" ref="L23" si="44">+F23+J23+K23</f>
        <v>57.907639900000007</v>
      </c>
      <c r="M23" s="267">
        <f t="shared" ref="M23" si="45">+L23/$E$5</f>
        <v>6.6637100000000005E-2</v>
      </c>
    </row>
    <row r="24" spans="2:13" ht="12" customHeight="1">
      <c r="B24" s="742"/>
      <c r="C24" s="743"/>
      <c r="D24" s="744"/>
      <c r="E24" s="257">
        <v>6.45E-3</v>
      </c>
      <c r="F24" s="755"/>
      <c r="G24" s="258">
        <f t="shared" si="8"/>
        <v>5.7974277000000001</v>
      </c>
      <c r="H24" s="261">
        <f t="shared" ref="H24" si="46">+(E23+E24)*$C$4</f>
        <v>0.66637100000000005</v>
      </c>
      <c r="I24" s="261">
        <f t="shared" ref="I24" si="47">+(E23+E24)*$D$4</f>
        <v>5.1310567000000002</v>
      </c>
      <c r="J24" s="258"/>
      <c r="K24" s="258"/>
      <c r="L24" s="755"/>
      <c r="M24" s="267"/>
    </row>
    <row r="25" spans="2:13" ht="12" customHeight="1">
      <c r="B25" s="739" t="s">
        <v>90</v>
      </c>
      <c r="C25" s="740" t="s">
        <v>90</v>
      </c>
      <c r="D25" s="741"/>
      <c r="E25" s="257">
        <v>4.4440599999999997E-2</v>
      </c>
      <c r="F25" s="754">
        <f t="shared" ref="F25" si="48">+(E25+E26)*$E$5</f>
        <v>84.502081399999994</v>
      </c>
      <c r="G25" s="258">
        <f t="shared" si="8"/>
        <v>76.042149199999997</v>
      </c>
      <c r="H25" s="261">
        <f t="shared" ref="H25" si="49">+(E25+E26)*$C$3</f>
        <v>8.7516540000000003</v>
      </c>
      <c r="I25" s="261">
        <f t="shared" ref="I25" si="50">+(E25+E26)*$D$3</f>
        <v>67.290495199999995</v>
      </c>
      <c r="J25" s="258"/>
      <c r="K25" s="258"/>
      <c r="L25" s="754">
        <f t="shared" ref="L25" si="51">+F25+J25+K25</f>
        <v>84.502081399999994</v>
      </c>
      <c r="M25" s="267">
        <f t="shared" ref="M25" si="52">+L25/$E$5</f>
        <v>9.7240599999999996E-2</v>
      </c>
    </row>
    <row r="26" spans="2:13" ht="12" customHeight="1">
      <c r="B26" s="742"/>
      <c r="C26" s="743"/>
      <c r="D26" s="744"/>
      <c r="E26" s="260">
        <f>0.00075+0.00375+0.00375+0.00525+0.00525+0.00675+0.00825+0.00405+0.00006+0.00069+0.01425</f>
        <v>5.28E-2</v>
      </c>
      <c r="F26" s="755"/>
      <c r="G26" s="258">
        <f t="shared" si="8"/>
        <v>8.459932199999999</v>
      </c>
      <c r="H26" s="261">
        <f t="shared" ref="H26" si="53">+(E25+E26)*$C$4</f>
        <v>0.97240599999999999</v>
      </c>
      <c r="I26" s="261">
        <f t="shared" ref="I26" si="54">+(E25+E26)*$D$4</f>
        <v>7.4875261999999996</v>
      </c>
      <c r="J26" s="258"/>
      <c r="K26" s="258"/>
      <c r="L26" s="755"/>
      <c r="M26" s="267"/>
    </row>
    <row r="27" spans="2:13" ht="12" customHeight="1">
      <c r="B27" s="739" t="s">
        <v>91</v>
      </c>
      <c r="C27" s="740" t="s">
        <v>91</v>
      </c>
      <c r="D27" s="741"/>
      <c r="E27" s="257"/>
      <c r="F27" s="754">
        <f t="shared" ref="F27" si="55">+(E27+E28)*$E$5</f>
        <v>0</v>
      </c>
      <c r="G27" s="258">
        <f t="shared" si="8"/>
        <v>0</v>
      </c>
      <c r="H27" s="261">
        <f t="shared" ref="H27" si="56">+(E27+E28)*$C$3</f>
        <v>0</v>
      </c>
      <c r="I27" s="261">
        <f t="shared" ref="I27" si="57">+(E27+E28)*$D$3</f>
        <v>0</v>
      </c>
      <c r="J27" s="258">
        <f>-J47+J45</f>
        <v>0</v>
      </c>
      <c r="K27" s="258">
        <f>-K47+K45</f>
        <v>0</v>
      </c>
      <c r="L27" s="754">
        <f t="shared" ref="L27" si="58">+F27+J27+K27</f>
        <v>0</v>
      </c>
      <c r="M27" s="267">
        <f t="shared" ref="M27" si="59">+L27/$E$5</f>
        <v>0</v>
      </c>
    </row>
    <row r="28" spans="2:13" ht="12" customHeight="1">
      <c r="B28" s="742"/>
      <c r="C28" s="743"/>
      <c r="D28" s="744"/>
      <c r="E28" s="257"/>
      <c r="F28" s="755"/>
      <c r="G28" s="258">
        <f t="shared" si="8"/>
        <v>0</v>
      </c>
      <c r="H28" s="261">
        <f t="shared" ref="H28" si="60">+(E27+E28)*$C$4</f>
        <v>0</v>
      </c>
      <c r="I28" s="261">
        <f t="shared" ref="I28" si="61">+(E27+E28)*$D$4</f>
        <v>0</v>
      </c>
      <c r="J28" s="258"/>
      <c r="K28" s="258"/>
      <c r="L28" s="755"/>
      <c r="M28" s="267"/>
    </row>
    <row r="29" spans="2:13" ht="12" customHeight="1">
      <c r="B29" s="739" t="s">
        <v>92</v>
      </c>
      <c r="C29" s="740" t="s">
        <v>92</v>
      </c>
      <c r="D29" s="741"/>
      <c r="E29" s="257">
        <v>8.1010000000000001E-4</v>
      </c>
      <c r="F29" s="754">
        <f t="shared" ref="F29" si="62">+(E29+E30)*$E$5</f>
        <v>0.70397690000000002</v>
      </c>
      <c r="G29" s="258">
        <f t="shared" si="8"/>
        <v>0.63349820000000001</v>
      </c>
      <c r="H29" s="261">
        <f t="shared" ref="H29" si="63">+(E29+E30)*$C$3</f>
        <v>7.2909000000000002E-2</v>
      </c>
      <c r="I29" s="261">
        <f t="shared" ref="I29" si="64">+(E29+E30)*$D$3</f>
        <v>0.56058920000000001</v>
      </c>
      <c r="J29" s="258"/>
      <c r="K29" s="258"/>
      <c r="L29" s="754">
        <f t="shared" ref="L29" si="65">+F29+J29+K29</f>
        <v>0.70397690000000002</v>
      </c>
      <c r="M29" s="267">
        <f t="shared" ref="M29" si="66">+L29/$E$5</f>
        <v>8.1010000000000001E-4</v>
      </c>
    </row>
    <row r="30" spans="2:13" ht="12" customHeight="1">
      <c r="B30" s="742"/>
      <c r="C30" s="743"/>
      <c r="D30" s="744"/>
      <c r="E30" s="257"/>
      <c r="F30" s="755"/>
      <c r="G30" s="258">
        <f t="shared" si="8"/>
        <v>7.0478700000000005E-2</v>
      </c>
      <c r="H30" s="261">
        <f t="shared" ref="H30" si="67">+(E29+E30)*$C$4</f>
        <v>8.1010000000000006E-3</v>
      </c>
      <c r="I30" s="261">
        <f t="shared" ref="I30" si="68">+(E29+E30)*$D$4</f>
        <v>6.2377700000000001E-2</v>
      </c>
      <c r="J30" s="258"/>
      <c r="K30" s="258"/>
      <c r="L30" s="755"/>
      <c r="M30" s="267"/>
    </row>
    <row r="31" spans="2:13" ht="12" customHeight="1">
      <c r="B31" s="739" t="s">
        <v>93</v>
      </c>
      <c r="C31" s="740" t="s">
        <v>93</v>
      </c>
      <c r="D31" s="741"/>
      <c r="E31" s="257"/>
      <c r="F31" s="754">
        <f t="shared" ref="F31" si="69">+(E31+E32)*$E$5</f>
        <v>0</v>
      </c>
      <c r="G31" s="258">
        <f t="shared" si="8"/>
        <v>0</v>
      </c>
      <c r="H31" s="261">
        <f t="shared" ref="H31" si="70">+(E31+E32)*$C$3</f>
        <v>0</v>
      </c>
      <c r="I31" s="261">
        <f t="shared" ref="I31" si="71">+(E31+E32)*$D$3</f>
        <v>0</v>
      </c>
      <c r="J31" s="258"/>
      <c r="K31" s="258"/>
      <c r="L31" s="754">
        <f t="shared" ref="L31" si="72">+F31+J31+K31</f>
        <v>0</v>
      </c>
      <c r="M31" s="267">
        <f t="shared" ref="M31" si="73">+L31/$E$5</f>
        <v>0</v>
      </c>
    </row>
    <row r="32" spans="2:13" ht="12" customHeight="1">
      <c r="B32" s="742"/>
      <c r="C32" s="743"/>
      <c r="D32" s="744"/>
      <c r="E32" s="257"/>
      <c r="F32" s="755"/>
      <c r="G32" s="258">
        <f t="shared" si="8"/>
        <v>0</v>
      </c>
      <c r="H32" s="261">
        <f t="shared" ref="H32" si="74">+(E31+E32)*$C$4</f>
        <v>0</v>
      </c>
      <c r="I32" s="261">
        <f t="shared" ref="I32" si="75">+(E31+E32)*$D$4</f>
        <v>0</v>
      </c>
      <c r="J32" s="258"/>
      <c r="K32" s="258"/>
      <c r="L32" s="755"/>
      <c r="M32" s="267"/>
    </row>
    <row r="33" spans="2:13" ht="12" customHeight="1">
      <c r="B33" s="739" t="s">
        <v>94</v>
      </c>
      <c r="C33" s="740" t="s">
        <v>94</v>
      </c>
      <c r="D33" s="741"/>
      <c r="E33" s="257"/>
      <c r="F33" s="754">
        <f t="shared" ref="F33" si="76">+(E33+E34)*$E$5</f>
        <v>0</v>
      </c>
      <c r="G33" s="258">
        <f t="shared" si="8"/>
        <v>0</v>
      </c>
      <c r="H33" s="261">
        <f t="shared" ref="H33" si="77">+(E33+E34)*$C$3</f>
        <v>0</v>
      </c>
      <c r="I33" s="261">
        <f t="shared" ref="I33" si="78">+(E33+E34)*$D$3</f>
        <v>0</v>
      </c>
      <c r="J33" s="258">
        <f>-J48-J49+J46</f>
        <v>0</v>
      </c>
      <c r="K33" s="258">
        <f>-K48-K49+K46</f>
        <v>0</v>
      </c>
      <c r="L33" s="754">
        <f t="shared" ref="L33" si="79">+F33+J33+K33</f>
        <v>0</v>
      </c>
      <c r="M33" s="267">
        <f t="shared" ref="M33" si="80">+L33/$E$5</f>
        <v>0</v>
      </c>
    </row>
    <row r="34" spans="2:13" ht="12" customHeight="1">
      <c r="B34" s="742"/>
      <c r="C34" s="743"/>
      <c r="D34" s="744"/>
      <c r="E34" s="257"/>
      <c r="F34" s="755"/>
      <c r="G34" s="258">
        <f t="shared" si="8"/>
        <v>0</v>
      </c>
      <c r="H34" s="261">
        <f t="shared" ref="H34" si="81">+(E33+E34)*$C$4</f>
        <v>0</v>
      </c>
      <c r="I34" s="261">
        <f t="shared" ref="I34" si="82">+(E33+E34)*$D$4</f>
        <v>0</v>
      </c>
      <c r="J34" s="258"/>
      <c r="K34" s="258"/>
      <c r="L34" s="755"/>
      <c r="M34" s="267"/>
    </row>
    <row r="35" spans="2:13" ht="12" customHeight="1">
      <c r="B35" s="739" t="s">
        <v>95</v>
      </c>
      <c r="C35" s="740" t="s">
        <v>95</v>
      </c>
      <c r="D35" s="741"/>
      <c r="E35" s="257"/>
      <c r="F35" s="754">
        <f t="shared" ref="F35" si="83">+(E35+E36)*$E$5</f>
        <v>0</v>
      </c>
      <c r="G35" s="258">
        <f t="shared" si="8"/>
        <v>0</v>
      </c>
      <c r="H35" s="261">
        <f t="shared" ref="H35" si="84">+(E35+E36)*$C$3</f>
        <v>0</v>
      </c>
      <c r="I35" s="261">
        <f t="shared" ref="I35" si="85">+(E35+E36)*$D$3</f>
        <v>0</v>
      </c>
      <c r="J35" s="258"/>
      <c r="K35" s="258"/>
      <c r="L35" s="754">
        <f t="shared" ref="L35" si="86">+F35+J35+K35</f>
        <v>0</v>
      </c>
      <c r="M35" s="267">
        <f t="shared" ref="M35" si="87">+L35/$E$5</f>
        <v>0</v>
      </c>
    </row>
    <row r="36" spans="2:13" ht="12" customHeight="1">
      <c r="B36" s="742"/>
      <c r="C36" s="743"/>
      <c r="D36" s="744"/>
      <c r="E36" s="257"/>
      <c r="F36" s="755"/>
      <c r="G36" s="258">
        <f t="shared" si="8"/>
        <v>0</v>
      </c>
      <c r="H36" s="261">
        <f t="shared" ref="H36" si="88">+(E35+E36)*$C$4</f>
        <v>0</v>
      </c>
      <c r="I36" s="261">
        <f t="shared" ref="I36" si="89">+(E35+E36)*$D$4</f>
        <v>0</v>
      </c>
      <c r="J36" s="258"/>
      <c r="K36" s="258"/>
      <c r="L36" s="755"/>
      <c r="M36" s="267"/>
    </row>
    <row r="37" spans="2:13" ht="12" customHeight="1">
      <c r="B37" s="739" t="s">
        <v>96</v>
      </c>
      <c r="C37" s="740" t="s">
        <v>96</v>
      </c>
      <c r="D37" s="741"/>
      <c r="E37" s="257">
        <v>1.6790300000000001E-2</v>
      </c>
      <c r="F37" s="754">
        <f t="shared" ref="F37" si="90">+(E37+E38)*$E$5</f>
        <v>14.5907707</v>
      </c>
      <c r="G37" s="258">
        <f t="shared" si="8"/>
        <v>13.130014600000001</v>
      </c>
      <c r="H37" s="261">
        <f t="shared" ref="H37" si="91">+(E37+E38)*$C$3</f>
        <v>1.5111270000000001</v>
      </c>
      <c r="I37" s="261">
        <f t="shared" ref="I37" si="92">+(E37+E38)*$D$3</f>
        <v>11.618887600000001</v>
      </c>
      <c r="J37" s="268">
        <f>-J44</f>
        <v>-1.67903</v>
      </c>
      <c r="K37" s="268">
        <f>-K44</f>
        <v>-12.911740700000001</v>
      </c>
      <c r="L37" s="754">
        <f t="shared" ref="L37" si="93">+F37+J37+K37</f>
        <v>0</v>
      </c>
      <c r="M37" s="267">
        <f t="shared" ref="M37" si="94">+L37/$E$5</f>
        <v>0</v>
      </c>
    </row>
    <row r="38" spans="2:13" ht="12" customHeight="1">
      <c r="B38" s="742"/>
      <c r="C38" s="743"/>
      <c r="D38" s="744"/>
      <c r="E38" s="258"/>
      <c r="F38" s="755"/>
      <c r="G38" s="258">
        <f t="shared" si="8"/>
        <v>1.4607561000000002</v>
      </c>
      <c r="H38" s="261">
        <f t="shared" ref="H38" si="95">+(E37+E38)*$C$4</f>
        <v>0.16790300000000002</v>
      </c>
      <c r="I38" s="261">
        <f t="shared" ref="I38" si="96">+(E37+E38)*$D$4</f>
        <v>1.2928531000000001</v>
      </c>
      <c r="J38" s="258"/>
      <c r="K38" s="258"/>
      <c r="L38" s="755"/>
      <c r="M38" s="267"/>
    </row>
    <row r="39" spans="2:13" ht="12" customHeight="1">
      <c r="B39" s="739" t="s">
        <v>140</v>
      </c>
      <c r="C39" s="740"/>
      <c r="D39" s="741"/>
      <c r="E39" s="355">
        <f>+E9+E11+E13+E15+E17+E19+E21+E23+E25+E29+E37</f>
        <v>0.84999990000000025</v>
      </c>
      <c r="F39" s="368">
        <f>SUM(F9:F38)</f>
        <v>868.99991310000019</v>
      </c>
      <c r="G39" s="261">
        <f>+G9+G11+G13+G15+G17+G19+G21+G23+G25+G27+G29+G31+G33+G35+G37</f>
        <v>781.99992180000015</v>
      </c>
      <c r="H39" s="261">
        <f t="shared" ref="H39:I40" si="97">+H9+H11+H13+H15+H17+H19+H21+H23+H25+H27+H29+H31+H33+H35+H37</f>
        <v>89.999990999999994</v>
      </c>
      <c r="I39" s="261">
        <f t="shared" si="97"/>
        <v>691.9999307999999</v>
      </c>
      <c r="J39" s="261">
        <f t="shared" ref="J39:K39" si="98">+J9+J11+J13+J15+J17+J19+J21+J23+J25+J27+J29+J31+J33+J35+J37</f>
        <v>0</v>
      </c>
      <c r="K39" s="261">
        <f t="shared" si="98"/>
        <v>0</v>
      </c>
      <c r="L39" s="369">
        <f>SUM(L9:L38)</f>
        <v>868.99991310000007</v>
      </c>
      <c r="M39" s="370">
        <f>SUM(M9:M38)</f>
        <v>0.99999990000000005</v>
      </c>
    </row>
    <row r="40" spans="2:13" ht="12" customHeight="1">
      <c r="B40" s="742"/>
      <c r="C40" s="743"/>
      <c r="D40" s="744"/>
      <c r="E40" s="355">
        <f>+E10+E12+E14+E16+E18+E20+E22+E24+E26+E30+E38</f>
        <v>0.14999999999999997</v>
      </c>
      <c r="F40" s="371"/>
      <c r="G40" s="261">
        <f>+G10+G12+G14+G16+G18+G20+G22+G24+G26+G28+G30+G32+G34+G36+G38</f>
        <v>86.999991299999976</v>
      </c>
      <c r="H40" s="261">
        <f t="shared" si="97"/>
        <v>9.9999990000000007</v>
      </c>
      <c r="I40" s="261">
        <f t="shared" si="97"/>
        <v>76.999992300000017</v>
      </c>
      <c r="J40" s="261">
        <f t="shared" ref="J40:K40" si="99">+J10+J12+J14+J16+J18+J20+J22+J24+J26+J28+J30+J32+J34+J36+J38</f>
        <v>0</v>
      </c>
      <c r="K40" s="261">
        <f t="shared" si="99"/>
        <v>0</v>
      </c>
      <c r="L40" s="372"/>
      <c r="M40" s="370"/>
    </row>
    <row r="42" spans="2:13" ht="12" customHeight="1">
      <c r="B42" s="751" t="s">
        <v>190</v>
      </c>
      <c r="C42" s="752"/>
      <c r="D42" s="752"/>
      <c r="E42" s="752"/>
      <c r="F42" s="752"/>
      <c r="G42" s="752"/>
      <c r="H42" s="752"/>
      <c r="I42" s="753"/>
      <c r="J42" s="356"/>
      <c r="K42" s="356"/>
      <c r="L42" s="147"/>
    </row>
    <row r="43" spans="2:13" ht="12" customHeight="1">
      <c r="B43" s="393" t="s">
        <v>166</v>
      </c>
      <c r="C43" s="393" t="s">
        <v>167</v>
      </c>
      <c r="D43" s="772" t="s">
        <v>168</v>
      </c>
      <c r="E43" s="773"/>
      <c r="F43" s="774"/>
      <c r="G43" s="357" t="s">
        <v>169</v>
      </c>
      <c r="H43" s="358" t="s">
        <v>170</v>
      </c>
      <c r="I43" s="359" t="s">
        <v>171</v>
      </c>
      <c r="J43" s="418" t="s">
        <v>97</v>
      </c>
      <c r="K43" s="419" t="s">
        <v>81</v>
      </c>
      <c r="L43" s="392" t="s">
        <v>173</v>
      </c>
    </row>
    <row r="44" spans="2:13" ht="12" customHeight="1">
      <c r="B44" s="391">
        <v>868</v>
      </c>
      <c r="C44" s="360">
        <v>43535</v>
      </c>
      <c r="D44" s="756" t="s">
        <v>192</v>
      </c>
      <c r="E44" s="757"/>
      <c r="F44" s="758"/>
      <c r="G44" s="361" t="s">
        <v>191</v>
      </c>
      <c r="H44" s="361" t="s">
        <v>179</v>
      </c>
      <c r="I44" s="362">
        <v>1.6790300000000001E-2</v>
      </c>
      <c r="J44" s="363">
        <f>+I44*$C$5</f>
        <v>1.67903</v>
      </c>
      <c r="K44" s="363">
        <f>+I44*$D$5</f>
        <v>12.911740700000001</v>
      </c>
      <c r="L44" s="364">
        <f>+I44*$E$5</f>
        <v>14.5907707</v>
      </c>
    </row>
    <row r="45" spans="2:13" ht="12" customHeight="1">
      <c r="B45" s="391">
        <v>1397</v>
      </c>
      <c r="C45" s="360">
        <v>43566</v>
      </c>
      <c r="D45" s="756" t="s">
        <v>212</v>
      </c>
      <c r="E45" s="757"/>
      <c r="F45" s="758"/>
      <c r="G45" s="361" t="s">
        <v>214</v>
      </c>
      <c r="H45" s="361" t="s">
        <v>213</v>
      </c>
      <c r="I45" s="362">
        <v>2.1661699999999999E-2</v>
      </c>
      <c r="J45" s="363">
        <f>+I45*$C$5</f>
        <v>2.1661699999999997</v>
      </c>
      <c r="K45" s="363">
        <f>+I45*$D$5</f>
        <v>16.6578473</v>
      </c>
      <c r="L45" s="364">
        <f>+I45*$E$5</f>
        <v>18.824017299999998</v>
      </c>
    </row>
    <row r="46" spans="2:13" ht="12" customHeight="1">
      <c r="B46" s="446">
        <v>1414</v>
      </c>
      <c r="C46" s="360">
        <v>43566</v>
      </c>
      <c r="D46" s="756" t="s">
        <v>215</v>
      </c>
      <c r="E46" s="757"/>
      <c r="F46" s="758"/>
      <c r="G46" s="361" t="s">
        <v>214</v>
      </c>
      <c r="H46" s="361" t="s">
        <v>216</v>
      </c>
      <c r="I46" s="362">
        <v>1.125E-2</v>
      </c>
      <c r="J46" s="363">
        <f t="shared" ref="J46:J51" si="100">+I46*$C$5</f>
        <v>1.125</v>
      </c>
      <c r="K46" s="363">
        <f t="shared" ref="K46:K51" si="101">+I46*$D$5</f>
        <v>8.6512499999999992</v>
      </c>
      <c r="L46" s="364">
        <f t="shared" ref="L46:L51" si="102">+I46*$E$5</f>
        <v>9.7762499999999992</v>
      </c>
    </row>
    <row r="47" spans="2:13" ht="12" customHeight="1">
      <c r="B47" s="446">
        <v>1698</v>
      </c>
      <c r="C47" s="360">
        <v>43592</v>
      </c>
      <c r="D47" s="756" t="s">
        <v>217</v>
      </c>
      <c r="E47" s="757"/>
      <c r="F47" s="758"/>
      <c r="G47" s="361" t="s">
        <v>213</v>
      </c>
      <c r="H47" s="361" t="s">
        <v>214</v>
      </c>
      <c r="I47" s="362">
        <v>2.1661699999999999E-2</v>
      </c>
      <c r="J47" s="363">
        <f t="shared" si="100"/>
        <v>2.1661699999999997</v>
      </c>
      <c r="K47" s="363">
        <f t="shared" si="101"/>
        <v>16.6578473</v>
      </c>
      <c r="L47" s="364">
        <f t="shared" si="102"/>
        <v>18.824017299999998</v>
      </c>
    </row>
    <row r="48" spans="2:13" ht="12" customHeight="1">
      <c r="B48" s="446">
        <v>1635</v>
      </c>
      <c r="C48" s="360">
        <v>43609</v>
      </c>
      <c r="D48" s="756" t="s">
        <v>218</v>
      </c>
      <c r="E48" s="757"/>
      <c r="F48" s="758"/>
      <c r="G48" s="361" t="s">
        <v>216</v>
      </c>
      <c r="H48" s="361" t="s">
        <v>214</v>
      </c>
      <c r="I48" s="362">
        <v>8.9999999999999993E-3</v>
      </c>
      <c r="J48" s="363">
        <f t="shared" si="100"/>
        <v>0.89999999999999991</v>
      </c>
      <c r="K48" s="363">
        <f t="shared" si="101"/>
        <v>6.9209999999999994</v>
      </c>
      <c r="L48" s="364">
        <f t="shared" si="102"/>
        <v>7.8209999999999997</v>
      </c>
    </row>
    <row r="49" spans="2:12" ht="13.8" customHeight="1">
      <c r="B49" s="446">
        <v>1636</v>
      </c>
      <c r="C49" s="360">
        <v>43609</v>
      </c>
      <c r="D49" s="756" t="s">
        <v>218</v>
      </c>
      <c r="E49" s="757"/>
      <c r="F49" s="758"/>
      <c r="G49" s="361" t="s">
        <v>216</v>
      </c>
      <c r="H49" s="361" t="s">
        <v>214</v>
      </c>
      <c r="I49" s="362">
        <v>2.2499999999999998E-3</v>
      </c>
      <c r="J49" s="363">
        <f t="shared" si="100"/>
        <v>0.22499999999999998</v>
      </c>
      <c r="K49" s="363">
        <f t="shared" si="101"/>
        <v>1.7302499999999998</v>
      </c>
      <c r="L49" s="364">
        <f t="shared" si="102"/>
        <v>1.9552499999999999</v>
      </c>
    </row>
    <row r="50" spans="2:12" ht="12" customHeight="1">
      <c r="B50" s="367"/>
      <c r="C50" s="360"/>
      <c r="D50" s="756"/>
      <c r="E50" s="757"/>
      <c r="F50" s="758"/>
      <c r="G50" s="361"/>
      <c r="H50" s="361"/>
      <c r="I50" s="362"/>
      <c r="J50" s="363">
        <f t="shared" si="100"/>
        <v>0</v>
      </c>
      <c r="K50" s="363">
        <f t="shared" si="101"/>
        <v>0</v>
      </c>
      <c r="L50" s="364">
        <f t="shared" si="102"/>
        <v>0</v>
      </c>
    </row>
    <row r="51" spans="2:12" ht="12" customHeight="1">
      <c r="B51" s="397"/>
      <c r="C51" s="398"/>
      <c r="D51" s="756"/>
      <c r="E51" s="757"/>
      <c r="F51" s="758"/>
      <c r="G51" s="399"/>
      <c r="H51" s="399"/>
      <c r="I51" s="390"/>
      <c r="J51" s="363">
        <f t="shared" si="100"/>
        <v>0</v>
      </c>
      <c r="K51" s="363">
        <f t="shared" si="101"/>
        <v>0</v>
      </c>
      <c r="L51" s="364">
        <f t="shared" si="102"/>
        <v>0</v>
      </c>
    </row>
    <row r="52" spans="2:12" ht="12" customHeight="1">
      <c r="B52" s="439"/>
      <c r="C52" s="440"/>
      <c r="D52" s="441"/>
      <c r="E52" s="441"/>
      <c r="F52" s="441"/>
      <c r="G52" s="442"/>
      <c r="H52" s="442"/>
      <c r="I52" s="443"/>
      <c r="J52" s="444"/>
      <c r="K52" s="444"/>
      <c r="L52" s="445"/>
    </row>
    <row r="53" spans="2:12" ht="12" customHeight="1">
      <c r="B53" s="439"/>
      <c r="C53" s="440"/>
      <c r="D53" s="441"/>
      <c r="E53" s="441"/>
      <c r="F53" s="441"/>
      <c r="G53" s="442"/>
      <c r="H53" s="442"/>
      <c r="I53" s="443"/>
      <c r="J53" s="444"/>
      <c r="K53" s="444"/>
      <c r="L53" s="445"/>
    </row>
    <row r="54" spans="2:12" ht="12" customHeight="1">
      <c r="B54" s="439"/>
      <c r="C54" s="440"/>
      <c r="D54" s="441"/>
      <c r="E54" s="441"/>
      <c r="F54" s="441"/>
      <c r="G54" s="442"/>
      <c r="H54" s="442"/>
      <c r="I54" s="443"/>
      <c r="J54" s="444"/>
      <c r="K54" s="444"/>
      <c r="L54" s="445"/>
    </row>
    <row r="57" spans="2:12" ht="12" customHeight="1">
      <c r="I57" s="420"/>
    </row>
    <row r="58" spans="2:12" ht="12" customHeight="1">
      <c r="B58" s="771" t="s">
        <v>124</v>
      </c>
      <c r="C58" s="771"/>
      <c r="D58" s="771"/>
      <c r="E58" s="771"/>
      <c r="F58" s="146"/>
    </row>
    <row r="59" spans="2:12" ht="12" customHeight="1">
      <c r="B59" s="405" t="s">
        <v>123</v>
      </c>
      <c r="C59" s="406" t="s">
        <v>110</v>
      </c>
      <c r="D59" s="407" t="s">
        <v>111</v>
      </c>
      <c r="E59" s="406" t="s">
        <v>98</v>
      </c>
    </row>
    <row r="60" spans="2:12" ht="12" customHeight="1">
      <c r="B60" s="262" t="s">
        <v>99</v>
      </c>
      <c r="C60" s="263">
        <v>794</v>
      </c>
      <c r="D60" s="263">
        <v>970</v>
      </c>
      <c r="E60" s="263">
        <f>SUM(C60:D60)</f>
        <v>1764</v>
      </c>
    </row>
    <row r="61" spans="2:12" ht="12" customHeight="1">
      <c r="B61" s="408" t="s">
        <v>100</v>
      </c>
      <c r="C61" s="409">
        <v>88</v>
      </c>
      <c r="D61" s="409">
        <v>108</v>
      </c>
      <c r="E61" s="409">
        <f>SUM(C61:D61)</f>
        <v>196</v>
      </c>
    </row>
    <row r="62" spans="2:12" ht="12" customHeight="1">
      <c r="B62" s="405" t="s">
        <v>115</v>
      </c>
      <c r="C62" s="409">
        <f>SUM(C60:C61)</f>
        <v>882</v>
      </c>
      <c r="D62" s="409">
        <f t="shared" ref="D62" si="103">SUM(D60:D61)</f>
        <v>1078</v>
      </c>
      <c r="E62" s="409">
        <f>SUM(C62:D62)</f>
        <v>1960</v>
      </c>
      <c r="F62" s="264"/>
    </row>
    <row r="63" spans="2:12" ht="12" customHeight="1">
      <c r="B63" s="255"/>
      <c r="C63" s="256"/>
      <c r="D63" s="256"/>
      <c r="E63" s="256"/>
      <c r="F63" s="264"/>
    </row>
    <row r="64" spans="2:12" ht="12" customHeight="1">
      <c r="B64" s="255"/>
      <c r="E64" s="255"/>
      <c r="F64" s="256"/>
      <c r="G64" s="256"/>
      <c r="H64" s="737" t="s">
        <v>131</v>
      </c>
      <c r="I64" s="738"/>
      <c r="J64" s="735" t="s">
        <v>152</v>
      </c>
      <c r="K64" s="736"/>
      <c r="L64" s="256"/>
    </row>
    <row r="65" spans="2:13" ht="12" customHeight="1">
      <c r="B65" s="748" t="s">
        <v>83</v>
      </c>
      <c r="C65" s="749"/>
      <c r="D65" s="750"/>
      <c r="E65" s="404" t="s">
        <v>116</v>
      </c>
      <c r="F65" s="404" t="s">
        <v>102</v>
      </c>
      <c r="G65" s="404" t="s">
        <v>134</v>
      </c>
      <c r="H65" s="404" t="s">
        <v>132</v>
      </c>
      <c r="I65" s="404" t="s">
        <v>133</v>
      </c>
      <c r="J65" s="403" t="s">
        <v>110</v>
      </c>
      <c r="K65" s="403" t="s">
        <v>111</v>
      </c>
      <c r="L65" s="404" t="s">
        <v>156</v>
      </c>
      <c r="M65" s="416" t="s">
        <v>114</v>
      </c>
    </row>
    <row r="66" spans="2:13" ht="12" customHeight="1">
      <c r="B66" s="725" t="s">
        <v>157</v>
      </c>
      <c r="C66" s="726"/>
      <c r="D66" s="727"/>
      <c r="E66" s="265">
        <f>+'Adjudicacione SSP'!B5</f>
        <v>31.481415900000002</v>
      </c>
      <c r="F66" s="352">
        <f>+E66/100*$E$62</f>
        <v>617.03575164000006</v>
      </c>
      <c r="G66" s="246">
        <f>+H66+I66</f>
        <v>555.33217647600009</v>
      </c>
      <c r="H66" s="412">
        <f>+E66/100*$C$60</f>
        <v>249.96244224600002</v>
      </c>
      <c r="I66" s="413">
        <f>+E66/100*$D$60</f>
        <v>305.36973423000006</v>
      </c>
      <c r="J66" s="268">
        <f>-J100-J102-J103-J105+J99+J101+J104-J106</f>
        <v>-161.3785272092</v>
      </c>
      <c r="K66" s="268">
        <f>-K100-K102-K103-K105+K99+K101+K104-K106</f>
        <v>323.27620639999998</v>
      </c>
      <c r="L66" s="244">
        <f>+F66+J66+K66+J67+K67</f>
        <v>778.93343083080003</v>
      </c>
      <c r="M66" s="244">
        <f>+L66/$E$62</f>
        <v>0.39741501573000004</v>
      </c>
    </row>
    <row r="67" spans="2:13" ht="12" customHeight="1">
      <c r="B67" s="728"/>
      <c r="C67" s="729"/>
      <c r="D67" s="730"/>
      <c r="E67" s="266"/>
      <c r="F67" s="353"/>
      <c r="G67" s="245">
        <f>+H67+I67</f>
        <v>61.703575164</v>
      </c>
      <c r="H67" s="414">
        <f>+E66/100*$C$61</f>
        <v>27.703645992000002</v>
      </c>
      <c r="I67" s="415">
        <f>+E66/100*$D$61</f>
        <v>33.999929172000002</v>
      </c>
      <c r="J67" s="269"/>
      <c r="K67" s="246"/>
      <c r="L67" s="245"/>
      <c r="M67" s="245"/>
    </row>
    <row r="68" spans="2:13" ht="12" customHeight="1">
      <c r="B68" s="725" t="s">
        <v>19</v>
      </c>
      <c r="C68" s="726"/>
      <c r="D68" s="727"/>
      <c r="E68" s="265">
        <f>+'Adjudicacione SSP'!B6</f>
        <v>2.74</v>
      </c>
      <c r="F68" s="352">
        <f>+E68/100*$E$62</f>
        <v>53.704000000000001</v>
      </c>
      <c r="G68" s="246">
        <f>+H68+I68</f>
        <v>48.333600000000004</v>
      </c>
      <c r="H68" s="412">
        <f>+E68/100*$C$60</f>
        <v>21.755600000000001</v>
      </c>
      <c r="I68" s="413">
        <f>+E68/100*$D$60</f>
        <v>26.577999999999999</v>
      </c>
      <c r="J68" s="268"/>
      <c r="K68" s="244"/>
      <c r="L68" s="244">
        <f t="shared" ref="L68" si="104">+F68+J68+K68+J69+K69</f>
        <v>53.704000000000001</v>
      </c>
      <c r="M68" s="244">
        <f>+L68/$E$62</f>
        <v>2.7400000000000001E-2</v>
      </c>
    </row>
    <row r="69" spans="2:13" ht="12" customHeight="1">
      <c r="B69" s="728"/>
      <c r="C69" s="729"/>
      <c r="D69" s="730"/>
      <c r="E69" s="266"/>
      <c r="F69" s="353"/>
      <c r="G69" s="245">
        <f>+H69+I69</f>
        <v>5.3704000000000001</v>
      </c>
      <c r="H69" s="414">
        <f>+E68/100*$C$61</f>
        <v>2.4112</v>
      </c>
      <c r="I69" s="415">
        <f>+E68/100*$D$61</f>
        <v>2.9592000000000001</v>
      </c>
      <c r="J69" s="269"/>
      <c r="K69" s="246"/>
      <c r="L69" s="246"/>
      <c r="M69" s="246"/>
    </row>
    <row r="70" spans="2:13" ht="12" customHeight="1">
      <c r="B70" s="725" t="s">
        <v>86</v>
      </c>
      <c r="C70" s="726"/>
      <c r="D70" s="727"/>
      <c r="E70" s="265">
        <f>+'Adjudicacione SSP'!B7</f>
        <v>23.224539999999998</v>
      </c>
      <c r="F70" s="352">
        <f>+E70/100*$E$62</f>
        <v>455.20098399999995</v>
      </c>
      <c r="G70" s="246">
        <f t="shared" ref="G70:G93" si="105">+H70+I70</f>
        <v>409.6808855999999</v>
      </c>
      <c r="H70" s="412">
        <f>+E70/100*$C$60</f>
        <v>184.40284759999997</v>
      </c>
      <c r="I70" s="413">
        <f>+E70/100*$D$60</f>
        <v>225.27803799999995</v>
      </c>
      <c r="J70" s="268">
        <f>+J102</f>
        <v>200.0000072</v>
      </c>
      <c r="K70" s="244">
        <f>-K101</f>
        <v>-225.58588640000002</v>
      </c>
      <c r="L70" s="244">
        <f t="shared" ref="L70" si="106">+F70+J70+K70+J71+K71</f>
        <v>429.61510479999993</v>
      </c>
      <c r="M70" s="244">
        <f>+L70/$E$62</f>
        <v>0.21919137999999996</v>
      </c>
    </row>
    <row r="71" spans="2:13" ht="12" customHeight="1">
      <c r="B71" s="728"/>
      <c r="C71" s="729"/>
      <c r="D71" s="730"/>
      <c r="E71" s="266"/>
      <c r="F71" s="353"/>
      <c r="G71" s="245">
        <f t="shared" si="105"/>
        <v>45.520098399999995</v>
      </c>
      <c r="H71" s="414">
        <f>+E70/100*$C$61</f>
        <v>20.437595199999997</v>
      </c>
      <c r="I71" s="415">
        <f>+E70/100*$D$61</f>
        <v>25.082503199999994</v>
      </c>
      <c r="J71" s="269"/>
      <c r="K71" s="246"/>
      <c r="L71" s="245"/>
      <c r="M71" s="246"/>
    </row>
    <row r="72" spans="2:13" ht="12" customHeight="1">
      <c r="B72" s="725" t="s">
        <v>88</v>
      </c>
      <c r="C72" s="726"/>
      <c r="D72" s="727"/>
      <c r="E72" s="265">
        <f>+'Adjudicacione SSP'!B8</f>
        <v>16.724620000000002</v>
      </c>
      <c r="F72" s="352">
        <f>+E72/100*$E$62</f>
        <v>327.80255200000005</v>
      </c>
      <c r="G72" s="246">
        <f t="shared" si="105"/>
        <v>295.02229680000005</v>
      </c>
      <c r="H72" s="412">
        <f>+E72/100*$C$60</f>
        <v>132.79348280000002</v>
      </c>
      <c r="I72" s="413">
        <f>+E72/100*$D$60</f>
        <v>162.228814</v>
      </c>
      <c r="J72" s="268">
        <f>+J103</f>
        <v>29.547000000000001</v>
      </c>
      <c r="K72" s="244">
        <f>+K103</f>
        <v>36.113</v>
      </c>
      <c r="L72" s="244">
        <f t="shared" ref="L72" si="107">+F72+J72+K72+J73+K73</f>
        <v>393.46255200000007</v>
      </c>
      <c r="M72" s="244">
        <f>+L72/$E$62</f>
        <v>0.20074620000000004</v>
      </c>
    </row>
    <row r="73" spans="2:13" ht="12" customHeight="1">
      <c r="B73" s="728"/>
      <c r="C73" s="729"/>
      <c r="D73" s="730"/>
      <c r="E73" s="266"/>
      <c r="F73" s="353"/>
      <c r="G73" s="245">
        <f t="shared" si="105"/>
        <v>32.780255199999999</v>
      </c>
      <c r="H73" s="414">
        <f>+E72/100*$C$61</f>
        <v>14.7176656</v>
      </c>
      <c r="I73" s="415">
        <f>+E72/100*$D$61</f>
        <v>18.062589600000003</v>
      </c>
      <c r="J73" s="269"/>
      <c r="K73" s="246"/>
      <c r="L73" s="246"/>
      <c r="M73" s="246"/>
    </row>
    <row r="74" spans="2:13" ht="12" customHeight="1">
      <c r="B74" s="725" t="s">
        <v>84</v>
      </c>
      <c r="C74" s="726"/>
      <c r="D74" s="727"/>
      <c r="E74" s="265">
        <f>+'Adjudicacione SSP'!B9</f>
        <v>8.69</v>
      </c>
      <c r="F74" s="352">
        <f>+E74/100*$E$62</f>
        <v>170.32399999999998</v>
      </c>
      <c r="G74" s="246">
        <f t="shared" si="105"/>
        <v>153.29159999999999</v>
      </c>
      <c r="H74" s="412">
        <f>+E74/100*$C$60</f>
        <v>68.998599999999996</v>
      </c>
      <c r="I74" s="413">
        <f>+E74/100*$D$60</f>
        <v>84.292999999999992</v>
      </c>
      <c r="J74" s="268">
        <f>+J105</f>
        <v>40.000000009200001</v>
      </c>
      <c r="K74" s="244">
        <f>-K104</f>
        <v>-83.329399999999993</v>
      </c>
      <c r="L74" s="244">
        <f t="shared" ref="L74" si="108">+F74+J74+K74+J75+K75</f>
        <v>126.99460000919998</v>
      </c>
      <c r="M74" s="244">
        <f>+L74/$E$62</f>
        <v>6.4793163269999995E-2</v>
      </c>
    </row>
    <row r="75" spans="2:13" ht="12" customHeight="1">
      <c r="B75" s="728"/>
      <c r="C75" s="729"/>
      <c r="D75" s="730"/>
      <c r="E75" s="266"/>
      <c r="F75" s="353"/>
      <c r="G75" s="245">
        <f t="shared" si="105"/>
        <v>17.032399999999999</v>
      </c>
      <c r="H75" s="414">
        <f>+E74/100*$C$61</f>
        <v>7.6471999999999989</v>
      </c>
      <c r="I75" s="415">
        <f>+E74/100*$D$61</f>
        <v>9.3851999999999993</v>
      </c>
      <c r="J75" s="269"/>
      <c r="K75" s="246"/>
      <c r="L75" s="245"/>
      <c r="M75" s="246"/>
    </row>
    <row r="76" spans="2:13" ht="12" customHeight="1">
      <c r="B76" s="725" t="s">
        <v>158</v>
      </c>
      <c r="C76" s="726"/>
      <c r="D76" s="727"/>
      <c r="E76" s="265">
        <f>+'Adjudicacione SSP'!B10</f>
        <v>0.6</v>
      </c>
      <c r="F76" s="352">
        <f>+E76/100*$E$62</f>
        <v>11.76</v>
      </c>
      <c r="G76" s="246">
        <f>+H76+I76</f>
        <v>10.584</v>
      </c>
      <c r="H76" s="412">
        <f>+E76/100*$C$60</f>
        <v>4.7640000000000002</v>
      </c>
      <c r="I76" s="413">
        <f>+E76/100*$D$60</f>
        <v>5.82</v>
      </c>
      <c r="J76" s="268"/>
      <c r="K76" s="244"/>
      <c r="L76" s="244">
        <f t="shared" ref="L76" si="109">+F76+J76+K76+J77+K77</f>
        <v>11.76</v>
      </c>
      <c r="M76" s="244">
        <f>+L76/$E$62</f>
        <v>6.0000000000000001E-3</v>
      </c>
    </row>
    <row r="77" spans="2:13" ht="12" customHeight="1">
      <c r="B77" s="728"/>
      <c r="C77" s="729"/>
      <c r="D77" s="730"/>
      <c r="E77" s="266"/>
      <c r="F77" s="353"/>
      <c r="G77" s="245">
        <f>+H77+I77</f>
        <v>1.1760000000000002</v>
      </c>
      <c r="H77" s="414">
        <f>+E76/100*$C$61</f>
        <v>0.52800000000000002</v>
      </c>
      <c r="I77" s="415">
        <f>+E76/100*$D$61</f>
        <v>0.64800000000000002</v>
      </c>
      <c r="J77" s="269"/>
      <c r="K77" s="246"/>
      <c r="L77" s="246"/>
      <c r="M77" s="246"/>
    </row>
    <row r="78" spans="2:13" ht="12" customHeight="1">
      <c r="B78" s="725" t="s">
        <v>159</v>
      </c>
      <c r="C78" s="726"/>
      <c r="D78" s="727"/>
      <c r="E78" s="265">
        <f>+'Adjudicacione SSP'!B11</f>
        <v>1.367E-2</v>
      </c>
      <c r="F78" s="352">
        <f>+E78/100*$E$62</f>
        <v>0.267932</v>
      </c>
      <c r="G78" s="246">
        <f t="shared" si="105"/>
        <v>0.24113879999999999</v>
      </c>
      <c r="H78" s="412">
        <f>+E78/100*$C$60</f>
        <v>0.10853979999999999</v>
      </c>
      <c r="I78" s="413">
        <f>+E78/100*$D$60</f>
        <v>0.13259899999999999</v>
      </c>
      <c r="J78" s="268"/>
      <c r="K78" s="244"/>
      <c r="L78" s="244">
        <f t="shared" ref="L78" si="110">+F78+J78+K78+J79+K79</f>
        <v>0.267932</v>
      </c>
      <c r="M78" s="244">
        <f>+L78/$E$62</f>
        <v>1.3669999999999999E-4</v>
      </c>
    </row>
    <row r="79" spans="2:13" ht="12" customHeight="1">
      <c r="B79" s="728"/>
      <c r="C79" s="729"/>
      <c r="D79" s="730"/>
      <c r="E79" s="266"/>
      <c r="F79" s="353"/>
      <c r="G79" s="245">
        <f t="shared" si="105"/>
        <v>2.6793199999999996E-2</v>
      </c>
      <c r="H79" s="414">
        <f>+E78/100*$C$61</f>
        <v>1.20296E-2</v>
      </c>
      <c r="I79" s="415">
        <f>+E78/100*$D$61</f>
        <v>1.4763599999999998E-2</v>
      </c>
      <c r="J79" s="269"/>
      <c r="K79" s="246"/>
      <c r="L79" s="245"/>
      <c r="M79" s="246"/>
    </row>
    <row r="80" spans="2:13" ht="12" customHeight="1">
      <c r="B80" s="725" t="s">
        <v>92</v>
      </c>
      <c r="C80" s="726"/>
      <c r="D80" s="727"/>
      <c r="E80" s="265">
        <f>+'Adjudicacione SSP'!B12</f>
        <v>5.4599999999999996E-3</v>
      </c>
      <c r="F80" s="352">
        <f>+E80/100*$E$62</f>
        <v>0.107016</v>
      </c>
      <c r="G80" s="246">
        <f t="shared" si="105"/>
        <v>9.6314399999999994E-2</v>
      </c>
      <c r="H80" s="412">
        <f>+E80/100*$C$60</f>
        <v>4.3352399999999999E-2</v>
      </c>
      <c r="I80" s="413">
        <f>+E80/100*$D$60</f>
        <v>5.2962000000000002E-2</v>
      </c>
      <c r="J80" s="268"/>
      <c r="K80" s="244"/>
      <c r="L80" s="244">
        <f t="shared" ref="L80" si="111">+F80+J80+K80+J81+K81</f>
        <v>0.107016</v>
      </c>
      <c r="M80" s="244">
        <f>+L80/$E$62</f>
        <v>5.4599999999999999E-5</v>
      </c>
    </row>
    <row r="81" spans="2:13" ht="12" customHeight="1">
      <c r="B81" s="728"/>
      <c r="C81" s="729"/>
      <c r="D81" s="730"/>
      <c r="E81" s="266"/>
      <c r="F81" s="353"/>
      <c r="G81" s="245">
        <f t="shared" si="105"/>
        <v>1.0701599999999999E-2</v>
      </c>
      <c r="H81" s="414">
        <f>+E80/100*$C$61</f>
        <v>4.8047999999999997E-3</v>
      </c>
      <c r="I81" s="415">
        <f>+E80/100*$D$61</f>
        <v>5.8967999999999998E-3</v>
      </c>
      <c r="J81" s="269"/>
      <c r="K81" s="246"/>
      <c r="L81" s="246"/>
      <c r="M81" s="246"/>
    </row>
    <row r="82" spans="2:13" ht="12" customHeight="1">
      <c r="B82" s="725" t="s">
        <v>160</v>
      </c>
      <c r="C82" s="726"/>
      <c r="D82" s="727"/>
      <c r="E82" s="265">
        <f>+'Adjudicacione SSP'!B13</f>
        <v>16.418584000000003</v>
      </c>
      <c r="F82" s="352">
        <f>+E82/100*$E$62</f>
        <v>321.80424640000007</v>
      </c>
      <c r="G82" s="246">
        <f t="shared" si="105"/>
        <v>289.62382176000006</v>
      </c>
      <c r="H82" s="412">
        <f>+E82/100*$C$60</f>
        <v>130.36355696000001</v>
      </c>
      <c r="I82" s="413">
        <f>+E82/100*$D$60</f>
        <v>159.26026480000002</v>
      </c>
      <c r="J82" s="268">
        <f>-J99</f>
        <v>-116.98847999999998</v>
      </c>
      <c r="K82" s="268">
        <f>-K99</f>
        <v>-142.98591999999996</v>
      </c>
      <c r="L82" s="244">
        <f t="shared" ref="L82" si="112">+F82+J82+K82+J83+K83</f>
        <v>61.829846400000122</v>
      </c>
      <c r="M82" s="244">
        <f>+L82/$E$62</f>
        <v>3.1545840000000061E-2</v>
      </c>
    </row>
    <row r="83" spans="2:13" ht="12" customHeight="1">
      <c r="B83" s="728"/>
      <c r="C83" s="729"/>
      <c r="D83" s="730"/>
      <c r="E83" s="266"/>
      <c r="F83" s="353"/>
      <c r="G83" s="245">
        <f t="shared" si="105"/>
        <v>32.180424640000005</v>
      </c>
      <c r="H83" s="414">
        <f>+E82/100*$C$61</f>
        <v>14.448353920000002</v>
      </c>
      <c r="I83" s="415">
        <f>+E82/100*$D$61</f>
        <v>17.732070720000003</v>
      </c>
      <c r="J83" s="269"/>
      <c r="K83" s="246"/>
      <c r="L83" s="245"/>
      <c r="M83" s="246"/>
    </row>
    <row r="84" spans="2:13" ht="12" customHeight="1">
      <c r="B84" s="725" t="s">
        <v>161</v>
      </c>
      <c r="C84" s="726"/>
      <c r="D84" s="727"/>
      <c r="E84" s="265">
        <f>+'Adjudicacione SSP'!B14</f>
        <v>2.0100000000000001E-3</v>
      </c>
      <c r="F84" s="352">
        <f>+E84/100*$E$62</f>
        <v>3.9396E-2</v>
      </c>
      <c r="G84" s="246">
        <f t="shared" si="105"/>
        <v>3.5456399999999999E-2</v>
      </c>
      <c r="H84" s="412">
        <f>+E84/100*$C$60</f>
        <v>1.5959400000000002E-2</v>
      </c>
      <c r="I84" s="413">
        <f>+E84/100*$D$60</f>
        <v>1.9497E-2</v>
      </c>
      <c r="J84" s="268"/>
      <c r="K84" s="244"/>
      <c r="L84" s="244">
        <f t="shared" ref="L84" si="113">+F84+J84+K84+J85+K85</f>
        <v>3.9396E-2</v>
      </c>
      <c r="M84" s="244">
        <f>+L84/$E$62</f>
        <v>2.0100000000000001E-5</v>
      </c>
    </row>
    <row r="85" spans="2:13" ht="12" customHeight="1">
      <c r="B85" s="728"/>
      <c r="C85" s="729"/>
      <c r="D85" s="730"/>
      <c r="E85" s="266"/>
      <c r="F85" s="353"/>
      <c r="G85" s="245">
        <f t="shared" si="105"/>
        <v>3.9395999999999997E-3</v>
      </c>
      <c r="H85" s="414">
        <f>+E84/100*$C$61</f>
        <v>1.7688000000000001E-3</v>
      </c>
      <c r="I85" s="415">
        <f>+E84/100*$D$61</f>
        <v>2.1708000000000001E-3</v>
      </c>
      <c r="J85" s="269"/>
      <c r="K85" s="246"/>
      <c r="L85" s="246"/>
      <c r="M85" s="246"/>
    </row>
    <row r="86" spans="2:13" ht="12" customHeight="1">
      <c r="B86" s="725" t="s">
        <v>162</v>
      </c>
      <c r="C86" s="726"/>
      <c r="D86" s="727"/>
      <c r="E86" s="265">
        <f>+'Adjudicacione SSP'!B15</f>
        <v>0.1</v>
      </c>
      <c r="F86" s="352">
        <f>+E86/100*$E$62</f>
        <v>1.96</v>
      </c>
      <c r="G86" s="246">
        <f t="shared" si="105"/>
        <v>1.764</v>
      </c>
      <c r="H86" s="412">
        <f>+E86/100*$C$60</f>
        <v>0.79400000000000004</v>
      </c>
      <c r="I86" s="413">
        <f>+E86/100*$D$60</f>
        <v>0.97</v>
      </c>
      <c r="J86" s="268"/>
      <c r="K86" s="244"/>
      <c r="L86" s="244">
        <f t="shared" ref="L86" si="114">+F86+J86+K86+J87+K87</f>
        <v>1.96</v>
      </c>
      <c r="M86" s="244">
        <f>+L86/$E$62</f>
        <v>1E-3</v>
      </c>
    </row>
    <row r="87" spans="2:13" ht="12" customHeight="1">
      <c r="B87" s="728"/>
      <c r="C87" s="729"/>
      <c r="D87" s="730"/>
      <c r="E87" s="266"/>
      <c r="F87" s="353"/>
      <c r="G87" s="245">
        <f t="shared" si="105"/>
        <v>0.19600000000000001</v>
      </c>
      <c r="H87" s="414">
        <f>+E86/100*$C$61</f>
        <v>8.7999999999999995E-2</v>
      </c>
      <c r="I87" s="415">
        <f>+E86/100*$D$61</f>
        <v>0.108</v>
      </c>
      <c r="J87" s="269"/>
      <c r="K87" s="246"/>
      <c r="L87" s="245"/>
      <c r="M87" s="246"/>
    </row>
    <row r="88" spans="2:13" ht="12" customHeight="1">
      <c r="B88" s="725" t="s">
        <v>163</v>
      </c>
      <c r="C88" s="726"/>
      <c r="D88" s="727"/>
      <c r="E88" s="265">
        <v>0</v>
      </c>
      <c r="F88" s="352">
        <f>+E88/100*$E$62</f>
        <v>0</v>
      </c>
      <c r="G88" s="246">
        <f t="shared" si="105"/>
        <v>0</v>
      </c>
      <c r="H88" s="412">
        <f>+E88/100*$C$60</f>
        <v>0</v>
      </c>
      <c r="I88" s="413">
        <f>+E88/100*$D$60</f>
        <v>0</v>
      </c>
      <c r="J88" s="244">
        <f>+J100</f>
        <v>0</v>
      </c>
      <c r="K88" s="244">
        <f>+K100</f>
        <v>81.731999999999999</v>
      </c>
      <c r="L88" s="244">
        <f t="shared" ref="L88" si="115">+F88+J88+K88+J89+K89</f>
        <v>81.731999999999999</v>
      </c>
      <c r="M88" s="244">
        <f>+L88/$E$62</f>
        <v>4.1700000000000001E-2</v>
      </c>
    </row>
    <row r="89" spans="2:13" ht="12" customHeight="1">
      <c r="B89" s="728"/>
      <c r="C89" s="729"/>
      <c r="D89" s="730"/>
      <c r="E89" s="266"/>
      <c r="F89" s="353"/>
      <c r="G89" s="245">
        <f t="shared" si="105"/>
        <v>0</v>
      </c>
      <c r="H89" s="414">
        <f>+E88/100*$C$61</f>
        <v>0</v>
      </c>
      <c r="I89" s="415">
        <f>+E88/100*$D$61</f>
        <v>0</v>
      </c>
      <c r="J89" s="269"/>
      <c r="K89" s="246"/>
      <c r="L89" s="246"/>
      <c r="M89" s="246"/>
    </row>
    <row r="90" spans="2:13" ht="12" customHeight="1">
      <c r="B90" s="725" t="s">
        <v>164</v>
      </c>
      <c r="C90" s="726"/>
      <c r="D90" s="727"/>
      <c r="E90" s="265">
        <v>0</v>
      </c>
      <c r="F90" s="352">
        <f>+E90/100*$E$62</f>
        <v>0</v>
      </c>
      <c r="G90" s="246">
        <f t="shared" si="105"/>
        <v>0</v>
      </c>
      <c r="H90" s="412">
        <f>+E90/100*$C$60</f>
        <v>0</v>
      </c>
      <c r="I90" s="413">
        <f>+E90/100*$D$60</f>
        <v>0</v>
      </c>
      <c r="J90" s="268"/>
      <c r="K90" s="244"/>
      <c r="L90" s="244">
        <f t="shared" ref="L90" si="116">+F90+J90+K90+J91+K91</f>
        <v>0</v>
      </c>
      <c r="M90" s="244">
        <f>+L90/$E$62</f>
        <v>0</v>
      </c>
    </row>
    <row r="91" spans="2:13" ht="12" customHeight="1">
      <c r="B91" s="728"/>
      <c r="C91" s="729"/>
      <c r="D91" s="730"/>
      <c r="E91" s="266"/>
      <c r="F91" s="353"/>
      <c r="G91" s="245">
        <f t="shared" si="105"/>
        <v>0</v>
      </c>
      <c r="H91" s="414">
        <f>+E90/100*$C$61</f>
        <v>0</v>
      </c>
      <c r="I91" s="415">
        <f>+E90/100*$D$61</f>
        <v>0</v>
      </c>
      <c r="J91" s="269"/>
      <c r="K91" s="246"/>
      <c r="L91" s="245"/>
      <c r="M91" s="246"/>
    </row>
    <row r="92" spans="2:13" ht="12" customHeight="1">
      <c r="B92" s="725" t="s">
        <v>165</v>
      </c>
      <c r="C92" s="726"/>
      <c r="D92" s="727"/>
      <c r="E92" s="265">
        <v>0</v>
      </c>
      <c r="F92" s="352">
        <f>+E92/100*$E$62</f>
        <v>0</v>
      </c>
      <c r="G92" s="246">
        <f t="shared" si="105"/>
        <v>0</v>
      </c>
      <c r="H92" s="412">
        <f>+E92/100*$C$60</f>
        <v>0</v>
      </c>
      <c r="I92" s="413">
        <f>+E92/100*$D$60</f>
        <v>0</v>
      </c>
      <c r="J92" s="268">
        <f>+J106</f>
        <v>8.82</v>
      </c>
      <c r="K92" s="268">
        <f>+K106</f>
        <v>10.78</v>
      </c>
      <c r="L92" s="244">
        <f t="shared" ref="L92" si="117">+F92+J92+K92+J93+K93</f>
        <v>19.600000000000001</v>
      </c>
      <c r="M92" s="244">
        <f>+L92/$E$62</f>
        <v>0.01</v>
      </c>
    </row>
    <row r="93" spans="2:13" ht="12" customHeight="1">
      <c r="B93" s="728"/>
      <c r="C93" s="729"/>
      <c r="D93" s="730"/>
      <c r="E93" s="266"/>
      <c r="F93" s="353"/>
      <c r="G93" s="245">
        <f t="shared" si="105"/>
        <v>0</v>
      </c>
      <c r="H93" s="414">
        <f>+E92/100*$C$61</f>
        <v>0</v>
      </c>
      <c r="I93" s="415">
        <f>+E92/100*$D$61</f>
        <v>0</v>
      </c>
      <c r="J93" s="269"/>
      <c r="K93" s="246"/>
      <c r="L93" s="246"/>
      <c r="M93" s="246"/>
    </row>
    <row r="94" spans="2:13" ht="12" customHeight="1">
      <c r="B94" s="765" t="s">
        <v>140</v>
      </c>
      <c r="C94" s="766"/>
      <c r="D94" s="767"/>
      <c r="E94" s="762">
        <f>SUM(E66:E93)</f>
        <v>100.0002999</v>
      </c>
      <c r="F94" s="723">
        <f>SUM(F66:F93)</f>
        <v>1960.00587804</v>
      </c>
      <c r="G94" s="410">
        <f>+G66+G68+G70+G72+G74+G78+G80+G82+G84+G86+G88+G90+G92+G76</f>
        <v>1764.0052902360001</v>
      </c>
      <c r="H94" s="410">
        <f>+H66+H68+H70+H72+H74+H76+H78+H80+H82+H84+H86+H88+H90+H92</f>
        <v>794.00238120600011</v>
      </c>
      <c r="I94" s="410">
        <f>+I66+I68+I70+I72+I74+I76+I78+I80+I82+I84+I86+I88+I90+I92</f>
        <v>970.00290902999996</v>
      </c>
      <c r="J94" s="410">
        <f>+J66+J68+J70+J72+J74+J78+J80+J82+J84+J86+J88+J90+J92+J76</f>
        <v>7.1054273576010019E-15</v>
      </c>
      <c r="K94" s="411">
        <f>+K66+K68+K70+K72+K74+K78+K80+K82+K84+K86+K88+K90+K92+K76</f>
        <v>-1.7763568394002505E-15</v>
      </c>
      <c r="L94" s="723">
        <f>SUM(L66:L93)</f>
        <v>1960.00587804</v>
      </c>
      <c r="M94" s="723">
        <f>SUM(M66:M93)</f>
        <v>1.0000029989999999</v>
      </c>
    </row>
    <row r="95" spans="2:13" ht="12" customHeight="1">
      <c r="B95" s="768"/>
      <c r="C95" s="769"/>
      <c r="D95" s="770"/>
      <c r="E95" s="763"/>
      <c r="F95" s="724"/>
      <c r="G95" s="410">
        <f>+G67+G69+G71+G73+G75+G79+G81+G83+G85+G87+G89+G91+G93+G77</f>
        <v>196.00058780399996</v>
      </c>
      <c r="H95" s="410">
        <f>+H67+H69+H71+H73+H75+H77+H79+H81+H83+H85+H87+H89+H91+H93</f>
        <v>88.000263912000008</v>
      </c>
      <c r="I95" s="410">
        <f>+I67+I69+I71+I73+I75+I77+I79+I81+I83+I85+I87+I89+I91+I93</f>
        <v>108.000323892</v>
      </c>
      <c r="J95" s="410">
        <f>+J67+J69+J71+J73+J75+J79+J81+J83+J85+J87+J89+J91+J93+J77</f>
        <v>0</v>
      </c>
      <c r="K95" s="410">
        <f>+K67+K69+K71+K73+K75+K79+K81+K83+K85+K87+K89+K91+K93+K77</f>
        <v>0</v>
      </c>
      <c r="L95" s="724"/>
      <c r="M95" s="724"/>
    </row>
    <row r="97" spans="2:12" ht="12" customHeight="1">
      <c r="B97" s="759" t="s">
        <v>180</v>
      </c>
      <c r="C97" s="760"/>
      <c r="D97" s="760"/>
      <c r="E97" s="760"/>
      <c r="F97" s="760"/>
      <c r="G97" s="760"/>
      <c r="H97" s="760"/>
      <c r="I97" s="761"/>
      <c r="J97" s="356"/>
      <c r="K97" s="356"/>
      <c r="L97" s="147"/>
    </row>
    <row r="98" spans="2:12" ht="12" customHeight="1">
      <c r="B98" s="393" t="s">
        <v>166</v>
      </c>
      <c r="C98" s="393" t="s">
        <v>167</v>
      </c>
      <c r="D98" s="778" t="s">
        <v>168</v>
      </c>
      <c r="E98" s="779"/>
      <c r="F98" s="780"/>
      <c r="G98" s="357" t="s">
        <v>169</v>
      </c>
      <c r="H98" s="358" t="s">
        <v>170</v>
      </c>
      <c r="I98" s="359" t="s">
        <v>171</v>
      </c>
      <c r="J98" s="400" t="s">
        <v>110</v>
      </c>
      <c r="K98" s="401" t="s">
        <v>172</v>
      </c>
      <c r="L98" s="402" t="s">
        <v>173</v>
      </c>
    </row>
    <row r="99" spans="2:12" ht="12" customHeight="1">
      <c r="B99" s="365">
        <v>143826</v>
      </c>
      <c r="C99" s="360">
        <v>43475</v>
      </c>
      <c r="D99" s="775" t="s">
        <v>181</v>
      </c>
      <c r="E99" s="776"/>
      <c r="F99" s="777"/>
      <c r="G99" s="361" t="s">
        <v>174</v>
      </c>
      <c r="H99" s="361" t="s">
        <v>175</v>
      </c>
      <c r="I99" s="362">
        <v>0.13263999999999998</v>
      </c>
      <c r="J99" s="363">
        <f>+I99*$C$62</f>
        <v>116.98847999999998</v>
      </c>
      <c r="K99" s="363">
        <f>+I99*$D$62</f>
        <v>142.98591999999996</v>
      </c>
      <c r="L99" s="364">
        <f t="shared" ref="L99:L106" si="118">+I99*$E$62</f>
        <v>259.97439999999995</v>
      </c>
    </row>
    <row r="100" spans="2:12" ht="12" customHeight="1">
      <c r="B100" s="365">
        <v>145557</v>
      </c>
      <c r="C100" s="360">
        <v>43507</v>
      </c>
      <c r="D100" s="775" t="s">
        <v>182</v>
      </c>
      <c r="E100" s="776"/>
      <c r="F100" s="777"/>
      <c r="G100" s="361" t="s">
        <v>175</v>
      </c>
      <c r="H100" s="361" t="s">
        <v>176</v>
      </c>
      <c r="I100" s="362">
        <v>4.1700000000000001E-2</v>
      </c>
      <c r="J100" s="366">
        <v>0</v>
      </c>
      <c r="K100" s="363">
        <f>+L100</f>
        <v>81.731999999999999</v>
      </c>
      <c r="L100" s="364">
        <f t="shared" si="118"/>
        <v>81.731999999999999</v>
      </c>
    </row>
    <row r="101" spans="2:12" ht="12" customHeight="1">
      <c r="B101" s="367">
        <v>146229</v>
      </c>
      <c r="C101" s="360">
        <v>43521</v>
      </c>
      <c r="D101" s="775" t="s">
        <v>187</v>
      </c>
      <c r="E101" s="776"/>
      <c r="F101" s="777"/>
      <c r="G101" s="361" t="s">
        <v>177</v>
      </c>
      <c r="H101" s="361" t="s">
        <v>175</v>
      </c>
      <c r="I101" s="362">
        <v>0.11509484</v>
      </c>
      <c r="J101" s="366">
        <v>0</v>
      </c>
      <c r="K101" s="363">
        <f>+L101</f>
        <v>225.58588640000002</v>
      </c>
      <c r="L101" s="364">
        <f t="shared" si="118"/>
        <v>225.58588640000002</v>
      </c>
    </row>
    <row r="102" spans="2:12" ht="12" customHeight="1">
      <c r="B102" s="367">
        <v>146233</v>
      </c>
      <c r="C102" s="360">
        <v>43521</v>
      </c>
      <c r="D102" s="775" t="s">
        <v>183</v>
      </c>
      <c r="E102" s="776"/>
      <c r="F102" s="777"/>
      <c r="G102" s="361" t="s">
        <v>175</v>
      </c>
      <c r="H102" s="361" t="s">
        <v>177</v>
      </c>
      <c r="I102" s="362">
        <v>0.10204082</v>
      </c>
      <c r="J102" s="363">
        <f>+L102</f>
        <v>200.0000072</v>
      </c>
      <c r="K102" s="366">
        <v>0</v>
      </c>
      <c r="L102" s="364">
        <f t="shared" si="118"/>
        <v>200.0000072</v>
      </c>
    </row>
    <row r="103" spans="2:12" ht="12" customHeight="1">
      <c r="B103" s="367">
        <v>146232</v>
      </c>
      <c r="C103" s="360">
        <v>43521</v>
      </c>
      <c r="D103" s="775" t="s">
        <v>184</v>
      </c>
      <c r="E103" s="776"/>
      <c r="F103" s="777"/>
      <c r="G103" s="361" t="s">
        <v>175</v>
      </c>
      <c r="H103" s="361" t="s">
        <v>178</v>
      </c>
      <c r="I103" s="362">
        <v>3.3500000000000002E-2</v>
      </c>
      <c r="J103" s="363">
        <f>+I103*$C$62</f>
        <v>29.547000000000001</v>
      </c>
      <c r="K103" s="363">
        <f>+I103*$D$62</f>
        <v>36.113</v>
      </c>
      <c r="L103" s="364">
        <f t="shared" si="118"/>
        <v>65.660000000000011</v>
      </c>
    </row>
    <row r="104" spans="2:12" ht="12" customHeight="1">
      <c r="B104" s="367">
        <v>146316</v>
      </c>
      <c r="C104" s="360">
        <v>43523</v>
      </c>
      <c r="D104" s="775" t="s">
        <v>185</v>
      </c>
      <c r="E104" s="776"/>
      <c r="F104" s="777"/>
      <c r="G104" s="361" t="s">
        <v>179</v>
      </c>
      <c r="H104" s="361" t="s">
        <v>175</v>
      </c>
      <c r="I104" s="362">
        <v>4.2514999999999997E-2</v>
      </c>
      <c r="J104" s="366">
        <v>0</v>
      </c>
      <c r="K104" s="363">
        <f>+L104</f>
        <v>83.329399999999993</v>
      </c>
      <c r="L104" s="364">
        <f t="shared" si="118"/>
        <v>83.329399999999993</v>
      </c>
    </row>
    <row r="105" spans="2:12" ht="12" customHeight="1">
      <c r="B105" s="367">
        <v>146313</v>
      </c>
      <c r="C105" s="360">
        <v>43523</v>
      </c>
      <c r="D105" s="775" t="s">
        <v>186</v>
      </c>
      <c r="E105" s="776"/>
      <c r="F105" s="777"/>
      <c r="G105" s="361" t="s">
        <v>175</v>
      </c>
      <c r="H105" s="361" t="s">
        <v>179</v>
      </c>
      <c r="I105" s="362">
        <v>2.0408163270000002E-2</v>
      </c>
      <c r="J105" s="363">
        <f>+L105</f>
        <v>40.000000009200001</v>
      </c>
      <c r="K105" s="366">
        <v>0</v>
      </c>
      <c r="L105" s="364">
        <f t="shared" si="118"/>
        <v>40.000000009200001</v>
      </c>
    </row>
    <row r="106" spans="2:12" ht="12" customHeight="1">
      <c r="B106" s="388">
        <v>151514</v>
      </c>
      <c r="C106" s="389">
        <v>43607</v>
      </c>
      <c r="D106" s="775" t="s">
        <v>221</v>
      </c>
      <c r="E106" s="776"/>
      <c r="F106" s="777"/>
      <c r="G106" s="361" t="s">
        <v>175</v>
      </c>
      <c r="H106" s="361" t="s">
        <v>189</v>
      </c>
      <c r="I106" s="390">
        <f>1/100</f>
        <v>0.01</v>
      </c>
      <c r="J106" s="394">
        <f>+I106*$C$62</f>
        <v>8.82</v>
      </c>
      <c r="K106" s="394">
        <f>+I106*$D$62</f>
        <v>10.78</v>
      </c>
      <c r="L106" s="364">
        <f t="shared" si="118"/>
        <v>19.600000000000001</v>
      </c>
    </row>
  </sheetData>
  <mergeCells count="93">
    <mergeCell ref="D103:F103"/>
    <mergeCell ref="D104:F104"/>
    <mergeCell ref="D105:F105"/>
    <mergeCell ref="D106:F106"/>
    <mergeCell ref="D98:F98"/>
    <mergeCell ref="D99:F99"/>
    <mergeCell ref="D100:F100"/>
    <mergeCell ref="D101:F101"/>
    <mergeCell ref="D102:F102"/>
    <mergeCell ref="D51:F51"/>
    <mergeCell ref="L29:L30"/>
    <mergeCell ref="L31:L32"/>
    <mergeCell ref="L33:L34"/>
    <mergeCell ref="L35:L36"/>
    <mergeCell ref="L37:L38"/>
    <mergeCell ref="D43:F43"/>
    <mergeCell ref="D47:F47"/>
    <mergeCell ref="D48:F48"/>
    <mergeCell ref="D49:F49"/>
    <mergeCell ref="D50:F50"/>
    <mergeCell ref="L19:L20"/>
    <mergeCell ref="L21:L22"/>
    <mergeCell ref="L23:L24"/>
    <mergeCell ref="L25:L26"/>
    <mergeCell ref="L27:L28"/>
    <mergeCell ref="L9:L10"/>
    <mergeCell ref="L11:L12"/>
    <mergeCell ref="L13:L14"/>
    <mergeCell ref="L15:L16"/>
    <mergeCell ref="L17:L18"/>
    <mergeCell ref="F9:F10"/>
    <mergeCell ref="F11:F12"/>
    <mergeCell ref="F13:F14"/>
    <mergeCell ref="F15:F16"/>
    <mergeCell ref="F17:F18"/>
    <mergeCell ref="B1:E1"/>
    <mergeCell ref="B90:D91"/>
    <mergeCell ref="B92:D93"/>
    <mergeCell ref="B94:D95"/>
    <mergeCell ref="B25:D26"/>
    <mergeCell ref="B27:D28"/>
    <mergeCell ref="B29:D30"/>
    <mergeCell ref="B31:D32"/>
    <mergeCell ref="B33:D34"/>
    <mergeCell ref="B35:D36"/>
    <mergeCell ref="B37:D38"/>
    <mergeCell ref="B58:E58"/>
    <mergeCell ref="B80:D81"/>
    <mergeCell ref="B17:D18"/>
    <mergeCell ref="D45:F45"/>
    <mergeCell ref="D44:F44"/>
    <mergeCell ref="B97:I97"/>
    <mergeCell ref="B66:D67"/>
    <mergeCell ref="B68:D69"/>
    <mergeCell ref="B70:D71"/>
    <mergeCell ref="B86:D87"/>
    <mergeCell ref="B88:D89"/>
    <mergeCell ref="B82:D83"/>
    <mergeCell ref="B84:D85"/>
    <mergeCell ref="F94:F95"/>
    <mergeCell ref="E94:E95"/>
    <mergeCell ref="B19:D20"/>
    <mergeCell ref="B21:D22"/>
    <mergeCell ref="B23:D24"/>
    <mergeCell ref="B65:D65"/>
    <mergeCell ref="B42:I42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D46:F46"/>
    <mergeCell ref="L94:L95"/>
    <mergeCell ref="M94:M95"/>
    <mergeCell ref="B72:D73"/>
    <mergeCell ref="J7:K7"/>
    <mergeCell ref="H7:I7"/>
    <mergeCell ref="J64:K64"/>
    <mergeCell ref="H64:I64"/>
    <mergeCell ref="B39:D40"/>
    <mergeCell ref="B74:D75"/>
    <mergeCell ref="B76:D77"/>
    <mergeCell ref="B78:D79"/>
    <mergeCell ref="B8:D8"/>
    <mergeCell ref="B9:D10"/>
    <mergeCell ref="B11:D12"/>
    <mergeCell ref="B13:D14"/>
    <mergeCell ref="B15:D16"/>
  </mergeCells>
  <conditionalFormatting sqref="I98:L98 B97 J65:K93 I43:L43 B42 J8:K8">
    <cfRule type="cellIs" dxfId="18" priority="43" operator="lessThan">
      <formula>0</formula>
    </cfRule>
  </conditionalFormatting>
  <conditionalFormatting sqref="J66:K93">
    <cfRule type="cellIs" dxfId="17" priority="40" operator="greaterThan">
      <formula>0</formula>
    </cfRule>
    <cfRule type="cellIs" dxfId="16" priority="41" operator="lessThan">
      <formula>0</formula>
    </cfRule>
  </conditionalFormatting>
  <conditionalFormatting sqref="H99:H105 J66:K93 H44:H54">
    <cfRule type="cellIs" dxfId="15" priority="33" operator="greaterThan">
      <formula>0</formula>
    </cfRule>
  </conditionalFormatting>
  <conditionalFormatting sqref="G99:G106 G44 G47:G54">
    <cfRule type="cellIs" dxfId="14" priority="28" operator="greaterThan">
      <formula>0</formula>
    </cfRule>
  </conditionalFormatting>
  <conditionalFormatting sqref="H106">
    <cfRule type="cellIs" dxfId="13" priority="17" operator="greaterThan">
      <formula>0</formula>
    </cfRule>
  </conditionalFormatting>
  <conditionalFormatting sqref="J37:K37">
    <cfRule type="cellIs" dxfId="12" priority="12" operator="lessThan">
      <formula>0</formula>
    </cfRule>
  </conditionalFormatting>
  <conditionalFormatting sqref="J37:K37">
    <cfRule type="cellIs" dxfId="11" priority="10" operator="greaterThan">
      <formula>0</formula>
    </cfRule>
    <cfRule type="cellIs" dxfId="10" priority="11" operator="lessThan">
      <formula>0</formula>
    </cfRule>
  </conditionalFormatting>
  <conditionalFormatting sqref="J37:K37">
    <cfRule type="cellIs" dxfId="9" priority="9" operator="greaterThan">
      <formula>0</formula>
    </cfRule>
  </conditionalFormatting>
  <conditionalFormatting sqref="J9:K9">
    <cfRule type="cellIs" dxfId="8" priority="8" operator="lessThan">
      <formula>0</formula>
    </cfRule>
  </conditionalFormatting>
  <conditionalFormatting sqref="J9:K9">
    <cfRule type="cellIs" dxfId="7" priority="6" operator="greaterThan">
      <formula>0</formula>
    </cfRule>
    <cfRule type="cellIs" dxfId="6" priority="7" operator="lessThan">
      <formula>0</formula>
    </cfRule>
  </conditionalFormatting>
  <conditionalFormatting sqref="J9:K9">
    <cfRule type="cellIs" dxfId="5" priority="5" operator="greaterThan">
      <formula>0</formula>
    </cfRule>
  </conditionalFormatting>
  <conditionalFormatting sqref="G45:G46">
    <cfRule type="cellIs" dxfId="4" priority="1" operator="greaterThan">
      <formula>0</formula>
    </cfRule>
  </conditionalFormatting>
  <pageMargins left="0.7" right="0.7" top="0.75" bottom="0.75" header="0.3" footer="0.3"/>
  <pageSetup paperSize="16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topLeftCell="B1" workbookViewId="0">
      <selection activeCell="H25" sqref="H25"/>
    </sheetView>
  </sheetViews>
  <sheetFormatPr baseColWidth="10" defaultRowHeight="14.4"/>
  <cols>
    <col min="1" max="1" width="14.109375" hidden="1" customWidth="1"/>
    <col min="3" max="3" width="14.44140625" customWidth="1"/>
    <col min="8" max="8" width="11.109375" customWidth="1"/>
  </cols>
  <sheetData>
    <row r="1" spans="1:9">
      <c r="C1" s="422" t="s">
        <v>195</v>
      </c>
    </row>
    <row r="2" spans="1:9">
      <c r="C2" s="422" t="s">
        <v>196</v>
      </c>
    </row>
    <row r="3" spans="1:9">
      <c r="C3" s="423"/>
      <c r="D3" s="425"/>
      <c r="E3" s="425"/>
      <c r="G3" s="498">
        <v>43623</v>
      </c>
      <c r="H3" s="498">
        <v>43635</v>
      </c>
      <c r="I3" s="498">
        <v>43644</v>
      </c>
    </row>
    <row r="4" spans="1:9">
      <c r="A4" s="434" t="s">
        <v>208</v>
      </c>
      <c r="B4" s="431" t="s">
        <v>209</v>
      </c>
      <c r="C4" s="424" t="s">
        <v>197</v>
      </c>
      <c r="D4" s="424" t="s">
        <v>220</v>
      </c>
      <c r="E4" s="424" t="s">
        <v>219</v>
      </c>
      <c r="F4" s="424">
        <v>2019</v>
      </c>
      <c r="G4" s="424">
        <v>2019</v>
      </c>
      <c r="H4" s="493">
        <v>2019</v>
      </c>
      <c r="I4" s="493">
        <v>2019</v>
      </c>
    </row>
    <row r="5" spans="1:9">
      <c r="A5" s="504">
        <f>+I5</f>
        <v>31.481415900000002</v>
      </c>
      <c r="B5" s="504">
        <v>31.481415900000002</v>
      </c>
      <c r="C5" s="426" t="s">
        <v>157</v>
      </c>
      <c r="D5" s="427">
        <v>34.99</v>
      </c>
      <c r="E5" s="427">
        <v>33.277095899999999</v>
      </c>
      <c r="F5" s="427">
        <v>30.851095900000001</v>
      </c>
      <c r="G5" s="427">
        <v>30.851095900000001</v>
      </c>
      <c r="H5" s="494">
        <v>30.851095900000001</v>
      </c>
      <c r="I5" s="501">
        <v>31.481415900000002</v>
      </c>
    </row>
    <row r="6" spans="1:9">
      <c r="A6" s="504">
        <f t="shared" ref="A6:A15" si="0">+I6</f>
        <v>2.74</v>
      </c>
      <c r="B6" s="504">
        <v>2.74</v>
      </c>
      <c r="C6" s="426" t="s">
        <v>198</v>
      </c>
      <c r="D6" s="428">
        <v>1.54</v>
      </c>
      <c r="E6" s="428">
        <v>2.1082000000000001</v>
      </c>
      <c r="F6" s="428">
        <v>2.7082000000000002</v>
      </c>
      <c r="G6" s="428">
        <v>2.7082000000000002</v>
      </c>
      <c r="H6" s="495">
        <v>2.7082000000000002</v>
      </c>
      <c r="I6" s="502">
        <v>2.74</v>
      </c>
    </row>
    <row r="7" spans="1:9">
      <c r="A7" s="504">
        <f t="shared" si="0"/>
        <v>23.224539999999998</v>
      </c>
      <c r="B7" s="504">
        <v>23.224539999999998</v>
      </c>
      <c r="C7" s="426" t="s">
        <v>199</v>
      </c>
      <c r="D7" s="427">
        <v>21.964540000000003</v>
      </c>
      <c r="E7" s="427">
        <v>22.556339999999999</v>
      </c>
      <c r="F7" s="427">
        <v>23.256339999999998</v>
      </c>
      <c r="G7" s="427">
        <v>23.256339999999998</v>
      </c>
      <c r="H7" s="494">
        <v>23.256339999999998</v>
      </c>
      <c r="I7" s="501">
        <v>23.224539999999998</v>
      </c>
    </row>
    <row r="8" spans="1:9">
      <c r="A8" s="504">
        <f t="shared" si="0"/>
        <v>16.724620000000002</v>
      </c>
      <c r="B8" s="504">
        <v>16.724620000000002</v>
      </c>
      <c r="C8" s="426" t="s">
        <v>200</v>
      </c>
      <c r="D8" s="427">
        <v>14.744620000000001</v>
      </c>
      <c r="E8" s="427">
        <v>16.074619999999999</v>
      </c>
      <c r="F8" s="427">
        <v>16.724620000000002</v>
      </c>
      <c r="G8" s="427">
        <v>16.724620000000002</v>
      </c>
      <c r="H8" s="494">
        <v>16.724620000000002</v>
      </c>
      <c r="I8" s="501">
        <v>16.724620000000002</v>
      </c>
    </row>
    <row r="9" spans="1:9">
      <c r="A9" s="504">
        <f t="shared" si="0"/>
        <v>8.69</v>
      </c>
      <c r="B9" s="504">
        <v>8.69</v>
      </c>
      <c r="C9" s="426" t="s">
        <v>201</v>
      </c>
      <c r="D9" s="427">
        <v>7.7299999999999995</v>
      </c>
      <c r="E9" s="427">
        <v>8.2399999999999984</v>
      </c>
      <c r="F9" s="427">
        <v>8.69</v>
      </c>
      <c r="G9" s="427">
        <v>8.69</v>
      </c>
      <c r="H9" s="494">
        <v>8.69</v>
      </c>
      <c r="I9" s="501">
        <v>8.69</v>
      </c>
    </row>
    <row r="10" spans="1:9">
      <c r="A10" s="504">
        <f t="shared" si="0"/>
        <v>0.6</v>
      </c>
      <c r="B10" s="504">
        <v>0.6</v>
      </c>
      <c r="C10" s="426" t="s">
        <v>90</v>
      </c>
      <c r="D10" s="427">
        <v>0</v>
      </c>
      <c r="E10" s="427">
        <v>0</v>
      </c>
      <c r="F10" s="427">
        <v>0.6</v>
      </c>
      <c r="G10" s="427">
        <v>0.6</v>
      </c>
      <c r="H10" s="494">
        <v>0.6</v>
      </c>
      <c r="I10" s="501">
        <v>0.6</v>
      </c>
    </row>
    <row r="11" spans="1:9">
      <c r="A11" s="504">
        <f t="shared" si="0"/>
        <v>1.367E-2</v>
      </c>
      <c r="B11" s="504">
        <v>1.367E-2</v>
      </c>
      <c r="C11" s="426" t="s">
        <v>202</v>
      </c>
      <c r="D11" s="429">
        <v>1.367E-2</v>
      </c>
      <c r="E11" s="429">
        <v>1.367E-2</v>
      </c>
      <c r="F11" s="429">
        <v>1.367E-2</v>
      </c>
      <c r="G11" s="429">
        <v>1.367E-2</v>
      </c>
      <c r="H11" s="496">
        <v>1.367E-2</v>
      </c>
      <c r="I11" s="503">
        <v>1.367E-2</v>
      </c>
    </row>
    <row r="12" spans="1:9">
      <c r="A12" s="504">
        <f t="shared" si="0"/>
        <v>5.4599999999999996E-3</v>
      </c>
      <c r="B12" s="504">
        <v>5.4599999999999996E-3</v>
      </c>
      <c r="C12" s="426" t="s">
        <v>203</v>
      </c>
      <c r="D12" s="429">
        <v>5.4599999999999996E-3</v>
      </c>
      <c r="E12" s="429">
        <v>5.4599999999999996E-3</v>
      </c>
      <c r="F12" s="429">
        <v>5.4599999999999996E-3</v>
      </c>
      <c r="G12" s="429">
        <v>5.4599999999999996E-3</v>
      </c>
      <c r="H12" s="496">
        <v>5.4599999999999996E-3</v>
      </c>
      <c r="I12" s="503">
        <v>5.4599999999999996E-3</v>
      </c>
    </row>
    <row r="13" spans="1:9">
      <c r="A13" s="504">
        <f t="shared" si="0"/>
        <v>16.418584000000003</v>
      </c>
      <c r="B13" s="504">
        <v>16.418584000000003</v>
      </c>
      <c r="C13" s="426" t="s">
        <v>204</v>
      </c>
      <c r="D13" s="427">
        <v>0.57562000000000002</v>
      </c>
      <c r="E13" s="427">
        <v>17.622903999999998</v>
      </c>
      <c r="F13" s="427">
        <v>17.048904</v>
      </c>
      <c r="G13" s="427">
        <v>17.048904</v>
      </c>
      <c r="H13" s="494">
        <v>17.048904</v>
      </c>
      <c r="I13" s="501">
        <v>16.418584000000003</v>
      </c>
    </row>
    <row r="14" spans="1:9">
      <c r="A14" s="504">
        <f t="shared" si="0"/>
        <v>2.0100000000000001E-3</v>
      </c>
      <c r="B14" s="504">
        <v>2.0100000000000001E-3</v>
      </c>
      <c r="C14" s="426" t="s">
        <v>205</v>
      </c>
      <c r="D14" s="429">
        <v>2.0100000000000001E-3</v>
      </c>
      <c r="E14" s="429">
        <v>2.0100000000000001E-3</v>
      </c>
      <c r="F14" s="429">
        <v>2.0100000000000001E-3</v>
      </c>
      <c r="G14" s="429">
        <v>2.0100000000000001E-3</v>
      </c>
      <c r="H14" s="496">
        <v>2.0100000000000001E-3</v>
      </c>
      <c r="I14" s="503">
        <v>2.0100000000000001E-3</v>
      </c>
    </row>
    <row r="15" spans="1:9">
      <c r="A15" s="504">
        <f t="shared" si="0"/>
        <v>0.1</v>
      </c>
      <c r="B15" s="504">
        <v>0.1</v>
      </c>
      <c r="C15" s="426" t="s">
        <v>206</v>
      </c>
      <c r="D15" s="429">
        <v>0.1</v>
      </c>
      <c r="E15" s="429">
        <v>0.1</v>
      </c>
      <c r="F15" s="429">
        <v>0.1</v>
      </c>
      <c r="G15" s="429">
        <v>0.1</v>
      </c>
      <c r="H15" s="496">
        <v>0.1</v>
      </c>
      <c r="I15" s="503">
        <v>0.1</v>
      </c>
    </row>
    <row r="16" spans="1:9">
      <c r="A16" s="432"/>
      <c r="B16" s="432"/>
      <c r="C16" s="426"/>
      <c r="D16" s="429"/>
      <c r="E16" s="429"/>
      <c r="F16" s="429"/>
      <c r="G16" s="429"/>
      <c r="H16" s="496"/>
      <c r="I16" s="496"/>
    </row>
    <row r="17" spans="1:9">
      <c r="A17" s="432"/>
      <c r="B17" s="432"/>
      <c r="C17" s="426"/>
      <c r="D17" s="427"/>
      <c r="E17" s="427"/>
      <c r="F17" s="427"/>
      <c r="G17" s="427"/>
      <c r="H17" s="494"/>
      <c r="I17" s="494"/>
    </row>
    <row r="18" spans="1:9">
      <c r="A18" s="432"/>
      <c r="B18" s="432"/>
      <c r="C18" s="426"/>
      <c r="D18" s="427"/>
      <c r="E18" s="427"/>
      <c r="F18" s="427"/>
      <c r="G18" s="427"/>
      <c r="H18" s="494"/>
      <c r="I18" s="494"/>
    </row>
    <row r="19" spans="1:9">
      <c r="A19" s="432"/>
      <c r="B19" s="433">
        <f>SUM(B5:B18)</f>
        <v>100.0002999</v>
      </c>
      <c r="C19" s="424" t="s">
        <v>207</v>
      </c>
      <c r="D19" s="430">
        <v>100.00030000000001</v>
      </c>
      <c r="E19" s="430">
        <v>100.0002999</v>
      </c>
      <c r="F19" s="430">
        <v>100.0002999</v>
      </c>
      <c r="G19" s="430">
        <v>100.0002999</v>
      </c>
      <c r="H19" s="497">
        <v>100.0002999</v>
      </c>
      <c r="I19" s="497">
        <v>100.0002999</v>
      </c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 anual</vt:lpstr>
      <vt:lpstr>Resumen periodo</vt:lpstr>
      <vt:lpstr>Control Cuota Artesanal III-IV</vt:lpstr>
      <vt:lpstr>FUP</vt:lpstr>
      <vt:lpstr>Control Cuota LTP III-IV</vt:lpstr>
      <vt:lpstr>Control Cuota Licitada V-VIII </vt:lpstr>
      <vt:lpstr>Pesca Invest_Fa</vt:lpstr>
      <vt:lpstr>Movimientos_Ltp_Pep</vt:lpstr>
      <vt:lpstr>Adjudicacione SSP</vt:lpstr>
      <vt:lpstr>'Resumen anual'!Área_de_impresión</vt:lpstr>
    </vt:vector>
  </TitlesOfParts>
  <Company>Sernapesca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rgarcia</cp:lastModifiedBy>
  <dcterms:created xsi:type="dcterms:W3CDTF">2017-08-21T13:03:00Z</dcterms:created>
  <dcterms:modified xsi:type="dcterms:W3CDTF">2019-07-10T21:59:11Z</dcterms:modified>
</cp:coreProperties>
</file>