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4368" yWindow="972" windowWidth="19260" windowHeight="9228" tabRatio="1000" activeTab="6"/>
  </bookViews>
  <sheets>
    <sheet name="Resumen anual" sheetId="7" r:id="rId1"/>
    <sheet name="P.Invest-Fauna Acomp" sheetId="23" state="hidden" r:id="rId2"/>
    <sheet name="Resumen periodo" sheetId="6" r:id="rId3"/>
    <sheet name="Control Cuota Artesanal III-IV" sheetId="2" r:id="rId4"/>
    <sheet name="FUP" sheetId="25" state="hidden" r:id="rId5"/>
    <sheet name="Control Cuota LTP III-IV" sheetId="11" r:id="rId6"/>
    <sheet name="Control Cuota Licitada V-VIII " sheetId="13" r:id="rId7"/>
    <sheet name="Transa_Ltp_pep_Langamarillo" sheetId="20" r:id="rId8"/>
    <sheet name="Hoja1" sheetId="24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'Resumen anual'!$A$1:$I$14</definedName>
  </definedNames>
  <calcPr calcId="125725"/>
</workbook>
</file>

<file path=xl/calcChain.xml><?xml version="1.0" encoding="utf-8"?>
<calcChain xmlns="http://schemas.openxmlformats.org/spreadsheetml/2006/main">
  <c r="H10" i="6"/>
  <c r="O8" i="13"/>
  <c r="G9" i="7" l="1"/>
  <c r="J23" i="2"/>
  <c r="I23"/>
  <c r="E19" l="1"/>
  <c r="H20" l="1"/>
  <c r="H19"/>
  <c r="F20"/>
  <c r="F19"/>
  <c r="N19" s="1"/>
  <c r="E20"/>
  <c r="M19" l="1"/>
  <c r="G19" l="1"/>
  <c r="I19" s="1"/>
  <c r="U8" i="13" l="1"/>
  <c r="O37"/>
  <c r="O36"/>
  <c r="I37"/>
  <c r="I36"/>
  <c r="I54" i="20"/>
  <c r="J54"/>
  <c r="M10" i="13" s="1"/>
  <c r="I55" i="20"/>
  <c r="G11" i="13" s="1"/>
  <c r="J55" i="20"/>
  <c r="M11" i="13" s="1"/>
  <c r="I56" i="20"/>
  <c r="G12" i="13" s="1"/>
  <c r="J56" i="20"/>
  <c r="M12" i="13" s="1"/>
  <c r="I57" i="20"/>
  <c r="G13" i="13" s="1"/>
  <c r="J57" i="20"/>
  <c r="M13" i="13" s="1"/>
  <c r="I58" i="20"/>
  <c r="G14" i="13" s="1"/>
  <c r="J58" i="20"/>
  <c r="M14" i="13" s="1"/>
  <c r="I59" i="20"/>
  <c r="G15" i="13" s="1"/>
  <c r="J59" i="20"/>
  <c r="M15" i="13" s="1"/>
  <c r="I60" i="20"/>
  <c r="G16" i="13" s="1"/>
  <c r="J60" i="20"/>
  <c r="M16" i="13" s="1"/>
  <c r="I61" i="20"/>
  <c r="G17" i="13" s="1"/>
  <c r="J61" i="20"/>
  <c r="M17" i="13" s="1"/>
  <c r="I62" i="20"/>
  <c r="G18" i="13" s="1"/>
  <c r="J62" i="20"/>
  <c r="M18" i="13" s="1"/>
  <c r="I63" i="20"/>
  <c r="J63"/>
  <c r="M19" i="13" s="1"/>
  <c r="I64" i="20"/>
  <c r="G20" i="13" s="1"/>
  <c r="J64" i="20"/>
  <c r="M20" i="13" s="1"/>
  <c r="I65" i="20"/>
  <c r="G21" i="13" s="1"/>
  <c r="J65" i="20"/>
  <c r="M21" i="13" s="1"/>
  <c r="I66" i="20"/>
  <c r="G22" i="13" s="1"/>
  <c r="J66" i="20"/>
  <c r="M22" i="13" s="1"/>
  <c r="I67" i="20"/>
  <c r="J67"/>
  <c r="M23" i="13" s="1"/>
  <c r="I68" i="20"/>
  <c r="G24" i="13" s="1"/>
  <c r="J68" i="20"/>
  <c r="M24" i="13" s="1"/>
  <c r="I69" i="20"/>
  <c r="G25" i="13" s="1"/>
  <c r="J69" i="20"/>
  <c r="M25" i="13" s="1"/>
  <c r="I70" i="20"/>
  <c r="G26" i="13" s="1"/>
  <c r="J70" i="20"/>
  <c r="M26" i="13" s="1"/>
  <c r="I71" i="20"/>
  <c r="G27" i="13" s="1"/>
  <c r="J71" i="20"/>
  <c r="M27" i="13" s="1"/>
  <c r="I72" i="20"/>
  <c r="G28" i="13" s="1"/>
  <c r="J72" i="20"/>
  <c r="M28" i="13" s="1"/>
  <c r="I73" i="20"/>
  <c r="G29" i="13" s="1"/>
  <c r="J73" i="20"/>
  <c r="M29" i="13" s="1"/>
  <c r="I74" i="20"/>
  <c r="G30" i="13" s="1"/>
  <c r="J74" i="20"/>
  <c r="M30" i="13" s="1"/>
  <c r="I75" i="20"/>
  <c r="G31" i="13" s="1"/>
  <c r="J75" i="20"/>
  <c r="I76"/>
  <c r="G32" i="13" s="1"/>
  <c r="J76" i="20"/>
  <c r="M32" i="13" s="1"/>
  <c r="I77" i="20"/>
  <c r="G33" i="13" s="1"/>
  <c r="J77" i="20"/>
  <c r="M33" i="13" s="1"/>
  <c r="I78" i="20"/>
  <c r="G34" i="13" s="1"/>
  <c r="J78" i="20"/>
  <c r="M34" i="13" s="1"/>
  <c r="I79" i="20"/>
  <c r="G35" i="13" s="1"/>
  <c r="J79" i="20"/>
  <c r="M35" i="13" s="1"/>
  <c r="J52" i="20"/>
  <c r="M8" i="13" s="1"/>
  <c r="J53" i="20"/>
  <c r="I53"/>
  <c r="G9" i="13" s="1"/>
  <c r="I52" i="20"/>
  <c r="G8" i="13" s="1"/>
  <c r="B54" i="20"/>
  <c r="C10" i="13" s="1"/>
  <c r="B56" i="20"/>
  <c r="C12" i="13" s="1"/>
  <c r="B58" i="20"/>
  <c r="C14" i="13" s="1"/>
  <c r="B60" i="20"/>
  <c r="C16" i="13" s="1"/>
  <c r="B62" i="20"/>
  <c r="C18" i="13" s="1"/>
  <c r="B64" i="20"/>
  <c r="C20" i="13" s="1"/>
  <c r="B66" i="20"/>
  <c r="C22" i="13" s="1"/>
  <c r="B68" i="20"/>
  <c r="C24" i="13" s="1"/>
  <c r="B70" i="20"/>
  <c r="C26" i="13" s="1"/>
  <c r="B72" i="20"/>
  <c r="C28" i="13" s="1"/>
  <c r="B74" i="20"/>
  <c r="C30" i="13" s="1"/>
  <c r="B76" i="20"/>
  <c r="C32" i="13" s="1"/>
  <c r="B78" i="20"/>
  <c r="C34" i="13" s="1"/>
  <c r="B52" i="20"/>
  <c r="C8" i="13" s="1"/>
  <c r="D56" i="20"/>
  <c r="G57" s="1"/>
  <c r="F13" i="13" s="1"/>
  <c r="D58" i="20"/>
  <c r="G59" s="1"/>
  <c r="F15" i="13" s="1"/>
  <c r="D60" i="20"/>
  <c r="G61" s="1"/>
  <c r="F17" i="13" s="1"/>
  <c r="D62" i="20"/>
  <c r="G63" s="1"/>
  <c r="F19" i="13" s="1"/>
  <c r="D64" i="20"/>
  <c r="G65" s="1"/>
  <c r="F21" i="13" s="1"/>
  <c r="D66" i="20"/>
  <c r="G67" s="1"/>
  <c r="F23" i="13" s="1"/>
  <c r="D68" i="20"/>
  <c r="G69" s="1"/>
  <c r="F25" i="13" s="1"/>
  <c r="D70" i="20"/>
  <c r="G71" s="1"/>
  <c r="F27" i="13" s="1"/>
  <c r="D72" i="20"/>
  <c r="G73" s="1"/>
  <c r="F29" i="13" s="1"/>
  <c r="D74" i="20"/>
  <c r="G75" s="1"/>
  <c r="F31" i="13" s="1"/>
  <c r="D76" i="20"/>
  <c r="G77" s="1"/>
  <c r="F33" i="13" s="1"/>
  <c r="D78" i="20"/>
  <c r="G79" s="1"/>
  <c r="F35" i="13" s="1"/>
  <c r="D54" i="20"/>
  <c r="G55" s="1"/>
  <c r="E56"/>
  <c r="E58"/>
  <c r="E60"/>
  <c r="E62"/>
  <c r="E64"/>
  <c r="E66"/>
  <c r="E68"/>
  <c r="E70"/>
  <c r="E72"/>
  <c r="E74"/>
  <c r="E76"/>
  <c r="E78"/>
  <c r="E54"/>
  <c r="E52"/>
  <c r="D52"/>
  <c r="H52" s="1"/>
  <c r="L8" i="13" s="1"/>
  <c r="D48" i="20"/>
  <c r="C48"/>
  <c r="E47"/>
  <c r="E46"/>
  <c r="K54" l="1"/>
  <c r="H67"/>
  <c r="L23" i="13" s="1"/>
  <c r="G76" i="20"/>
  <c r="F32" i="13" s="1"/>
  <c r="K52" i="20"/>
  <c r="K67"/>
  <c r="K63"/>
  <c r="K76"/>
  <c r="K72"/>
  <c r="K64"/>
  <c r="K60"/>
  <c r="K56"/>
  <c r="E16" i="13"/>
  <c r="G19"/>
  <c r="K77" i="20"/>
  <c r="K73"/>
  <c r="K69"/>
  <c r="K65"/>
  <c r="K61"/>
  <c r="K57"/>
  <c r="K53"/>
  <c r="H76"/>
  <c r="L32" i="13" s="1"/>
  <c r="G23"/>
  <c r="K78" i="20"/>
  <c r="K74"/>
  <c r="K70"/>
  <c r="K66"/>
  <c r="K62"/>
  <c r="K58"/>
  <c r="K68"/>
  <c r="G60"/>
  <c r="F16" i="13" s="1"/>
  <c r="K79" i="20"/>
  <c r="K75"/>
  <c r="K71"/>
  <c r="K59"/>
  <c r="K55"/>
  <c r="G66"/>
  <c r="F22" i="13" s="1"/>
  <c r="H55" i="20"/>
  <c r="L11" i="13" s="1"/>
  <c r="H77" i="20"/>
  <c r="L33" i="13" s="1"/>
  <c r="G68" i="20"/>
  <c r="F24" i="13" s="1"/>
  <c r="H60" i="20"/>
  <c r="L16" i="13" s="1"/>
  <c r="E24"/>
  <c r="M9"/>
  <c r="H69" i="20"/>
  <c r="L25" i="13" s="1"/>
  <c r="H61" i="20"/>
  <c r="L17" i="13" s="1"/>
  <c r="E32"/>
  <c r="S8"/>
  <c r="G10"/>
  <c r="G36" s="1"/>
  <c r="H73" i="20"/>
  <c r="L29" i="13" s="1"/>
  <c r="H57" i="20"/>
  <c r="L13" i="13" s="1"/>
  <c r="E34"/>
  <c r="E26"/>
  <c r="E18"/>
  <c r="G74" i="20"/>
  <c r="F30" i="13" s="1"/>
  <c r="G58" i="20"/>
  <c r="F14" i="13" s="1"/>
  <c r="E10"/>
  <c r="E28"/>
  <c r="E20"/>
  <c r="E12"/>
  <c r="H75" i="20"/>
  <c r="L31" i="13" s="1"/>
  <c r="H68" i="20"/>
  <c r="L24" i="13" s="1"/>
  <c r="H65" i="20"/>
  <c r="L21" i="13" s="1"/>
  <c r="H59" i="20"/>
  <c r="L15" i="13" s="1"/>
  <c r="E8"/>
  <c r="E30"/>
  <c r="E22"/>
  <c r="E14"/>
  <c r="F11"/>
  <c r="M31"/>
  <c r="M36"/>
  <c r="G52" i="20"/>
  <c r="H79"/>
  <c r="L35" i="13" s="1"/>
  <c r="H71" i="20"/>
  <c r="L27" i="13" s="1"/>
  <c r="H63" i="20"/>
  <c r="L19" i="13" s="1"/>
  <c r="H53" i="20"/>
  <c r="L9" i="13" s="1"/>
  <c r="G78" i="20"/>
  <c r="F34" i="13" s="1"/>
  <c r="G72" i="20"/>
  <c r="F28" i="13" s="1"/>
  <c r="G70" i="20"/>
  <c r="F26" i="13" s="1"/>
  <c r="G64" i="20"/>
  <c r="F20" i="13" s="1"/>
  <c r="G62" i="20"/>
  <c r="F18" i="13" s="1"/>
  <c r="G56" i="20"/>
  <c r="F12" i="13" s="1"/>
  <c r="G54" i="20"/>
  <c r="G53"/>
  <c r="F9" i="13" s="1"/>
  <c r="H78" i="20"/>
  <c r="L34" i="13" s="1"/>
  <c r="H74" i="20"/>
  <c r="L30" i="13" s="1"/>
  <c r="H72" i="20"/>
  <c r="L28" i="13" s="1"/>
  <c r="H70" i="20"/>
  <c r="L26" i="13" s="1"/>
  <c r="H66" i="20"/>
  <c r="L22" i="13" s="1"/>
  <c r="H64" i="20"/>
  <c r="L20" i="13" s="1"/>
  <c r="H62" i="20"/>
  <c r="L18" i="13" s="1"/>
  <c r="H58" i="20"/>
  <c r="L14" i="13" s="1"/>
  <c r="H56" i="20"/>
  <c r="L12" i="13" s="1"/>
  <c r="H54" i="20"/>
  <c r="L10" i="13" s="1"/>
  <c r="D80" i="20"/>
  <c r="J80"/>
  <c r="E48"/>
  <c r="J81"/>
  <c r="I80"/>
  <c r="I81"/>
  <c r="L70" l="1"/>
  <c r="M70" s="1"/>
  <c r="F55"/>
  <c r="L74"/>
  <c r="L52"/>
  <c r="M52" s="1"/>
  <c r="G37" i="13"/>
  <c r="L60" i="20"/>
  <c r="L54"/>
  <c r="L72"/>
  <c r="L62"/>
  <c r="M62" s="1"/>
  <c r="L68"/>
  <c r="K80"/>
  <c r="F37" i="13"/>
  <c r="K81" i="20"/>
  <c r="L36" i="13"/>
  <c r="M37"/>
  <c r="M68" i="20"/>
  <c r="M60"/>
  <c r="M72"/>
  <c r="M74"/>
  <c r="M54"/>
  <c r="F54"/>
  <c r="F10" i="13"/>
  <c r="F52" i="20"/>
  <c r="F8" i="13"/>
  <c r="L37"/>
  <c r="L78" i="20"/>
  <c r="M78" s="1"/>
  <c r="L58"/>
  <c r="M58" s="1"/>
  <c r="L76"/>
  <c r="M76" s="1"/>
  <c r="L64"/>
  <c r="M64" s="1"/>
  <c r="L56"/>
  <c r="M56" s="1"/>
  <c r="E80"/>
  <c r="L66"/>
  <c r="M66" s="1"/>
  <c r="F36" i="13" l="1"/>
  <c r="L80" i="20"/>
  <c r="M80"/>
  <c r="C11" i="11" l="1"/>
  <c r="C13"/>
  <c r="C15"/>
  <c r="C17"/>
  <c r="C19"/>
  <c r="C21"/>
  <c r="C23"/>
  <c r="C25"/>
  <c r="C27"/>
  <c r="C29"/>
  <c r="C31"/>
  <c r="C33"/>
  <c r="C35"/>
  <c r="C9"/>
  <c r="C7"/>
  <c r="D15" i="20" l="1"/>
  <c r="D17"/>
  <c r="D19"/>
  <c r="D21"/>
  <c r="D23"/>
  <c r="D25"/>
  <c r="D27"/>
  <c r="D29"/>
  <c r="D31"/>
  <c r="D33"/>
  <c r="D35"/>
  <c r="D37"/>
  <c r="D13"/>
  <c r="D11"/>
  <c r="D9"/>
  <c r="D4"/>
  <c r="C4"/>
  <c r="D3"/>
  <c r="C3"/>
  <c r="I11"/>
  <c r="J11"/>
  <c r="I12"/>
  <c r="J12"/>
  <c r="I13"/>
  <c r="J13"/>
  <c r="L11" i="11" s="1"/>
  <c r="I14" i="20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J10"/>
  <c r="J40" s="1"/>
  <c r="J9"/>
  <c r="J39" s="1"/>
  <c r="I10"/>
  <c r="I40" s="1"/>
  <c r="I9"/>
  <c r="I39" l="1"/>
  <c r="F60"/>
  <c r="E4"/>
  <c r="D5"/>
  <c r="C5"/>
  <c r="E3"/>
  <c r="F58" l="1"/>
  <c r="F69"/>
  <c r="F76"/>
  <c r="F66"/>
  <c r="F68"/>
  <c r="F70"/>
  <c r="F72"/>
  <c r="G80"/>
  <c r="F65"/>
  <c r="F57"/>
  <c r="F61"/>
  <c r="F67"/>
  <c r="F71"/>
  <c r="H80"/>
  <c r="F64"/>
  <c r="F74"/>
  <c r="F62"/>
  <c r="F56"/>
  <c r="F78"/>
  <c r="E5"/>
  <c r="E9" s="1"/>
  <c r="L20" i="11"/>
  <c r="L24"/>
  <c r="L36"/>
  <c r="F32"/>
  <c r="F17"/>
  <c r="L17"/>
  <c r="F18"/>
  <c r="L18"/>
  <c r="F19"/>
  <c r="L19"/>
  <c r="F20"/>
  <c r="F21"/>
  <c r="L21"/>
  <c r="F22"/>
  <c r="L22"/>
  <c r="F23"/>
  <c r="L23"/>
  <c r="F24"/>
  <c r="F25"/>
  <c r="L25"/>
  <c r="F26"/>
  <c r="L26"/>
  <c r="F27"/>
  <c r="L27"/>
  <c r="F28"/>
  <c r="L28"/>
  <c r="F29"/>
  <c r="L29"/>
  <c r="F30"/>
  <c r="L30"/>
  <c r="F31"/>
  <c r="L31"/>
  <c r="L32"/>
  <c r="F33"/>
  <c r="L33"/>
  <c r="F34"/>
  <c r="L34"/>
  <c r="F35"/>
  <c r="L35"/>
  <c r="F36"/>
  <c r="F11"/>
  <c r="F12"/>
  <c r="L12"/>
  <c r="F13"/>
  <c r="L13"/>
  <c r="F14"/>
  <c r="L14"/>
  <c r="F15"/>
  <c r="L15"/>
  <c r="F16"/>
  <c r="L16"/>
  <c r="L9"/>
  <c r="L10"/>
  <c r="F10"/>
  <c r="L8"/>
  <c r="F8"/>
  <c r="F75" i="20" l="1"/>
  <c r="F80"/>
  <c r="G81"/>
  <c r="F53"/>
  <c r="F73"/>
  <c r="F79"/>
  <c r="H81"/>
  <c r="F59"/>
  <c r="F77"/>
  <c r="F63"/>
  <c r="F81" l="1"/>
  <c r="U16" i="13" l="1"/>
  <c r="U9" l="1"/>
  <c r="AA8" l="1"/>
  <c r="E5"/>
  <c r="N37" i="11" l="1"/>
  <c r="U35" i="13" l="1"/>
  <c r="S35"/>
  <c r="U34"/>
  <c r="AA34" l="1"/>
  <c r="F9" i="11"/>
  <c r="L7"/>
  <c r="F7"/>
  <c r="D39" i="20" l="1"/>
  <c r="H38" l="1"/>
  <c r="K36" i="11" s="1"/>
  <c r="G38" i="20"/>
  <c r="E36" i="11" s="1"/>
  <c r="H37" i="20"/>
  <c r="K35" i="11" s="1"/>
  <c r="G37" i="20"/>
  <c r="E35" i="11" s="1"/>
  <c r="H36" i="20"/>
  <c r="G36"/>
  <c r="E34" i="11" s="1"/>
  <c r="H35" i="20"/>
  <c r="K33" i="11" s="1"/>
  <c r="G35" i="20"/>
  <c r="E33" i="11" s="1"/>
  <c r="E35" i="20"/>
  <c r="K35" s="1"/>
  <c r="L35" s="1"/>
  <c r="H34"/>
  <c r="K32" i="11" s="1"/>
  <c r="G34" i="20"/>
  <c r="E32" i="11" s="1"/>
  <c r="H33" i="20"/>
  <c r="K31" i="11" s="1"/>
  <c r="G33" i="20"/>
  <c r="E31" i="11" s="1"/>
  <c r="H32" i="20"/>
  <c r="K30" i="11" s="1"/>
  <c r="G32" i="20"/>
  <c r="E30" i="11" s="1"/>
  <c r="H31" i="20"/>
  <c r="K29" i="11" s="1"/>
  <c r="G31" i="20"/>
  <c r="E29" i="11" s="1"/>
  <c r="H30" i="20"/>
  <c r="K28" i="11" s="1"/>
  <c r="G30" i="20"/>
  <c r="E28" i="11" s="1"/>
  <c r="H29" i="20"/>
  <c r="G29"/>
  <c r="E27" i="11" s="1"/>
  <c r="H28" i="20"/>
  <c r="K26" i="11" s="1"/>
  <c r="G28" i="20"/>
  <c r="E26" i="11" s="1"/>
  <c r="H27" i="20"/>
  <c r="K25" i="11" s="1"/>
  <c r="G27" i="20"/>
  <c r="E25" i="11" s="1"/>
  <c r="H26" i="20"/>
  <c r="K24" i="11" s="1"/>
  <c r="G26" i="20"/>
  <c r="E24" i="11" s="1"/>
  <c r="H25" i="20"/>
  <c r="K23" i="11" s="1"/>
  <c r="M23" s="1"/>
  <c r="O23" s="1"/>
  <c r="G25" i="20"/>
  <c r="E23" i="11" s="1"/>
  <c r="H24" i="20"/>
  <c r="K22" i="11" s="1"/>
  <c r="G24" i="20"/>
  <c r="E22" i="11" s="1"/>
  <c r="H23" i="20"/>
  <c r="K21" i="11" s="1"/>
  <c r="G23" i="20"/>
  <c r="E21" i="11" s="1"/>
  <c r="E23" i="20"/>
  <c r="K23" s="1"/>
  <c r="L23" s="1"/>
  <c r="H22"/>
  <c r="K20" i="11" s="1"/>
  <c r="G22" i="20"/>
  <c r="E20" i="11" s="1"/>
  <c r="H21" i="20"/>
  <c r="K19" i="11" s="1"/>
  <c r="M19" s="1"/>
  <c r="P19" s="1"/>
  <c r="G21" i="20"/>
  <c r="E19" i="11" s="1"/>
  <c r="G19" s="1"/>
  <c r="J19" s="1"/>
  <c r="H20" i="20"/>
  <c r="K18" i="11" s="1"/>
  <c r="G20" i="20"/>
  <c r="E18" i="11" s="1"/>
  <c r="H19" i="20"/>
  <c r="K17" i="11" s="1"/>
  <c r="G19" i="20"/>
  <c r="E17" i="11" s="1"/>
  <c r="G18" i="20"/>
  <c r="E16" i="11" s="1"/>
  <c r="H18" i="20"/>
  <c r="K16" i="11" s="1"/>
  <c r="H16" i="20"/>
  <c r="K14" i="11" s="1"/>
  <c r="G16" i="20"/>
  <c r="E14" i="11" s="1"/>
  <c r="H15" i="20"/>
  <c r="K13" i="11" s="1"/>
  <c r="G15" i="20"/>
  <c r="E13" i="11" s="1"/>
  <c r="E13" i="20"/>
  <c r="K13" s="1"/>
  <c r="L13" s="1"/>
  <c r="G14"/>
  <c r="E12" i="11" s="1"/>
  <c r="H12" i="20"/>
  <c r="K10" i="11" s="1"/>
  <c r="G12" i="20"/>
  <c r="E10" i="11" s="1"/>
  <c r="H11" i="20"/>
  <c r="G11"/>
  <c r="E9" i="11" s="1"/>
  <c r="E11" i="20"/>
  <c r="K11" s="1"/>
  <c r="E33"/>
  <c r="K33" s="1"/>
  <c r="L33" s="1"/>
  <c r="B18" i="7"/>
  <c r="N38" i="11"/>
  <c r="N40" s="1"/>
  <c r="L38"/>
  <c r="L37"/>
  <c r="H38"/>
  <c r="H37"/>
  <c r="F38"/>
  <c r="F37"/>
  <c r="T30"/>
  <c r="R30"/>
  <c r="T29"/>
  <c r="T28"/>
  <c r="R28"/>
  <c r="T27"/>
  <c r="R27"/>
  <c r="T24"/>
  <c r="R24"/>
  <c r="T23"/>
  <c r="R23"/>
  <c r="T20"/>
  <c r="R20"/>
  <c r="T19"/>
  <c r="R19"/>
  <c r="R17"/>
  <c r="T17"/>
  <c r="R18"/>
  <c r="T18"/>
  <c r="T16"/>
  <c r="R16"/>
  <c r="T15"/>
  <c r="T14"/>
  <c r="R14"/>
  <c r="T13"/>
  <c r="R13"/>
  <c r="T12"/>
  <c r="R12"/>
  <c r="T11"/>
  <c r="R11"/>
  <c r="G17" l="1"/>
  <c r="I17" s="1"/>
  <c r="Q17"/>
  <c r="S17" s="1"/>
  <c r="U17" s="1"/>
  <c r="Q30"/>
  <c r="Q28"/>
  <c r="M13"/>
  <c r="O13" s="1"/>
  <c r="M14" s="1"/>
  <c r="Q13"/>
  <c r="S13" s="1"/>
  <c r="U13" s="1"/>
  <c r="Q14"/>
  <c r="Q18"/>
  <c r="M17"/>
  <c r="O17" s="1"/>
  <c r="M18" s="1"/>
  <c r="G23"/>
  <c r="I23" s="1"/>
  <c r="F36" i="20"/>
  <c r="K34" i="11"/>
  <c r="G13"/>
  <c r="J13" s="1"/>
  <c r="G27"/>
  <c r="J27" s="1"/>
  <c r="M29"/>
  <c r="F29" i="20"/>
  <c r="K27" i="11"/>
  <c r="F11" i="20"/>
  <c r="K9" i="11"/>
  <c r="Q29"/>
  <c r="Z27"/>
  <c r="F25" i="20"/>
  <c r="F12"/>
  <c r="F35"/>
  <c r="F34"/>
  <c r="F15"/>
  <c r="F19"/>
  <c r="F21"/>
  <c r="F18"/>
  <c r="F22"/>
  <c r="F24"/>
  <c r="F28"/>
  <c r="F16"/>
  <c r="F37"/>
  <c r="F23"/>
  <c r="Z23" i="11"/>
  <c r="Z15"/>
  <c r="Z11"/>
  <c r="F30" i="20"/>
  <c r="F26"/>
  <c r="F31"/>
  <c r="F33"/>
  <c r="K9"/>
  <c r="L9" s="1"/>
  <c r="F27"/>
  <c r="F32"/>
  <c r="F20"/>
  <c r="F38"/>
  <c r="L11"/>
  <c r="H10"/>
  <c r="K8" i="11" s="1"/>
  <c r="E17" i="20"/>
  <c r="K17" s="1"/>
  <c r="L17" s="1"/>
  <c r="E29"/>
  <c r="K29" s="1"/>
  <c r="L29" s="1"/>
  <c r="E37"/>
  <c r="K37" s="1"/>
  <c r="L37" s="1"/>
  <c r="G10"/>
  <c r="E8" i="11" s="1"/>
  <c r="G13" i="20"/>
  <c r="E11" i="11" s="1"/>
  <c r="H14" i="20"/>
  <c r="H17"/>
  <c r="K15" i="11" s="1"/>
  <c r="E19" i="20"/>
  <c r="K19" s="1"/>
  <c r="L19" s="1"/>
  <c r="E27"/>
  <c r="K27" s="1"/>
  <c r="L27" s="1"/>
  <c r="E31"/>
  <c r="K31" s="1"/>
  <c r="L31" s="1"/>
  <c r="H9"/>
  <c r="K7" i="11" s="1"/>
  <c r="G9" i="20"/>
  <c r="E7" i="11" s="1"/>
  <c r="H13" i="20"/>
  <c r="K11" i="11" s="1"/>
  <c r="E15" i="20"/>
  <c r="K15" s="1"/>
  <c r="L15" s="1"/>
  <c r="E25"/>
  <c r="K25" s="1"/>
  <c r="L25" s="1"/>
  <c r="G17"/>
  <c r="E15" i="11" s="1"/>
  <c r="E21" i="20"/>
  <c r="K21" s="1"/>
  <c r="L21" s="1"/>
  <c r="X27" i="11"/>
  <c r="Z19"/>
  <c r="M24"/>
  <c r="Q24"/>
  <c r="Q16"/>
  <c r="R29"/>
  <c r="X29" s="1"/>
  <c r="Z13"/>
  <c r="Z29"/>
  <c r="G29"/>
  <c r="Q19"/>
  <c r="O19"/>
  <c r="Q20"/>
  <c r="Q23"/>
  <c r="S23" s="1"/>
  <c r="X23"/>
  <c r="P23"/>
  <c r="X13"/>
  <c r="I19"/>
  <c r="X19"/>
  <c r="X17"/>
  <c r="Z17"/>
  <c r="X11"/>
  <c r="T10"/>
  <c r="R10"/>
  <c r="Q10"/>
  <c r="T9"/>
  <c r="R9"/>
  <c r="G9"/>
  <c r="S18" l="1"/>
  <c r="U18" s="1"/>
  <c r="M9"/>
  <c r="O9" s="1"/>
  <c r="P13"/>
  <c r="O29"/>
  <c r="W17"/>
  <c r="P17"/>
  <c r="O18"/>
  <c r="J17"/>
  <c r="O14"/>
  <c r="P29"/>
  <c r="Q9"/>
  <c r="W9" s="1"/>
  <c r="Q11"/>
  <c r="S11" s="1"/>
  <c r="V11" s="1"/>
  <c r="P14"/>
  <c r="I13"/>
  <c r="W29"/>
  <c r="S14"/>
  <c r="U14" s="1"/>
  <c r="W13"/>
  <c r="J23"/>
  <c r="P18"/>
  <c r="G24"/>
  <c r="K37"/>
  <c r="M37" s="1"/>
  <c r="O37" s="1"/>
  <c r="M11"/>
  <c r="G11"/>
  <c r="I27"/>
  <c r="G28" s="1"/>
  <c r="M27"/>
  <c r="Q27"/>
  <c r="Q15"/>
  <c r="W15" s="1"/>
  <c r="E37"/>
  <c r="E38"/>
  <c r="F14" i="20"/>
  <c r="K12" i="11"/>
  <c r="G15"/>
  <c r="Z9"/>
  <c r="W19"/>
  <c r="M20"/>
  <c r="O20" s="1"/>
  <c r="G18"/>
  <c r="G20"/>
  <c r="I20" s="1"/>
  <c r="I9"/>
  <c r="P24"/>
  <c r="E39" i="20"/>
  <c r="F17"/>
  <c r="H40"/>
  <c r="K39"/>
  <c r="L39"/>
  <c r="F10"/>
  <c r="G40"/>
  <c r="G39"/>
  <c r="F9"/>
  <c r="H39"/>
  <c r="F13"/>
  <c r="S29" i="11"/>
  <c r="U29" s="1"/>
  <c r="S30" s="1"/>
  <c r="U30" s="1"/>
  <c r="S19"/>
  <c r="V19" s="1"/>
  <c r="W23"/>
  <c r="O24"/>
  <c r="I29"/>
  <c r="J29"/>
  <c r="V17"/>
  <c r="V13"/>
  <c r="U23"/>
  <c r="S24" s="1"/>
  <c r="V23"/>
  <c r="X9"/>
  <c r="J9"/>
  <c r="P9" l="1"/>
  <c r="V18"/>
  <c r="V14"/>
  <c r="Y17"/>
  <c r="S9"/>
  <c r="U9" s="1"/>
  <c r="S10" s="1"/>
  <c r="U10" s="1"/>
  <c r="G14"/>
  <c r="J14" s="1"/>
  <c r="M10"/>
  <c r="J15"/>
  <c r="J24"/>
  <c r="M30"/>
  <c r="I15"/>
  <c r="I24"/>
  <c r="U11"/>
  <c r="Y29"/>
  <c r="Y13"/>
  <c r="Y19"/>
  <c r="AB19" s="1"/>
  <c r="O27"/>
  <c r="P27"/>
  <c r="Q12"/>
  <c r="W11" s="1"/>
  <c r="O11"/>
  <c r="P11"/>
  <c r="W27"/>
  <c r="S27"/>
  <c r="I11"/>
  <c r="J11"/>
  <c r="F40" i="20"/>
  <c r="K38" i="11"/>
  <c r="M38" s="1"/>
  <c r="O38" s="1"/>
  <c r="Y23"/>
  <c r="AA23" s="1"/>
  <c r="V30"/>
  <c r="P20"/>
  <c r="I28"/>
  <c r="J28"/>
  <c r="J20"/>
  <c r="J18"/>
  <c r="I18"/>
  <c r="U19"/>
  <c r="S20" s="1"/>
  <c r="V20" s="1"/>
  <c r="G10"/>
  <c r="G30"/>
  <c r="F39" i="20"/>
  <c r="V29" i="11"/>
  <c r="Y9"/>
  <c r="U24"/>
  <c r="V24"/>
  <c r="V10" l="1"/>
  <c r="I14"/>
  <c r="AA17"/>
  <c r="V9"/>
  <c r="S12"/>
  <c r="V12" s="1"/>
  <c r="P10"/>
  <c r="P30"/>
  <c r="AB17"/>
  <c r="AA19"/>
  <c r="O10"/>
  <c r="O30"/>
  <c r="AA29"/>
  <c r="AB29"/>
  <c r="G16"/>
  <c r="AB13"/>
  <c r="AA13"/>
  <c r="M12"/>
  <c r="U27"/>
  <c r="S28" s="1"/>
  <c r="V27"/>
  <c r="Y11"/>
  <c r="M28"/>
  <c r="Y27"/>
  <c r="G12"/>
  <c r="AB23"/>
  <c r="U20"/>
  <c r="J10"/>
  <c r="I10"/>
  <c r="AA9"/>
  <c r="I30"/>
  <c r="J30"/>
  <c r="AB9"/>
  <c r="U12" l="1"/>
  <c r="I16"/>
  <c r="J16"/>
  <c r="AB27"/>
  <c r="AA27"/>
  <c r="AA11"/>
  <c r="AB11"/>
  <c r="O12"/>
  <c r="P12"/>
  <c r="O28"/>
  <c r="P28"/>
  <c r="V28"/>
  <c r="U28"/>
  <c r="J12"/>
  <c r="I12"/>
  <c r="J26" i="6"/>
  <c r="G26"/>
  <c r="U29" i="13"/>
  <c r="S29"/>
  <c r="U28"/>
  <c r="AA28" l="1"/>
  <c r="I26" i="6"/>
  <c r="U33" i="13" l="1"/>
  <c r="S33"/>
  <c r="U32"/>
  <c r="U31"/>
  <c r="S31"/>
  <c r="U30"/>
  <c r="AA32" l="1"/>
  <c r="AA30"/>
  <c r="H9" i="6" l="1"/>
  <c r="H8"/>
  <c r="H6"/>
  <c r="U23" i="13"/>
  <c r="S23"/>
  <c r="U22"/>
  <c r="AA22" l="1"/>
  <c r="F23" i="7" l="1"/>
  <c r="I23" s="1"/>
  <c r="B3" i="2"/>
  <c r="B3" i="11"/>
  <c r="B3" i="13"/>
  <c r="B20" i="6"/>
  <c r="B4"/>
  <c r="H23" i="7" l="1"/>
  <c r="G20" i="2"/>
  <c r="J19"/>
  <c r="F12" i="7"/>
  <c r="F24"/>
  <c r="I24" s="1"/>
  <c r="H25" i="6"/>
  <c r="H24"/>
  <c r="F23"/>
  <c r="H23"/>
  <c r="H22"/>
  <c r="F14"/>
  <c r="I20" i="2" l="1"/>
  <c r="J20"/>
  <c r="G22" i="7"/>
  <c r="G21"/>
  <c r="H24"/>
  <c r="G25" l="1"/>
  <c r="E13"/>
  <c r="F13" s="1"/>
  <c r="H13" s="1"/>
  <c r="I12"/>
  <c r="U27" i="13"/>
  <c r="S27"/>
  <c r="U26"/>
  <c r="U25"/>
  <c r="S25"/>
  <c r="U24"/>
  <c r="U21"/>
  <c r="S21"/>
  <c r="U20"/>
  <c r="U19"/>
  <c r="S19"/>
  <c r="U18"/>
  <c r="U17"/>
  <c r="S17"/>
  <c r="U15"/>
  <c r="U14"/>
  <c r="U13"/>
  <c r="S13"/>
  <c r="U12"/>
  <c r="U11"/>
  <c r="S11"/>
  <c r="U10"/>
  <c r="U36" l="1"/>
  <c r="U37"/>
  <c r="AA12"/>
  <c r="AA16"/>
  <c r="AA20"/>
  <c r="AA14"/>
  <c r="AA18"/>
  <c r="AA24"/>
  <c r="H12" i="7"/>
  <c r="AA26" i="13"/>
  <c r="AA10"/>
  <c r="AA36" l="1"/>
  <c r="H12" i="6" l="1"/>
  <c r="F12"/>
  <c r="H11"/>
  <c r="H27"/>
  <c r="G10" i="7" l="1"/>
  <c r="R7" i="11" l="1"/>
  <c r="T7"/>
  <c r="R8"/>
  <c r="T8"/>
  <c r="G21"/>
  <c r="M21"/>
  <c r="R21"/>
  <c r="T21"/>
  <c r="R22"/>
  <c r="T22"/>
  <c r="G25"/>
  <c r="M25"/>
  <c r="Q25"/>
  <c r="R25"/>
  <c r="T25"/>
  <c r="Q26"/>
  <c r="R26"/>
  <c r="T26"/>
  <c r="G31"/>
  <c r="M31"/>
  <c r="R31"/>
  <c r="T31"/>
  <c r="R32"/>
  <c r="T32"/>
  <c r="G33"/>
  <c r="M33"/>
  <c r="Q33"/>
  <c r="R33"/>
  <c r="T33"/>
  <c r="Q34"/>
  <c r="R34"/>
  <c r="T34"/>
  <c r="G35"/>
  <c r="M35"/>
  <c r="Q35"/>
  <c r="R35"/>
  <c r="T35"/>
  <c r="Q36"/>
  <c r="R36"/>
  <c r="T36"/>
  <c r="T38" l="1"/>
  <c r="H14" i="6" s="1"/>
  <c r="O35" i="11"/>
  <c r="P33"/>
  <c r="P31"/>
  <c r="O25"/>
  <c r="P25"/>
  <c r="O21"/>
  <c r="I35"/>
  <c r="J33"/>
  <c r="R38"/>
  <c r="I21"/>
  <c r="J25"/>
  <c r="T37"/>
  <c r="H13" i="6" s="1"/>
  <c r="X21" i="11"/>
  <c r="Q32"/>
  <c r="G7"/>
  <c r="E14" i="6"/>
  <c r="E12"/>
  <c r="M7" i="11"/>
  <c r="P7" s="1"/>
  <c r="X25"/>
  <c r="S33"/>
  <c r="V33" s="1"/>
  <c r="Q8"/>
  <c r="S35"/>
  <c r="U35" s="1"/>
  <c r="S36" s="1"/>
  <c r="Z31"/>
  <c r="O31"/>
  <c r="I31"/>
  <c r="I25"/>
  <c r="Q7"/>
  <c r="J35"/>
  <c r="Q31"/>
  <c r="P35"/>
  <c r="X7"/>
  <c r="S25"/>
  <c r="W25"/>
  <c r="Z25"/>
  <c r="X35"/>
  <c r="W33"/>
  <c r="O33"/>
  <c r="Q22"/>
  <c r="P21"/>
  <c r="Z35"/>
  <c r="X33"/>
  <c r="I33"/>
  <c r="Q21"/>
  <c r="W35"/>
  <c r="X31"/>
  <c r="J21"/>
  <c r="Z21"/>
  <c r="Z7"/>
  <c r="Z33"/>
  <c r="Q37" l="1"/>
  <c r="Q38"/>
  <c r="M36"/>
  <c r="M34"/>
  <c r="O34" s="1"/>
  <c r="M26"/>
  <c r="M22"/>
  <c r="P22" s="1"/>
  <c r="O7"/>
  <c r="G36"/>
  <c r="G34"/>
  <c r="I34" s="1"/>
  <c r="G22"/>
  <c r="I7"/>
  <c r="G8" s="1"/>
  <c r="G37"/>
  <c r="I37" s="1"/>
  <c r="M32"/>
  <c r="G32"/>
  <c r="U25"/>
  <c r="S26" s="1"/>
  <c r="U26" s="1"/>
  <c r="V25"/>
  <c r="G26"/>
  <c r="Z37"/>
  <c r="W31"/>
  <c r="J7"/>
  <c r="G11" i="7"/>
  <c r="E13" i="6"/>
  <c r="E11"/>
  <c r="U33" i="11"/>
  <c r="S34" s="1"/>
  <c r="V34" s="1"/>
  <c r="Y25"/>
  <c r="V35"/>
  <c r="V36"/>
  <c r="U36"/>
  <c r="W7"/>
  <c r="S7"/>
  <c r="S31"/>
  <c r="Y35"/>
  <c r="S21"/>
  <c r="W21"/>
  <c r="Y33"/>
  <c r="AU7" l="1"/>
  <c r="W37"/>
  <c r="M8"/>
  <c r="P8" s="1"/>
  <c r="P36"/>
  <c r="O36"/>
  <c r="P34"/>
  <c r="O32"/>
  <c r="P32"/>
  <c r="P26"/>
  <c r="O26"/>
  <c r="O22"/>
  <c r="J36"/>
  <c r="I36"/>
  <c r="AA35"/>
  <c r="J34"/>
  <c r="AA33"/>
  <c r="AB33"/>
  <c r="I32"/>
  <c r="J32"/>
  <c r="J31"/>
  <c r="J26"/>
  <c r="I22"/>
  <c r="J22"/>
  <c r="J8"/>
  <c r="I8"/>
  <c r="V26"/>
  <c r="AA25"/>
  <c r="AB25"/>
  <c r="I26"/>
  <c r="G38"/>
  <c r="I38" s="1"/>
  <c r="U34"/>
  <c r="Y31"/>
  <c r="R15"/>
  <c r="R37" s="1"/>
  <c r="M15"/>
  <c r="D10" i="7"/>
  <c r="D11"/>
  <c r="Y7" i="11"/>
  <c r="U7"/>
  <c r="S8" s="1"/>
  <c r="V7"/>
  <c r="U31"/>
  <c r="S32" s="1"/>
  <c r="U21"/>
  <c r="V21"/>
  <c r="Y21"/>
  <c r="AB35"/>
  <c r="O8" l="1"/>
  <c r="AA31"/>
  <c r="AB31"/>
  <c r="X15"/>
  <c r="S15"/>
  <c r="O15"/>
  <c r="P15"/>
  <c r="AA7"/>
  <c r="AB7"/>
  <c r="V8"/>
  <c r="U8"/>
  <c r="U32"/>
  <c r="AA21"/>
  <c r="AB21"/>
  <c r="S22"/>
  <c r="Y15" l="1"/>
  <c r="X37"/>
  <c r="M16"/>
  <c r="U15"/>
  <c r="S16" s="1"/>
  <c r="V15"/>
  <c r="U22"/>
  <c r="V22"/>
  <c r="AA15" l="1"/>
  <c r="O16"/>
  <c r="AB15"/>
  <c r="Y37"/>
  <c r="P16"/>
  <c r="U16"/>
  <c r="V16"/>
  <c r="F11" i="6"/>
  <c r="S37" i="11"/>
  <c r="F13" i="6"/>
  <c r="AA37" i="11" l="1"/>
  <c r="P37"/>
  <c r="E11" i="7"/>
  <c r="F11" s="1"/>
  <c r="G13" i="6"/>
  <c r="E10" i="7"/>
  <c r="G11" i="6"/>
  <c r="U37" i="11"/>
  <c r="S38" s="1"/>
  <c r="V37"/>
  <c r="J37"/>
  <c r="U38" l="1"/>
  <c r="V38"/>
  <c r="J13" i="6"/>
  <c r="I13"/>
  <c r="G14" s="1"/>
  <c r="P38" i="11"/>
  <c r="J38"/>
  <c r="F10" i="7"/>
  <c r="I11" i="6"/>
  <c r="G12" s="1"/>
  <c r="J11"/>
  <c r="AB37" i="11"/>
  <c r="H11" i="7"/>
  <c r="I11"/>
  <c r="E9"/>
  <c r="H7" i="6"/>
  <c r="H15" s="1"/>
  <c r="F6"/>
  <c r="F7"/>
  <c r="F8"/>
  <c r="F9"/>
  <c r="E9"/>
  <c r="E8"/>
  <c r="E7"/>
  <c r="E6"/>
  <c r="F15" l="1"/>
  <c r="E15"/>
  <c r="J12"/>
  <c r="I12"/>
  <c r="I10" i="7"/>
  <c r="H10"/>
  <c r="I14" i="6"/>
  <c r="J14"/>
  <c r="G8"/>
  <c r="G6"/>
  <c r="E7" i="7"/>
  <c r="G7"/>
  <c r="D7"/>
  <c r="D8"/>
  <c r="E8"/>
  <c r="G8"/>
  <c r="G14" s="1"/>
  <c r="D14" l="1"/>
  <c r="G15" i="6"/>
  <c r="I15" s="1"/>
  <c r="E14" i="7"/>
  <c r="F9"/>
  <c r="P17" i="2"/>
  <c r="N17"/>
  <c r="M17"/>
  <c r="G17"/>
  <c r="P11"/>
  <c r="N11"/>
  <c r="M11"/>
  <c r="G11"/>
  <c r="P9"/>
  <c r="M9"/>
  <c r="N9"/>
  <c r="P15"/>
  <c r="N15"/>
  <c r="M15"/>
  <c r="G15"/>
  <c r="P13"/>
  <c r="N13"/>
  <c r="M13"/>
  <c r="G13"/>
  <c r="P7"/>
  <c r="N7"/>
  <c r="M7"/>
  <c r="G7"/>
  <c r="J15" i="6" l="1"/>
  <c r="O19" i="2"/>
  <c r="P19"/>
  <c r="J17"/>
  <c r="J7"/>
  <c r="I13"/>
  <c r="I15"/>
  <c r="J11"/>
  <c r="I7"/>
  <c r="F14" i="7"/>
  <c r="H14" s="1"/>
  <c r="O7" i="2"/>
  <c r="Q7" s="1"/>
  <c r="O11"/>
  <c r="Q11" s="1"/>
  <c r="O17"/>
  <c r="R17" s="1"/>
  <c r="I17"/>
  <c r="I11"/>
  <c r="O13"/>
  <c r="R13" s="1"/>
  <c r="O15"/>
  <c r="Q15" s="1"/>
  <c r="I6" i="6"/>
  <c r="G7" s="1"/>
  <c r="F8" i="7"/>
  <c r="H8" s="1"/>
  <c r="I8" i="6"/>
  <c r="G9" s="1"/>
  <c r="H9" i="7"/>
  <c r="J6" i="6"/>
  <c r="J8"/>
  <c r="F7" i="7"/>
  <c r="H7" s="1"/>
  <c r="I9"/>
  <c r="O9" i="2"/>
  <c r="Q9" s="1"/>
  <c r="J13"/>
  <c r="J15"/>
  <c r="G9"/>
  <c r="Q19" l="1"/>
  <c r="R19"/>
  <c r="G18"/>
  <c r="I18" s="1"/>
  <c r="G14"/>
  <c r="G8"/>
  <c r="G16"/>
  <c r="G12"/>
  <c r="J12" s="1"/>
  <c r="Q17"/>
  <c r="I14" i="7"/>
  <c r="R7" i="2"/>
  <c r="I7" i="6"/>
  <c r="J7"/>
  <c r="R11" i="2"/>
  <c r="Q13"/>
  <c r="R15"/>
  <c r="I8" i="7"/>
  <c r="I9" i="6"/>
  <c r="G10" s="1"/>
  <c r="J9"/>
  <c r="I7" i="7"/>
  <c r="J9" i="2"/>
  <c r="I9"/>
  <c r="R9"/>
  <c r="I10" i="6" l="1"/>
  <c r="J10"/>
  <c r="I12" i="2"/>
  <c r="I8"/>
  <c r="J8"/>
  <c r="J18"/>
  <c r="G10"/>
  <c r="J16"/>
  <c r="I16"/>
  <c r="J14"/>
  <c r="I14"/>
  <c r="B3" i="6"/>
  <c r="J10" i="2" l="1"/>
  <c r="I10"/>
  <c r="R35" i="13" l="1"/>
  <c r="R30" l="1"/>
  <c r="R33" l="1"/>
  <c r="R29"/>
  <c r="R31"/>
  <c r="X30" s="1"/>
  <c r="R34"/>
  <c r="X34" s="1"/>
  <c r="R32"/>
  <c r="E36"/>
  <c r="R8" l="1"/>
  <c r="X32"/>
  <c r="R27"/>
  <c r="S12"/>
  <c r="Y12" s="1"/>
  <c r="E25" i="6" l="1"/>
  <c r="R12" i="13"/>
  <c r="R23"/>
  <c r="R13"/>
  <c r="R9"/>
  <c r="X8" s="1"/>
  <c r="E23" i="6"/>
  <c r="R21" i="13"/>
  <c r="R11"/>
  <c r="H12"/>
  <c r="K12" s="1"/>
  <c r="R17"/>
  <c r="R15"/>
  <c r="R19"/>
  <c r="R25"/>
  <c r="R28"/>
  <c r="X28" s="1"/>
  <c r="E22" i="6"/>
  <c r="S30" i="13"/>
  <c r="H30"/>
  <c r="N30"/>
  <c r="N32"/>
  <c r="S32"/>
  <c r="H32"/>
  <c r="N34"/>
  <c r="S34"/>
  <c r="H34"/>
  <c r="N12"/>
  <c r="R37" l="1"/>
  <c r="X12"/>
  <c r="J12"/>
  <c r="H13" s="1"/>
  <c r="N28"/>
  <c r="T12"/>
  <c r="W12" s="1"/>
  <c r="S28"/>
  <c r="T28" s="1"/>
  <c r="H28"/>
  <c r="R26"/>
  <c r="X26" s="1"/>
  <c r="R24"/>
  <c r="X24" s="1"/>
  <c r="R20"/>
  <c r="R22"/>
  <c r="X22" s="1"/>
  <c r="R16"/>
  <c r="X16" s="1"/>
  <c r="R18"/>
  <c r="D21" i="7"/>
  <c r="P30" i="13"/>
  <c r="Y30"/>
  <c r="T30"/>
  <c r="P32"/>
  <c r="J30"/>
  <c r="Y32"/>
  <c r="T32"/>
  <c r="J32"/>
  <c r="P12"/>
  <c r="Q12"/>
  <c r="J34"/>
  <c r="P34"/>
  <c r="Y34"/>
  <c r="T34"/>
  <c r="H8"/>
  <c r="Z12" l="1"/>
  <c r="AC12" s="1"/>
  <c r="V12"/>
  <c r="T13" s="1"/>
  <c r="V13" s="1"/>
  <c r="Y28"/>
  <c r="P28"/>
  <c r="J28"/>
  <c r="H29" s="1"/>
  <c r="N26"/>
  <c r="S20"/>
  <c r="N20"/>
  <c r="X20"/>
  <c r="N16"/>
  <c r="S18"/>
  <c r="X18"/>
  <c r="N18"/>
  <c r="H33"/>
  <c r="H31"/>
  <c r="Z32"/>
  <c r="AC32" s="1"/>
  <c r="V32"/>
  <c r="T33" s="1"/>
  <c r="N33"/>
  <c r="Z30"/>
  <c r="V30"/>
  <c r="T31" s="1"/>
  <c r="V28"/>
  <c r="T29" s="1"/>
  <c r="N31"/>
  <c r="T8"/>
  <c r="V34"/>
  <c r="T35" s="1"/>
  <c r="N8"/>
  <c r="N35"/>
  <c r="J13"/>
  <c r="K13"/>
  <c r="H35"/>
  <c r="N13"/>
  <c r="K8"/>
  <c r="J8"/>
  <c r="Z34"/>
  <c r="AB12" l="1"/>
  <c r="W13"/>
  <c r="Z28"/>
  <c r="N29"/>
  <c r="P26"/>
  <c r="Q26"/>
  <c r="H26"/>
  <c r="S26"/>
  <c r="N22"/>
  <c r="Y20"/>
  <c r="T20"/>
  <c r="Q20"/>
  <c r="P20"/>
  <c r="H20"/>
  <c r="H22"/>
  <c r="S22"/>
  <c r="Y18"/>
  <c r="T18"/>
  <c r="R14"/>
  <c r="N14"/>
  <c r="H16"/>
  <c r="S16"/>
  <c r="P18"/>
  <c r="Q18"/>
  <c r="H18"/>
  <c r="Q16"/>
  <c r="P16"/>
  <c r="AB30"/>
  <c r="J29"/>
  <c r="P31"/>
  <c r="P33"/>
  <c r="J31"/>
  <c r="J33"/>
  <c r="V31"/>
  <c r="AB32"/>
  <c r="V29"/>
  <c r="V33"/>
  <c r="J35"/>
  <c r="H9"/>
  <c r="P35"/>
  <c r="Q8"/>
  <c r="P8"/>
  <c r="V35"/>
  <c r="P13"/>
  <c r="Q13"/>
  <c r="W8"/>
  <c r="V8"/>
  <c r="AB34"/>
  <c r="AC28" l="1"/>
  <c r="AB28"/>
  <c r="P29"/>
  <c r="P22"/>
  <c r="N27"/>
  <c r="T26"/>
  <c r="Y26"/>
  <c r="J26"/>
  <c r="K26"/>
  <c r="W20"/>
  <c r="V20"/>
  <c r="T21" s="1"/>
  <c r="Z20"/>
  <c r="K20"/>
  <c r="J20"/>
  <c r="N21"/>
  <c r="J22"/>
  <c r="Y22"/>
  <c r="T22"/>
  <c r="V22" s="1"/>
  <c r="T23" s="1"/>
  <c r="V23" s="1"/>
  <c r="Z18"/>
  <c r="AB18" s="1"/>
  <c r="P14"/>
  <c r="Q14"/>
  <c r="K16"/>
  <c r="J16"/>
  <c r="W18"/>
  <c r="V18"/>
  <c r="T19" s="1"/>
  <c r="N17"/>
  <c r="J18"/>
  <c r="K18"/>
  <c r="N19"/>
  <c r="T16"/>
  <c r="Y16"/>
  <c r="X14"/>
  <c r="K9"/>
  <c r="J9"/>
  <c r="Q27" l="1"/>
  <c r="N23"/>
  <c r="P23" s="1"/>
  <c r="P27"/>
  <c r="H27"/>
  <c r="W26"/>
  <c r="V26"/>
  <c r="T27" s="1"/>
  <c r="Z26"/>
  <c r="P21"/>
  <c r="Q21"/>
  <c r="W21"/>
  <c r="V21"/>
  <c r="AB20"/>
  <c r="AC20"/>
  <c r="H21"/>
  <c r="H23"/>
  <c r="Z22"/>
  <c r="AC18"/>
  <c r="Z16"/>
  <c r="H14"/>
  <c r="Q17"/>
  <c r="P17"/>
  <c r="P19"/>
  <c r="Q19"/>
  <c r="H19"/>
  <c r="W16"/>
  <c r="V16"/>
  <c r="T17" s="1"/>
  <c r="V19"/>
  <c r="W19"/>
  <c r="H17"/>
  <c r="S14"/>
  <c r="H24"/>
  <c r="K27" l="1"/>
  <c r="J27"/>
  <c r="AB26"/>
  <c r="AC26"/>
  <c r="V27"/>
  <c r="W27"/>
  <c r="J21"/>
  <c r="K21"/>
  <c r="J23"/>
  <c r="AB22"/>
  <c r="W17"/>
  <c r="V17"/>
  <c r="T14"/>
  <c r="J19"/>
  <c r="K19"/>
  <c r="AB16"/>
  <c r="AC16"/>
  <c r="K17"/>
  <c r="J17"/>
  <c r="K14"/>
  <c r="J14"/>
  <c r="S24"/>
  <c r="J24"/>
  <c r="K24"/>
  <c r="H15" l="1"/>
  <c r="W14"/>
  <c r="V14"/>
  <c r="N24"/>
  <c r="Q24" s="1"/>
  <c r="Y24"/>
  <c r="T24"/>
  <c r="H25"/>
  <c r="K15" l="1"/>
  <c r="J15"/>
  <c r="P24"/>
  <c r="V24"/>
  <c r="T25" s="1"/>
  <c r="W24"/>
  <c r="J25"/>
  <c r="K25"/>
  <c r="Z24"/>
  <c r="N25" l="1"/>
  <c r="Q25" s="1"/>
  <c r="AB24"/>
  <c r="AC24"/>
  <c r="W25"/>
  <c r="V25"/>
  <c r="P25" l="1"/>
  <c r="R10" l="1"/>
  <c r="R36" s="1"/>
  <c r="N10" l="1"/>
  <c r="Q10" s="1"/>
  <c r="E24" i="6"/>
  <c r="X10" i="13"/>
  <c r="X36" s="1"/>
  <c r="P10" l="1"/>
  <c r="H10"/>
  <c r="S10"/>
  <c r="S36" s="1"/>
  <c r="E27" i="6"/>
  <c r="D22" i="7"/>
  <c r="N11" i="13" l="1"/>
  <c r="P11" s="1"/>
  <c r="Y10"/>
  <c r="T10"/>
  <c r="D25" i="7"/>
  <c r="J10" i="13"/>
  <c r="K10"/>
  <c r="Q11" l="1"/>
  <c r="T36"/>
  <c r="H11"/>
  <c r="H36"/>
  <c r="F22" i="6"/>
  <c r="Z10" i="13"/>
  <c r="W10"/>
  <c r="V10"/>
  <c r="T11" s="1"/>
  <c r="K11" l="1"/>
  <c r="J11"/>
  <c r="AC10"/>
  <c r="AB10"/>
  <c r="J36"/>
  <c r="H37" s="1"/>
  <c r="J37" s="1"/>
  <c r="K36"/>
  <c r="F24" i="6"/>
  <c r="N36" i="13"/>
  <c r="W36"/>
  <c r="V36"/>
  <c r="W11"/>
  <c r="V11"/>
  <c r="G22" i="6"/>
  <c r="E21" i="7"/>
  <c r="G24" i="6" l="1"/>
  <c r="J22"/>
  <c r="I22"/>
  <c r="G23" s="1"/>
  <c r="Q36" i="13"/>
  <c r="P36"/>
  <c r="N37" s="1"/>
  <c r="K37"/>
  <c r="F21" i="7"/>
  <c r="H21" l="1"/>
  <c r="I21"/>
  <c r="I23" i="6"/>
  <c r="J23"/>
  <c r="I24"/>
  <c r="J24"/>
  <c r="S9" i="13" l="1"/>
  <c r="N9"/>
  <c r="Y8" l="1"/>
  <c r="T9"/>
  <c r="Q9"/>
  <c r="P9"/>
  <c r="Z8" l="1"/>
  <c r="W9"/>
  <c r="V9"/>
  <c r="AC8" l="1"/>
  <c r="AB8"/>
  <c r="S15" l="1"/>
  <c r="S37" s="1"/>
  <c r="N15"/>
  <c r="P15" l="1"/>
  <c r="Q15"/>
  <c r="Y14"/>
  <c r="T15"/>
  <c r="T37"/>
  <c r="F25" i="6"/>
  <c r="Q37" i="13" l="1"/>
  <c r="P37"/>
  <c r="F27" i="6"/>
  <c r="G27" s="1"/>
  <c r="E22" i="7"/>
  <c r="G25" i="6"/>
  <c r="Z14" i="13"/>
  <c r="Y36"/>
  <c r="V15"/>
  <c r="W15"/>
  <c r="W37"/>
  <c r="V37"/>
  <c r="I25" i="6" l="1"/>
  <c r="J25"/>
  <c r="I27"/>
  <c r="J27"/>
  <c r="AC14" i="13"/>
  <c r="AB14"/>
  <c r="Z36"/>
  <c r="F22" i="7"/>
  <c r="E25"/>
  <c r="F25" s="1"/>
  <c r="I22" l="1"/>
  <c r="H22"/>
  <c r="I25"/>
  <c r="H25"/>
  <c r="AB36" i="13"/>
  <c r="AC36"/>
</calcChain>
</file>

<file path=xl/comments1.xml><?xml version="1.0" encoding="utf-8"?>
<comments xmlns="http://schemas.openxmlformats.org/spreadsheetml/2006/main">
  <authors>
    <author>rgarcia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83,843 ton a BRASPESCA.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EMB TERESITA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rgarcia:
R.Ex.N° 752, Cesion  Artesanal PUNTA TALCA de 87,843 ton a BRASPESCA.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<sst xmlns="http://schemas.openxmlformats.org/spreadsheetml/2006/main" count="354" uniqueCount="157">
  <si>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</si>
  <si>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</si>
  <si>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</si>
  <si>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</si>
  <si>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</si>
  <si>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</si>
  <si>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</si>
  <si>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</si>
  <si>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</si>
  <si>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Oct-Dic</t>
  </si>
  <si>
    <t>III Región de Atacama</t>
  </si>
  <si>
    <t>Mar-Ago</t>
  </si>
  <si>
    <t>ANUAL</t>
  </si>
  <si>
    <t>Cuota anual asignada</t>
  </si>
  <si>
    <t xml:space="preserve">IV Región de Coquimbo 
</t>
  </si>
  <si>
    <t>XV A XII REGIONES</t>
  </si>
  <si>
    <t>VEDA LANGOSTINO AMARILLO</t>
  </si>
  <si>
    <t>01 ENERO AL 28-29 FEBRERO</t>
  </si>
  <si>
    <t>Artesanal III</t>
  </si>
  <si>
    <t>Imprevisto</t>
  </si>
  <si>
    <t>Mar-Ago.</t>
  </si>
  <si>
    <t>QUINTERO S.A. PESQ.</t>
  </si>
  <si>
    <t>Saldo (t)</t>
  </si>
  <si>
    <t>Consumo %</t>
  </si>
  <si>
    <t xml:space="preserve">Cuota Asignada </t>
  </si>
  <si>
    <t>Consumo%</t>
  </si>
  <si>
    <t xml:space="preserve">Periodo </t>
  </si>
  <si>
    <t xml:space="preserve">Unidad de pesquería </t>
  </si>
  <si>
    <t>MOROZIN YURECIC MARIO</t>
  </si>
  <si>
    <t>Langostino Amarillo III-IV Región</t>
  </si>
  <si>
    <t>Cuota Asignada  III-IV</t>
  </si>
  <si>
    <t>Marzo -Agosto</t>
  </si>
  <si>
    <t>Octubre  - Diciembre</t>
  </si>
  <si>
    <t xml:space="preserve"> Artesanal III</t>
  </si>
  <si>
    <t>Artesanal IV (RAE)</t>
  </si>
  <si>
    <t>Fauna Acompañante</t>
  </si>
  <si>
    <t>Fauna Acompañante III-IV</t>
  </si>
  <si>
    <t>U Pesquería</t>
  </si>
  <si>
    <t xml:space="preserve">Fracionamientos </t>
  </si>
  <si>
    <t>Total Langostino amarillo III-IV</t>
  </si>
  <si>
    <t>Total Langostino amarillo V-VIII</t>
  </si>
  <si>
    <t>Control Cuota IV Región (t)</t>
  </si>
  <si>
    <t>Control Cuota III Región (t)</t>
  </si>
  <si>
    <t xml:space="preserve"> Resumen periodo Control Cuota Langostino Amarillo III-IV</t>
  </si>
  <si>
    <t>Resumen Anual Control Cuota Langostino Amarillo III-IV</t>
  </si>
  <si>
    <t>Captura III-IV</t>
  </si>
  <si>
    <t xml:space="preserve">Cuota Total </t>
  </si>
  <si>
    <t xml:space="preserve">Captura </t>
  </si>
  <si>
    <t>*Traspaso, Cesión, Arriendo etc.</t>
  </si>
  <si>
    <t>Armador Asignatario</t>
  </si>
  <si>
    <t>Cuota Asignada</t>
  </si>
  <si>
    <t>Traspaso, Cesión, Arriendoetc.</t>
  </si>
  <si>
    <t>Traspaso, Cesión, Arriendo etc.</t>
  </si>
  <si>
    <t>Asignatario de Cuota</t>
  </si>
  <si>
    <t>Cuota Asignada  V-VIII</t>
  </si>
  <si>
    <t>Industrial Ltp III</t>
  </si>
  <si>
    <t>Industrial Ltp IV</t>
  </si>
  <si>
    <t>Industrial Ltp  III</t>
  </si>
  <si>
    <t>Industrial Ltp IV (con descuento Art 16°</t>
  </si>
  <si>
    <t>Industrial Pep V-VI</t>
  </si>
  <si>
    <t>Industrial Pep VII-VIII</t>
  </si>
  <si>
    <t>LANGOSTINO AMARILLO PEP (V-VIII)</t>
  </si>
  <si>
    <t>Resumen periodo Control Cuota Langostino Amarillo PEP V-VIII</t>
  </si>
  <si>
    <t>Captura V-VIII</t>
  </si>
  <si>
    <t>Traspaso, Cesión, Arriendo etc</t>
  </si>
  <si>
    <t>Asignatario</t>
  </si>
  <si>
    <t xml:space="preserve">Control Cuota Artesanal Langostino Amarillo III-IV </t>
  </si>
  <si>
    <t>Resumen Anual Control Cuota Artesanal Langostino Amarillo III-IV</t>
  </si>
  <si>
    <t>Cuota anual licitada</t>
  </si>
  <si>
    <t>Langostino amarillo V-VIII</t>
  </si>
  <si>
    <t>Langostino amarillo III-IV</t>
  </si>
  <si>
    <t>Licitada Pep VII-VIII</t>
  </si>
  <si>
    <t>Licitada Pep V-VI</t>
  </si>
  <si>
    <t xml:space="preserve">U. Pesquería </t>
  </si>
  <si>
    <t>Movimiento</t>
  </si>
  <si>
    <t>Artesanal IV</t>
  </si>
  <si>
    <t xml:space="preserve">RESUMEN ANUAL DE CONSUMO DE CUOTA LANGOSTINO AMARILLO V-VIII. AÑO 2018
</t>
  </si>
  <si>
    <t xml:space="preserve">Notas: </t>
  </si>
  <si>
    <t>La información contenida en los consumos y movimientos, según corresponda, es preliminar,  sujeta a validación, verificación de consistencia</t>
  </si>
  <si>
    <t>Control Cuota VII-VIII Región (t) (zonas; 113-114)</t>
  </si>
  <si>
    <t>Control Cuota V-VI Región (t) (zonas 111-112)</t>
  </si>
  <si>
    <t>Total Cuota Global Langostino Amarillo III - IV</t>
  </si>
  <si>
    <t>Total Cuota Global Langostino Amarillo V - VIII</t>
  </si>
  <si>
    <t xml:space="preserve">Fraccionamientos </t>
  </si>
  <si>
    <t>IV</t>
  </si>
  <si>
    <t xml:space="preserve">Fauna Acompañante V-VI </t>
  </si>
  <si>
    <t>Nombre</t>
  </si>
  <si>
    <t>ANTARTIC SEAFOOD S.A.</t>
  </si>
  <si>
    <t>BAYCIC BAYCIC MARIA</t>
  </si>
  <si>
    <t>BRACPESCA S.A.</t>
  </si>
  <si>
    <t>GRIMAR S.A. PESQ.</t>
  </si>
  <si>
    <t>ISLADAMAS S.A. PESQ.</t>
  </si>
  <si>
    <t>MOROZIN BAYCIC MARIA ANA</t>
  </si>
  <si>
    <t>RUBIO Y MAUAD LTDA.</t>
  </si>
  <si>
    <t>SUNRISE S.A. PESQ.</t>
  </si>
  <si>
    <t>ENFEMAR LTDA. SOC. PESQ.</t>
  </si>
  <si>
    <t>ALIMENTOS ALSAN LTDA</t>
  </si>
  <si>
    <t>SOC. DISTRIBUIDORA DE PRODUCTOS DEL MAR LTDA.</t>
  </si>
  <si>
    <t>DA VENEZIA RETAMALES ANTONIO</t>
  </si>
  <si>
    <t>NICANOR GONZALEZ VEGA</t>
  </si>
  <si>
    <t>IIII</t>
  </si>
  <si>
    <t>Total periodo</t>
  </si>
  <si>
    <t>Marzo-Agosto</t>
  </si>
  <si>
    <t>Octubre-Dic</t>
  </si>
  <si>
    <t xml:space="preserve">Total </t>
  </si>
  <si>
    <t>Coeficiente inicial</t>
  </si>
  <si>
    <t>Cuota Inicial</t>
  </si>
  <si>
    <t>Cuota final</t>
  </si>
  <si>
    <t>TOTAL ASIGNATARIOS LTP</t>
  </si>
  <si>
    <t>REGION</t>
  </si>
  <si>
    <t>PUNTA TALCA</t>
  </si>
  <si>
    <t>TRAUWUN I</t>
  </si>
  <si>
    <t>CHAFIC I</t>
  </si>
  <si>
    <t>BOLSON RESIDUAL</t>
  </si>
  <si>
    <t>V-VI</t>
  </si>
  <si>
    <t>VII-VIII</t>
  </si>
  <si>
    <t>TOTAL ASIGNATARIOS PEP</t>
  </si>
  <si>
    <t>-</t>
  </si>
  <si>
    <t>Coeficiente final</t>
  </si>
  <si>
    <t>Total 673/09.11.17</t>
  </si>
  <si>
    <t>% Licitado/100</t>
  </si>
  <si>
    <t>ISLA TABON</t>
  </si>
  <si>
    <t>Investigación V-VIII</t>
  </si>
  <si>
    <t>Investigación III-IV</t>
  </si>
  <si>
    <t>Fauna Acompañante V-VIII</t>
  </si>
  <si>
    <t>La Vedas del langostino Amarillo;  01 enero al 28 febrero  y de 01 al 30 de septiembre</t>
  </si>
  <si>
    <t>Total D.Ex N° 526-2018</t>
  </si>
  <si>
    <t>Ltp Lang Amarillo 2019</t>
  </si>
  <si>
    <t>Total D.Ex N° 457-2018</t>
  </si>
  <si>
    <t>LANGOSTINO AMARILLO PEP (V-VIII) 2019</t>
  </si>
  <si>
    <t>CONTROL DE CUOTA LANGOSTINO AMARILLO PEP V-VIII POR TITULAR. AÑO 2019</t>
  </si>
  <si>
    <t>CONTROL DE CUOTA LANGOSTINO AMARILLO LTP III-IV. AÑO 2019</t>
  </si>
  <si>
    <t xml:space="preserve">RESUMEN ANUAL DE CONSUMO DE CUOTA LANGOSTINO AMARILLO III-IV. AÑO 2019
</t>
  </si>
  <si>
    <t xml:space="preserve">RESUMEN POR PERIODO DE CONSUMO DE CUOTA LANGOSTINO AMARILLO III-IV. AÑO 2019
</t>
  </si>
  <si>
    <t xml:space="preserve">RESUMEN POR PERIODO DE CONSUMO DE CUOTA LANGOSTINO AMARILLO LICITADA V-VIII. AÑO 2019
</t>
  </si>
  <si>
    <t xml:space="preserve">CONTROL DE CUOTA LANGOSTINO AMARILLO III-IV ARTESANAL. AÑO 2019
</t>
  </si>
  <si>
    <t>Distribucion asignaciones</t>
  </si>
  <si>
    <t xml:space="preserve"> Asignacion V-VI</t>
  </si>
  <si>
    <t>Asignación VII-VIII</t>
  </si>
  <si>
    <t>Transaccion V-VI</t>
  </si>
  <si>
    <t>Transaccion VII-VIII</t>
  </si>
  <si>
    <t>TOTAL MONTO TRANSADO</t>
  </si>
  <si>
    <t>Total  periodo</t>
  </si>
  <si>
    <t>*Movimientos</t>
  </si>
  <si>
    <t>Captura Anual</t>
  </si>
  <si>
    <t>Saldo anual</t>
  </si>
  <si>
    <t>Resumen Anual Control Cuota Langostino amarillo PEP V-VIII (tons)</t>
  </si>
  <si>
    <t>Cuota año</t>
  </si>
  <si>
    <t>Totales</t>
  </si>
  <si>
    <t>TOTAL ASIGNATARIOS ARTESANALES</t>
  </si>
  <si>
    <t xml:space="preserve">Langostino amarillo III-IV </t>
  </si>
  <si>
    <t xml:space="preserve">Langostino amarillo PEP V-VIII  </t>
  </si>
  <si>
    <t>Dec Ex N° 526 de 21-12-2018</t>
  </si>
  <si>
    <t>TOTAL FAUNA ACOMPAÑANTE</t>
  </si>
  <si>
    <t>Ene-Dic</t>
  </si>
  <si>
    <t>n/a</t>
  </si>
  <si>
    <t>FUP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</si>
</sst>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#,##0.000"/>
    <numFmt numFmtId="171" formatCode="0.000_ ;[Red]\-0.000\ "/>
    <numFmt numFmtId="172" formatCode="0.0000000"/>
    <numFmt numFmtId="173" formatCode="0.0000"/>
    <numFmt numFmtId="174" formatCode="0_ ;[Red]\-0\ "/>
    <numFmt numFmtId="175" formatCode="0.0000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3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</font>
    <font>
      <u/>
      <sz val="8.15"/>
      <color theme="10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Verdana"/>
      <family val="2"/>
    </font>
    <font>
      <sz val="11"/>
      <color theme="9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rgb="FF5D5D5D"/>
      <name val="Tahom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sz val="9"/>
      <name val="Verdana"/>
      <family val="2"/>
    </font>
  </fonts>
  <fills count="5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C8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E3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BD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098">
    <xf numFmtId="0" fontId="0" fillId="0" borderId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2" fillId="18" borderId="24" applyNumberForma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0" fontId="13" fillId="19" borderId="25" applyNumberFormat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16" fillId="9" borderId="27" applyNumberFormat="0" applyAlignment="0" applyProtection="0"/>
    <xf numFmtId="0" fontId="7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0" fontId="18" fillId="25" borderId="28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3" fillId="18" borderId="2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15" fillId="0" borderId="3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29" fillId="0" borderId="33" applyNumberFormat="0" applyFill="0" applyAlignment="0" applyProtection="0"/>
    <xf numFmtId="0" fontId="31" fillId="0" borderId="0"/>
    <xf numFmtId="0" fontId="3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5" applyNumberFormat="0" applyAlignment="0" applyProtection="0"/>
    <xf numFmtId="0" fontId="13" fillId="19" borderId="25" applyNumberFormat="0" applyAlignment="0" applyProtection="0"/>
    <xf numFmtId="0" fontId="14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5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5" borderId="46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8" borderId="4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15" fillId="0" borderId="32" applyNumberFormat="0" applyFill="0" applyAlignment="0" applyProtection="0"/>
    <xf numFmtId="0" fontId="29" fillId="0" borderId="48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/>
  </cellStyleXfs>
  <cellXfs count="717">
    <xf numFmtId="0" fontId="0" fillId="0" borderId="0" xfId="0"/>
    <xf numFmtId="0" fontId="0" fillId="2" borderId="0" xfId="0" applyFill="1"/>
    <xf numFmtId="0" fontId="0" fillId="27" borderId="0" xfId="0" applyFill="1"/>
    <xf numFmtId="164" fontId="0" fillId="0" borderId="0" xfId="0" applyNumberFormat="1"/>
    <xf numFmtId="0" fontId="0" fillId="31" borderId="0" xfId="0" applyFill="1"/>
    <xf numFmtId="0" fontId="36" fillId="2" borderId="0" xfId="0" applyFont="1" applyFill="1" applyAlignment="1">
      <alignment horizontal="left"/>
    </xf>
    <xf numFmtId="0" fontId="37" fillId="2" borderId="0" xfId="0" applyFont="1" applyFill="1" applyAlignment="1">
      <alignment horizontal="left"/>
    </xf>
    <xf numFmtId="0" fontId="0" fillId="41" borderId="0" xfId="0" applyFill="1"/>
    <xf numFmtId="166" fontId="0" fillId="41" borderId="0" xfId="0" applyNumberFormat="1" applyFill="1"/>
    <xf numFmtId="164" fontId="0" fillId="41" borderId="0" xfId="0" applyNumberFormat="1" applyFill="1"/>
    <xf numFmtId="164" fontId="0" fillId="3" borderId="20" xfId="0" applyNumberFormat="1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164" fontId="0" fillId="36" borderId="19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64" fontId="0" fillId="36" borderId="17" xfId="0" applyNumberFormat="1" applyFont="1" applyFill="1" applyBorder="1" applyAlignment="1">
      <alignment horizontal="center" vertical="center"/>
    </xf>
    <xf numFmtId="164" fontId="0" fillId="36" borderId="42" xfId="0" applyNumberFormat="1" applyFont="1" applyFill="1" applyBorder="1" applyAlignment="1">
      <alignment horizontal="center" vertical="center"/>
    </xf>
    <xf numFmtId="164" fontId="0" fillId="28" borderId="19" xfId="0" applyNumberFormat="1" applyFont="1" applyFill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164" fontId="0" fillId="28" borderId="49" xfId="0" applyNumberFormat="1" applyFont="1" applyFill="1" applyBorder="1" applyAlignment="1">
      <alignment horizontal="center" vertical="center"/>
    </xf>
    <xf numFmtId="164" fontId="0" fillId="28" borderId="17" xfId="0" applyNumberFormat="1" applyFont="1" applyFill="1" applyBorder="1" applyAlignment="1">
      <alignment horizontal="center" vertical="center"/>
    </xf>
    <xf numFmtId="10" fontId="0" fillId="28" borderId="64" xfId="1" applyNumberFormat="1" applyFont="1" applyFill="1" applyBorder="1" applyAlignment="1">
      <alignment horizontal="center" vertical="center"/>
    </xf>
    <xf numFmtId="10" fontId="0" fillId="26" borderId="58" xfId="1" applyNumberFormat="1" applyFont="1" applyFill="1" applyBorder="1" applyAlignment="1">
      <alignment horizontal="center" vertical="center"/>
    </xf>
    <xf numFmtId="10" fontId="0" fillId="26" borderId="64" xfId="1" applyNumberFormat="1" applyFont="1" applyFill="1" applyBorder="1" applyAlignment="1">
      <alignment horizontal="center" vertical="center"/>
    </xf>
    <xf numFmtId="0" fontId="0" fillId="2" borderId="0" xfId="0" applyFont="1" applyFill="1"/>
    <xf numFmtId="170" fontId="6" fillId="3" borderId="16" xfId="0" applyNumberFormat="1" applyFont="1" applyFill="1" applyBorder="1" applyAlignment="1">
      <alignment horizontal="center" vertical="center"/>
    </xf>
    <xf numFmtId="170" fontId="6" fillId="3" borderId="20" xfId="0" applyNumberFormat="1" applyFont="1" applyFill="1" applyBorder="1" applyAlignment="1">
      <alignment horizontal="center" vertical="center"/>
    </xf>
    <xf numFmtId="170" fontId="0" fillId="3" borderId="16" xfId="0" applyNumberFormat="1" applyFill="1" applyBorder="1" applyAlignment="1">
      <alignment horizontal="center" vertical="center"/>
    </xf>
    <xf numFmtId="170" fontId="0" fillId="3" borderId="20" xfId="0" applyNumberFormat="1" applyFill="1" applyBorder="1" applyAlignment="1">
      <alignment horizontal="center" vertical="center"/>
    </xf>
    <xf numFmtId="170" fontId="0" fillId="26" borderId="16" xfId="0" applyNumberFormat="1" applyFill="1" applyBorder="1" applyAlignment="1">
      <alignment horizontal="center" vertical="center"/>
    </xf>
    <xf numFmtId="170" fontId="0" fillId="26" borderId="20" xfId="0" applyNumberFormat="1" applyFill="1" applyBorder="1" applyAlignment="1">
      <alignment horizontal="center" vertical="center"/>
    </xf>
    <xf numFmtId="170" fontId="0" fillId="26" borderId="17" xfId="0" applyNumberFormat="1" applyFill="1" applyBorder="1" applyAlignment="1">
      <alignment horizontal="center" vertical="center"/>
    </xf>
    <xf numFmtId="0" fontId="0" fillId="28" borderId="64" xfId="0" applyFill="1" applyBorder="1" applyAlignment="1">
      <alignment horizontal="center" vertical="center"/>
    </xf>
    <xf numFmtId="170" fontId="0" fillId="29" borderId="17" xfId="0" applyNumberFormat="1" applyFill="1" applyBorder="1" applyAlignment="1">
      <alignment horizontal="center" vertical="center"/>
    </xf>
    <xf numFmtId="170" fontId="0" fillId="29" borderId="0" xfId="0" applyNumberFormat="1" applyFill="1" applyBorder="1" applyAlignment="1">
      <alignment horizontal="center" vertical="center"/>
    </xf>
    <xf numFmtId="170" fontId="0" fillId="29" borderId="16" xfId="0" applyNumberFormat="1" applyFill="1" applyBorder="1" applyAlignment="1">
      <alignment horizontal="center" vertical="center"/>
    </xf>
    <xf numFmtId="10" fontId="0" fillId="29" borderId="64" xfId="1" applyNumberFormat="1" applyFont="1" applyFill="1" applyBorder="1" applyAlignment="1">
      <alignment horizontal="center" vertical="center"/>
    </xf>
    <xf numFmtId="170" fontId="0" fillId="29" borderId="44" xfId="0" applyNumberFormat="1" applyFill="1" applyBorder="1" applyAlignment="1">
      <alignment horizontal="center" vertical="center"/>
    </xf>
    <xf numFmtId="0" fontId="30" fillId="2" borderId="0" xfId="0" applyFont="1" applyFill="1"/>
    <xf numFmtId="0" fontId="0" fillId="38" borderId="68" xfId="0" applyFill="1" applyBorder="1"/>
    <xf numFmtId="2" fontId="0" fillId="35" borderId="69" xfId="0" applyNumberFormat="1" applyFill="1" applyBorder="1" applyAlignment="1">
      <alignment horizontal="center"/>
    </xf>
    <xf numFmtId="0" fontId="3" fillId="43" borderId="43" xfId="0" applyFont="1" applyFill="1" applyBorder="1" applyAlignment="1">
      <alignment horizontal="center" vertical="center" wrapText="1"/>
    </xf>
    <xf numFmtId="1" fontId="3" fillId="43" borderId="40" xfId="0" applyNumberFormat="1" applyFont="1" applyFill="1" applyBorder="1" applyAlignment="1">
      <alignment horizontal="center" vertical="center"/>
    </xf>
    <xf numFmtId="1" fontId="3" fillId="43" borderId="38" xfId="0" applyNumberFormat="1" applyFont="1" applyFill="1" applyBorder="1" applyAlignment="1">
      <alignment horizontal="center" vertical="center"/>
    </xf>
    <xf numFmtId="9" fontId="3" fillId="43" borderId="39" xfId="1" applyFont="1" applyFill="1" applyBorder="1" applyAlignment="1">
      <alignment horizontal="center" vertical="center"/>
    </xf>
    <xf numFmtId="0" fontId="5" fillId="40" borderId="8" xfId="0" applyFont="1" applyFill="1" applyBorder="1" applyAlignment="1">
      <alignment horizontal="center" vertical="center" wrapText="1"/>
    </xf>
    <xf numFmtId="0" fontId="5" fillId="40" borderId="52" xfId="0" applyFont="1" applyFill="1" applyBorder="1" applyAlignment="1">
      <alignment horizontal="center" vertical="center" wrapText="1"/>
    </xf>
    <xf numFmtId="0" fontId="5" fillId="40" borderId="50" xfId="0" applyFont="1" applyFill="1" applyBorder="1" applyAlignment="1">
      <alignment horizontal="center" vertical="center" wrapText="1"/>
    </xf>
    <xf numFmtId="0" fontId="5" fillId="40" borderId="5" xfId="0" applyFont="1" applyFill="1" applyBorder="1" applyAlignment="1">
      <alignment horizontal="center" vertical="center" wrapText="1"/>
    </xf>
    <xf numFmtId="0" fontId="5" fillId="40" borderId="7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left"/>
    </xf>
    <xf numFmtId="0" fontId="0" fillId="44" borderId="57" xfId="0" applyFill="1" applyBorder="1" applyAlignment="1">
      <alignment horizontal="left"/>
    </xf>
    <xf numFmtId="10" fontId="6" fillId="35" borderId="70" xfId="0" applyNumberFormat="1" applyFont="1" applyFill="1" applyBorder="1" applyAlignment="1">
      <alignment horizontal="center"/>
    </xf>
    <xf numFmtId="0" fontId="0" fillId="44" borderId="68" xfId="0" applyFill="1" applyBorder="1"/>
    <xf numFmtId="0" fontId="3" fillId="40" borderId="7" xfId="0" applyFont="1" applyFill="1" applyBorder="1" applyAlignment="1">
      <alignment horizontal="center" vertical="center" wrapText="1"/>
    </xf>
    <xf numFmtId="0" fontId="3" fillId="40" borderId="8" xfId="0" applyFont="1" applyFill="1" applyBorder="1" applyAlignment="1">
      <alignment horizontal="center" vertical="center" wrapText="1"/>
    </xf>
    <xf numFmtId="0" fontId="3" fillId="40" borderId="54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164" fontId="0" fillId="28" borderId="4" xfId="0" applyNumberFormat="1" applyFont="1" applyFill="1" applyBorder="1" applyAlignment="1">
      <alignment horizontal="center" vertical="center"/>
    </xf>
    <xf numFmtId="164" fontId="0" fillId="42" borderId="4" xfId="0" applyNumberFormat="1" applyFont="1" applyFill="1" applyBorder="1" applyAlignment="1">
      <alignment horizontal="center" vertical="center"/>
    </xf>
    <xf numFmtId="10" fontId="0" fillId="28" borderId="4" xfId="1" applyNumberFormat="1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2" fontId="0" fillId="28" borderId="20" xfId="0" applyNumberFormat="1" applyFont="1" applyFill="1" applyBorder="1" applyAlignment="1">
      <alignment horizontal="center" vertical="center"/>
    </xf>
    <xf numFmtId="2" fontId="0" fillId="28" borderId="21" xfId="0" applyNumberFormat="1" applyFont="1" applyFill="1" applyBorder="1" applyAlignment="1">
      <alignment horizontal="center" vertical="center"/>
    </xf>
    <xf numFmtId="2" fontId="0" fillId="32" borderId="20" xfId="0" applyNumberFormat="1" applyFont="1" applyFill="1" applyBorder="1" applyAlignment="1">
      <alignment horizontal="center" vertical="center"/>
    </xf>
    <xf numFmtId="2" fontId="0" fillId="32" borderId="21" xfId="0" applyNumberFormat="1" applyFont="1" applyFill="1" applyBorder="1" applyAlignment="1">
      <alignment horizontal="center" vertical="center"/>
    </xf>
    <xf numFmtId="2" fontId="0" fillId="28" borderId="18" xfId="0" applyNumberFormat="1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0" fillId="32" borderId="18" xfId="0" applyNumberFormat="1" applyFont="1" applyFill="1" applyBorder="1" applyAlignment="1">
      <alignment horizontal="center" vertical="center"/>
    </xf>
    <xf numFmtId="2" fontId="0" fillId="39" borderId="20" xfId="0" applyNumberFormat="1" applyFont="1" applyFill="1" applyBorder="1" applyAlignment="1">
      <alignment horizontal="center" vertical="center"/>
    </xf>
    <xf numFmtId="164" fontId="0" fillId="28" borderId="20" xfId="0" applyNumberFormat="1" applyFont="1" applyFill="1" applyBorder="1" applyAlignment="1">
      <alignment horizontal="center" vertical="center"/>
    </xf>
    <xf numFmtId="164" fontId="0" fillId="28" borderId="16" xfId="0" applyNumberFormat="1" applyFont="1" applyFill="1" applyBorder="1" applyAlignment="1">
      <alignment horizontal="center" vertical="center"/>
    </xf>
    <xf numFmtId="164" fontId="0" fillId="28" borderId="42" xfId="0" applyNumberFormat="1" applyFont="1" applyFill="1" applyBorder="1" applyAlignment="1">
      <alignment horizontal="center" vertical="center"/>
    </xf>
    <xf numFmtId="169" fontId="6" fillId="28" borderId="4" xfId="0" applyNumberFormat="1" applyFont="1" applyFill="1" applyBorder="1" applyAlignment="1">
      <alignment horizontal="center" vertical="center"/>
    </xf>
    <xf numFmtId="0" fontId="6" fillId="28" borderId="4" xfId="0" applyFont="1" applyFill="1" applyBorder="1" applyAlignment="1">
      <alignment horizontal="center" vertical="center"/>
    </xf>
    <xf numFmtId="10" fontId="6" fillId="28" borderId="6" xfId="1" applyNumberFormat="1" applyFont="1" applyFill="1" applyBorder="1" applyAlignment="1">
      <alignment horizontal="center" vertical="center"/>
    </xf>
    <xf numFmtId="10" fontId="6" fillId="28" borderId="55" xfId="1" applyNumberFormat="1" applyFont="1" applyFill="1" applyBorder="1" applyAlignment="1">
      <alignment horizontal="center" vertical="center"/>
    </xf>
    <xf numFmtId="0" fontId="0" fillId="28" borderId="7" xfId="0" applyFill="1" applyBorder="1" applyAlignment="1">
      <alignment horizontal="center" vertical="center"/>
    </xf>
    <xf numFmtId="0" fontId="0" fillId="28" borderId="77" xfId="0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6" fillId="39" borderId="78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 wrapText="1"/>
    </xf>
    <xf numFmtId="4" fontId="6" fillId="39" borderId="20" xfId="0" applyNumberFormat="1" applyFont="1" applyFill="1" applyBorder="1" applyAlignment="1">
      <alignment horizontal="center" vertical="center"/>
    </xf>
    <xf numFmtId="4" fontId="6" fillId="39" borderId="76" xfId="0" applyNumberFormat="1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4" fontId="6" fillId="3" borderId="76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71" xfId="0" applyNumberFormat="1" applyFont="1" applyFill="1" applyBorder="1" applyAlignment="1">
      <alignment horizontal="center" vertical="center"/>
    </xf>
    <xf numFmtId="9" fontId="3" fillId="33" borderId="55" xfId="1" applyFont="1" applyFill="1" applyBorder="1" applyAlignment="1">
      <alignment horizontal="center" vertical="center"/>
    </xf>
    <xf numFmtId="2" fontId="0" fillId="39" borderId="0" xfId="0" applyNumberFormat="1" applyFont="1" applyFill="1" applyBorder="1" applyAlignment="1">
      <alignment horizontal="center" vertical="center"/>
    </xf>
    <xf numFmtId="10" fontId="1" fillId="39" borderId="58" xfId="1" applyNumberFormat="1" applyFont="1" applyFill="1" applyBorder="1" applyAlignment="1">
      <alignment horizontal="center" vertical="center"/>
    </xf>
    <xf numFmtId="2" fontId="0" fillId="39" borderId="78" xfId="0" applyNumberFormat="1" applyFont="1" applyFill="1" applyBorder="1" applyAlignment="1">
      <alignment horizontal="center" vertical="center"/>
    </xf>
    <xf numFmtId="2" fontId="0" fillId="3" borderId="76" xfId="0" applyNumberFormat="1" applyFont="1" applyFill="1" applyBorder="1" applyAlignment="1">
      <alignment horizontal="center" vertical="center"/>
    </xf>
    <xf numFmtId="2" fontId="0" fillId="39" borderId="76" xfId="0" applyNumberFormat="1" applyFont="1" applyFill="1" applyBorder="1" applyAlignment="1">
      <alignment horizontal="center" vertical="center"/>
    </xf>
    <xf numFmtId="10" fontId="1" fillId="39" borderId="77" xfId="1" applyNumberFormat="1" applyFont="1" applyFill="1" applyBorder="1" applyAlignment="1">
      <alignment horizontal="center" vertical="center"/>
    </xf>
    <xf numFmtId="170" fontId="0" fillId="26" borderId="0" xfId="0" applyNumberForma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 wrapText="1"/>
    </xf>
    <xf numFmtId="170" fontId="6" fillId="26" borderId="44" xfId="0" applyNumberFormat="1" applyFont="1" applyFill="1" applyBorder="1" applyAlignment="1">
      <alignment horizontal="center" vertical="center"/>
    </xf>
    <xf numFmtId="170" fontId="6" fillId="26" borderId="42" xfId="0" applyNumberFormat="1" applyFont="1" applyFill="1" applyBorder="1" applyAlignment="1">
      <alignment horizontal="center" vertical="center"/>
    </xf>
    <xf numFmtId="170" fontId="6" fillId="26" borderId="80" xfId="0" applyNumberFormat="1" applyFont="1" applyFill="1" applyBorder="1" applyAlignment="1">
      <alignment horizontal="center" vertical="center"/>
    </xf>
    <xf numFmtId="170" fontId="6" fillId="29" borderId="78" xfId="0" applyNumberFormat="1" applyFont="1" applyFill="1" applyBorder="1" applyAlignment="1">
      <alignment horizontal="center" vertical="center"/>
    </xf>
    <xf numFmtId="170" fontId="6" fillId="29" borderId="0" xfId="0" applyNumberFormat="1" applyFont="1" applyFill="1" applyBorder="1" applyAlignment="1">
      <alignment horizontal="center" vertical="center"/>
    </xf>
    <xf numFmtId="0" fontId="6" fillId="26" borderId="76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center" vertical="center"/>
    </xf>
    <xf numFmtId="0" fontId="6" fillId="29" borderId="76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10" fontId="0" fillId="29" borderId="58" xfId="1" applyNumberFormat="1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170" fontId="6" fillId="3" borderId="76" xfId="0" applyNumberFormat="1" applyFont="1" applyFill="1" applyBorder="1" applyAlignment="1">
      <alignment horizontal="center" vertical="center"/>
    </xf>
    <xf numFmtId="170" fontId="0" fillId="26" borderId="78" xfId="0" applyNumberFormat="1" applyFill="1" applyBorder="1" applyAlignment="1">
      <alignment horizontal="center" vertical="center"/>
    </xf>
    <xf numFmtId="170" fontId="0" fillId="3" borderId="76" xfId="0" applyNumberFormat="1" applyFill="1" applyBorder="1" applyAlignment="1">
      <alignment horizontal="center" vertical="center"/>
    </xf>
    <xf numFmtId="170" fontId="0" fillId="26" borderId="76" xfId="0" applyNumberFormat="1" applyFill="1" applyBorder="1" applyAlignment="1">
      <alignment horizontal="center" vertical="center"/>
    </xf>
    <xf numFmtId="10" fontId="0" fillId="26" borderId="77" xfId="1" applyNumberFormat="1" applyFont="1" applyFill="1" applyBorder="1" applyAlignment="1">
      <alignment horizontal="center" vertical="center"/>
    </xf>
    <xf numFmtId="170" fontId="0" fillId="29" borderId="78" xfId="0" applyNumberFormat="1" applyFill="1" applyBorder="1" applyAlignment="1">
      <alignment horizontal="center" vertical="center"/>
    </xf>
    <xf numFmtId="170" fontId="0" fillId="29" borderId="80" xfId="0" applyNumberFormat="1" applyFill="1" applyBorder="1" applyAlignment="1">
      <alignment horizontal="center" vertical="center"/>
    </xf>
    <xf numFmtId="10" fontId="0" fillId="29" borderId="77" xfId="1" applyNumberFormat="1" applyFont="1" applyFill="1" applyBorder="1" applyAlignment="1">
      <alignment horizontal="center" vertical="center"/>
    </xf>
    <xf numFmtId="0" fontId="0" fillId="28" borderId="76" xfId="0" applyFill="1" applyBorder="1" applyAlignment="1">
      <alignment horizontal="center" vertical="center"/>
    </xf>
    <xf numFmtId="170" fontId="6" fillId="28" borderId="80" xfId="0" applyNumberFormat="1" applyFont="1" applyFill="1" applyBorder="1" applyAlignment="1">
      <alignment horizontal="center" vertical="center"/>
    </xf>
    <xf numFmtId="170" fontId="0" fillId="28" borderId="78" xfId="0" applyNumberFormat="1" applyFill="1" applyBorder="1" applyAlignment="1">
      <alignment horizontal="center" vertical="center"/>
    </xf>
    <xf numFmtId="170" fontId="0" fillId="28" borderId="76" xfId="0" applyNumberFormat="1" applyFill="1" applyBorder="1" applyAlignment="1">
      <alignment horizontal="center" vertical="center"/>
    </xf>
    <xf numFmtId="10" fontId="0" fillId="28" borderId="77" xfId="1" applyNumberFormat="1" applyFont="1" applyFill="1" applyBorder="1" applyAlignment="1">
      <alignment horizontal="center" vertical="center"/>
    </xf>
    <xf numFmtId="170" fontId="6" fillId="29" borderId="80" xfId="0" applyNumberFormat="1" applyFont="1" applyFill="1" applyBorder="1" applyAlignment="1">
      <alignment horizontal="center" vertical="center"/>
    </xf>
    <xf numFmtId="170" fontId="0" fillId="29" borderId="76" xfId="0" applyNumberFormat="1" applyFill="1" applyBorder="1" applyAlignment="1">
      <alignment horizontal="center" vertical="center"/>
    </xf>
    <xf numFmtId="170" fontId="6" fillId="29" borderId="42" xfId="0" applyNumberFormat="1" applyFont="1" applyFill="1" applyBorder="1" applyAlignment="1">
      <alignment horizontal="center" vertical="center"/>
    </xf>
    <xf numFmtId="2" fontId="0" fillId="0" borderId="69" xfId="0" applyNumberFormat="1" applyBorder="1" applyAlignment="1">
      <alignment horizontal="center"/>
    </xf>
    <xf numFmtId="2" fontId="6" fillId="35" borderId="69" xfId="0" applyNumberFormat="1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1" fontId="0" fillId="2" borderId="0" xfId="0" applyNumberFormat="1" applyFill="1"/>
    <xf numFmtId="2" fontId="0" fillId="2" borderId="0" xfId="0" applyNumberFormat="1" applyFill="1"/>
    <xf numFmtId="0" fontId="6" fillId="28" borderId="51" xfId="0" applyFont="1" applyFill="1" applyBorder="1" applyAlignment="1">
      <alignment horizontal="center" vertical="center"/>
    </xf>
    <xf numFmtId="0" fontId="6" fillId="28" borderId="65" xfId="0" applyFont="1" applyFill="1" applyBorder="1" applyAlignment="1">
      <alignment horizontal="center" vertical="center"/>
    </xf>
    <xf numFmtId="164" fontId="0" fillId="44" borderId="49" xfId="0" applyNumberFormat="1" applyFont="1" applyFill="1" applyBorder="1" applyAlignment="1">
      <alignment horizontal="center" vertical="center"/>
    </xf>
    <xf numFmtId="164" fontId="0" fillId="44" borderId="16" xfId="0" applyNumberFormat="1" applyFont="1" applyFill="1" applyBorder="1" applyAlignment="1">
      <alignment horizontal="center" vertical="center"/>
    </xf>
    <xf numFmtId="164" fontId="0" fillId="44" borderId="17" xfId="0" applyNumberFormat="1" applyFont="1" applyFill="1" applyBorder="1" applyAlignment="1">
      <alignment horizontal="center" vertical="center"/>
    </xf>
    <xf numFmtId="164" fontId="0" fillId="44" borderId="0" xfId="0" applyNumberFormat="1" applyFont="1" applyFill="1" applyBorder="1" applyAlignment="1">
      <alignment horizontal="center" vertical="center"/>
    </xf>
    <xf numFmtId="0" fontId="0" fillId="38" borderId="42" xfId="0" applyFill="1" applyBorder="1"/>
    <xf numFmtId="2" fontId="0" fillId="0" borderId="16" xfId="0" applyNumberFormat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6" fillId="35" borderId="16" xfId="0" applyNumberFormat="1" applyFont="1" applyFill="1" applyBorder="1" applyAlignment="1">
      <alignment horizontal="center"/>
    </xf>
    <xf numFmtId="10" fontId="6" fillId="35" borderId="64" xfId="0" applyNumberFormat="1" applyFont="1" applyFill="1" applyBorder="1" applyAlignment="1">
      <alignment horizontal="center"/>
    </xf>
    <xf numFmtId="0" fontId="5" fillId="28" borderId="34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164" fontId="0" fillId="42" borderId="16" xfId="0" applyNumberFormat="1" applyFont="1" applyFill="1" applyBorder="1" applyAlignment="1">
      <alignment horizontal="center" vertical="center"/>
    </xf>
    <xf numFmtId="164" fontId="0" fillId="28" borderId="18" xfId="0" applyNumberFormat="1" applyFont="1" applyFill="1" applyBorder="1" applyAlignment="1">
      <alignment horizontal="center" vertical="center"/>
    </xf>
    <xf numFmtId="10" fontId="0" fillId="28" borderId="16" xfId="1" applyNumberFormat="1" applyFont="1" applyFill="1" applyBorder="1" applyAlignment="1">
      <alignment horizontal="center" vertical="center"/>
    </xf>
    <xf numFmtId="0" fontId="3" fillId="40" borderId="40" xfId="0" applyFont="1" applyFill="1" applyBorder="1" applyAlignment="1">
      <alignment horizontal="center" vertical="center" wrapText="1"/>
    </xf>
    <xf numFmtId="0" fontId="0" fillId="28" borderId="84" xfId="0" applyFill="1" applyBorder="1" applyAlignment="1">
      <alignment horizontal="center" vertical="center"/>
    </xf>
    <xf numFmtId="170" fontId="6" fillId="28" borderId="85" xfId="0" applyNumberFormat="1" applyFont="1" applyFill="1" applyBorder="1" applyAlignment="1">
      <alignment horizontal="center" vertical="center"/>
    </xf>
    <xf numFmtId="170" fontId="6" fillId="3" borderId="84" xfId="0" applyNumberFormat="1" applyFont="1" applyFill="1" applyBorder="1" applyAlignment="1">
      <alignment horizontal="center" vertical="center"/>
    </xf>
    <xf numFmtId="170" fontId="0" fillId="26" borderId="86" xfId="0" applyNumberFormat="1" applyFill="1" applyBorder="1" applyAlignment="1">
      <alignment horizontal="center" vertical="center"/>
    </xf>
    <xf numFmtId="10" fontId="0" fillId="28" borderId="83" xfId="1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42" borderId="6" xfId="0" applyFill="1" applyBorder="1" applyAlignment="1">
      <alignment horizontal="center" vertical="center"/>
    </xf>
    <xf numFmtId="0" fontId="0" fillId="42" borderId="55" xfId="0" applyFill="1" applyBorder="1" applyAlignment="1">
      <alignment horizontal="center" vertical="center"/>
    </xf>
    <xf numFmtId="9" fontId="0" fillId="28" borderId="21" xfId="1" applyFont="1" applyFill="1" applyBorder="1" applyAlignment="1">
      <alignment horizontal="center" vertical="center"/>
    </xf>
    <xf numFmtId="2" fontId="6" fillId="32" borderId="21" xfId="0" applyNumberFormat="1" applyFont="1" applyFill="1" applyBorder="1" applyAlignment="1">
      <alignment horizontal="center" vertical="center"/>
    </xf>
    <xf numFmtId="2" fontId="6" fillId="28" borderId="20" xfId="0" applyNumberFormat="1" applyFont="1" applyFill="1" applyBorder="1" applyAlignment="1">
      <alignment horizontal="center" vertical="center"/>
    </xf>
    <xf numFmtId="169" fontId="6" fillId="28" borderId="3" xfId="0" applyNumberFormat="1" applyFont="1" applyFill="1" applyBorder="1" applyAlignment="1">
      <alignment horizontal="center" vertical="center"/>
    </xf>
    <xf numFmtId="171" fontId="6" fillId="28" borderId="4" xfId="0" applyNumberFormat="1" applyFont="1" applyFill="1" applyBorder="1" applyAlignment="1">
      <alignment horizontal="center" vertical="center"/>
    </xf>
    <xf numFmtId="169" fontId="6" fillId="28" borderId="35" xfId="0" applyNumberFormat="1" applyFont="1" applyFill="1" applyBorder="1" applyAlignment="1">
      <alignment horizontal="center" vertical="center"/>
    </xf>
    <xf numFmtId="169" fontId="6" fillId="28" borderId="11" xfId="0" applyNumberFormat="1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/>
    </xf>
    <xf numFmtId="0" fontId="0" fillId="41" borderId="0" xfId="0" applyFill="1" applyBorder="1"/>
    <xf numFmtId="164" fontId="0" fillId="41" borderId="0" xfId="0" applyNumberFormat="1" applyFill="1" applyBorder="1"/>
    <xf numFmtId="14" fontId="6" fillId="42" borderId="64" xfId="0" applyNumberFormat="1" applyFont="1" applyFill="1" applyBorder="1" applyAlignment="1">
      <alignment horizontal="center" vertical="center"/>
    </xf>
    <xf numFmtId="164" fontId="0" fillId="35" borderId="69" xfId="0" applyNumberFormat="1" applyFill="1" applyBorder="1" applyAlignment="1">
      <alignment horizontal="center"/>
    </xf>
    <xf numFmtId="0" fontId="6" fillId="26" borderId="87" xfId="42071" applyFont="1" applyFill="1" applyBorder="1" applyAlignment="1">
      <alignment horizontal="center" vertical="center" wrapText="1"/>
    </xf>
    <xf numFmtId="0" fontId="6" fillId="26" borderId="90" xfId="0" applyFont="1" applyFill="1" applyBorder="1" applyAlignment="1">
      <alignment horizontal="center" vertical="center" wrapText="1"/>
    </xf>
    <xf numFmtId="0" fontId="6" fillId="26" borderId="88" xfId="0" applyFont="1" applyFill="1" applyBorder="1" applyAlignment="1">
      <alignment horizontal="center" vertical="center" wrapText="1"/>
    </xf>
    <xf numFmtId="0" fontId="6" fillId="26" borderId="88" xfId="42071" applyFont="1" applyFill="1" applyBorder="1" applyAlignment="1">
      <alignment horizontal="center" vertical="center" wrapText="1"/>
    </xf>
    <xf numFmtId="0" fontId="39" fillId="26" borderId="89" xfId="42071" applyFont="1" applyFill="1" applyBorder="1" applyAlignment="1">
      <alignment horizontal="center" vertical="center" wrapText="1"/>
    </xf>
    <xf numFmtId="164" fontId="0" fillId="36" borderId="13" xfId="0" applyNumberFormat="1" applyFont="1" applyFill="1" applyBorder="1" applyAlignment="1">
      <alignment horizontal="center" vertical="center"/>
    </xf>
    <xf numFmtId="164" fontId="0" fillId="28" borderId="8" xfId="0" applyNumberFormat="1" applyFont="1" applyFill="1" applyBorder="1" applyAlignment="1">
      <alignment horizontal="center" vertical="center"/>
    </xf>
    <xf numFmtId="164" fontId="0" fillId="28" borderId="5" xfId="0" applyNumberFormat="1" applyFont="1" applyFill="1" applyBorder="1" applyAlignment="1">
      <alignment horizontal="center" vertical="center"/>
    </xf>
    <xf numFmtId="164" fontId="0" fillId="28" borderId="13" xfId="0" applyNumberFormat="1" applyFont="1" applyFill="1" applyBorder="1" applyAlignment="1">
      <alignment horizontal="center" vertical="center"/>
    </xf>
    <xf numFmtId="10" fontId="0" fillId="28" borderId="7" xfId="1" applyNumberFormat="1" applyFont="1" applyFill="1" applyBorder="1" applyAlignment="1">
      <alignment horizontal="center" vertical="center"/>
    </xf>
    <xf numFmtId="170" fontId="0" fillId="28" borderId="91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3" fontId="0" fillId="0" borderId="69" xfId="0" applyNumberFormat="1" applyFill="1" applyBorder="1" applyAlignment="1">
      <alignment horizontal="center" vertical="center"/>
    </xf>
    <xf numFmtId="164" fontId="0" fillId="3" borderId="92" xfId="0" applyNumberFormat="1" applyFont="1" applyFill="1" applyBorder="1" applyAlignment="1">
      <alignment horizontal="center" vertical="center"/>
    </xf>
    <xf numFmtId="164" fontId="0" fillId="36" borderId="95" xfId="0" applyNumberFormat="1" applyFont="1" applyFill="1" applyBorder="1" applyAlignment="1">
      <alignment horizontal="center" vertical="center"/>
    </xf>
    <xf numFmtId="164" fontId="0" fillId="44" borderId="95" xfId="0" applyNumberFormat="1" applyFont="1" applyFill="1" applyBorder="1" applyAlignment="1">
      <alignment horizontal="center" vertical="center"/>
    </xf>
    <xf numFmtId="9" fontId="1" fillId="40" borderId="58" xfId="1" applyFont="1" applyFill="1" applyBorder="1" applyAlignment="1">
      <alignment horizontal="center" vertical="center"/>
    </xf>
    <xf numFmtId="0" fontId="41" fillId="36" borderId="35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1" xfId="42071" applyFont="1" applyFill="1" applyBorder="1" applyAlignment="1">
      <alignment horizontal="center" vertical="center" wrapText="1"/>
    </xf>
    <xf numFmtId="0" fontId="39" fillId="36" borderId="55" xfId="42071" applyFont="1" applyFill="1" applyBorder="1" applyAlignment="1">
      <alignment horizontal="center" vertical="center" wrapText="1"/>
    </xf>
    <xf numFmtId="9" fontId="1" fillId="40" borderId="64" xfId="1" applyFont="1" applyFill="1" applyBorder="1" applyAlignment="1">
      <alignment horizontal="center" vertical="center"/>
    </xf>
    <xf numFmtId="9" fontId="1" fillId="40" borderId="7" xfId="1" applyFont="1" applyFill="1" applyBorder="1" applyAlignment="1">
      <alignment horizontal="center" vertical="center"/>
    </xf>
    <xf numFmtId="0" fontId="39" fillId="37" borderId="97" xfId="0" applyFont="1" applyFill="1" applyBorder="1" applyAlignment="1">
      <alignment horizontal="center" vertical="center" wrapText="1"/>
    </xf>
    <xf numFmtId="0" fontId="39" fillId="37" borderId="98" xfId="0" applyFont="1" applyFill="1" applyBorder="1" applyAlignment="1">
      <alignment horizontal="center" vertical="center" wrapText="1"/>
    </xf>
    <xf numFmtId="0" fontId="39" fillId="37" borderId="98" xfId="42071" applyFont="1" applyFill="1" applyBorder="1" applyAlignment="1">
      <alignment horizontal="center" vertical="center" wrapText="1"/>
    </xf>
    <xf numFmtId="0" fontId="39" fillId="37" borderId="99" xfId="42071" applyFont="1" applyFill="1" applyBorder="1" applyAlignment="1">
      <alignment horizontal="center" vertical="center" wrapText="1"/>
    </xf>
    <xf numFmtId="164" fontId="0" fillId="36" borderId="101" xfId="0" applyNumberFormat="1" applyFont="1" applyFill="1" applyBorder="1" applyAlignment="1">
      <alignment horizontal="center" vertical="center"/>
    </xf>
    <xf numFmtId="9" fontId="1" fillId="40" borderId="99" xfId="1" applyFont="1" applyFill="1" applyBorder="1" applyAlignment="1">
      <alignment horizontal="center" vertical="center"/>
    </xf>
    <xf numFmtId="164" fontId="0" fillId="44" borderId="100" xfId="0" applyNumberFormat="1" applyFont="1" applyFill="1" applyBorder="1" applyAlignment="1">
      <alignment horizontal="center" vertical="center"/>
    </xf>
    <xf numFmtId="164" fontId="0" fillId="44" borderId="101" xfId="0" applyNumberFormat="1" applyFont="1" applyFill="1" applyBorder="1" applyAlignment="1">
      <alignment horizontal="center" vertical="center"/>
    </xf>
    <xf numFmtId="164" fontId="0" fillId="44" borderId="98" xfId="0" applyNumberFormat="1" applyFont="1" applyFill="1" applyBorder="1" applyAlignment="1">
      <alignment horizontal="center" vertical="center"/>
    </xf>
    <xf numFmtId="9" fontId="1" fillId="40" borderId="55" xfId="1" applyFont="1" applyFill="1" applyBorder="1" applyAlignment="1">
      <alignment horizontal="center" vertical="center"/>
    </xf>
    <xf numFmtId="0" fontId="6" fillId="28" borderId="97" xfId="0" applyFont="1" applyFill="1" applyBorder="1" applyAlignment="1">
      <alignment horizontal="center" vertical="center" wrapText="1"/>
    </xf>
    <xf numFmtId="0" fontId="6" fillId="28" borderId="98" xfId="0" applyFont="1" applyFill="1" applyBorder="1" applyAlignment="1">
      <alignment horizontal="center" vertical="center" wrapText="1"/>
    </xf>
    <xf numFmtId="0" fontId="6" fillId="28" borderId="98" xfId="42071" applyFont="1" applyFill="1" applyBorder="1" applyAlignment="1">
      <alignment horizontal="center" vertical="center" wrapText="1"/>
    </xf>
    <xf numFmtId="0" fontId="39" fillId="28" borderId="99" xfId="42071" applyFont="1" applyFill="1" applyBorder="1" applyAlignment="1">
      <alignment horizontal="center" vertical="center" wrapText="1"/>
    </xf>
    <xf numFmtId="164" fontId="0" fillId="28" borderId="100" xfId="0" applyNumberFormat="1" applyFont="1" applyFill="1" applyBorder="1" applyAlignment="1">
      <alignment horizontal="center" vertical="center"/>
    </xf>
    <xf numFmtId="164" fontId="0" fillId="28" borderId="98" xfId="0" applyNumberFormat="1" applyFont="1" applyFill="1" applyBorder="1" applyAlignment="1">
      <alignment horizontal="center" vertical="center"/>
    </xf>
    <xf numFmtId="164" fontId="0" fillId="28" borderId="101" xfId="0" applyNumberFormat="1" applyFont="1" applyFill="1" applyBorder="1" applyAlignment="1">
      <alignment horizontal="center" vertical="center"/>
    </xf>
    <xf numFmtId="10" fontId="0" fillId="28" borderId="99" xfId="1" applyNumberFormat="1" applyFont="1" applyFill="1" applyBorder="1" applyAlignment="1">
      <alignment horizontal="center" vertical="center"/>
    </xf>
    <xf numFmtId="9" fontId="1" fillId="48" borderId="99" xfId="1" applyFont="1" applyFill="1" applyBorder="1" applyAlignment="1">
      <alignment horizontal="center" vertical="center"/>
    </xf>
    <xf numFmtId="9" fontId="1" fillId="48" borderId="64" xfId="1" applyFont="1" applyFill="1" applyBorder="1" applyAlignment="1">
      <alignment horizontal="center" vertical="center"/>
    </xf>
    <xf numFmtId="0" fontId="0" fillId="44" borderId="77" xfId="0" applyFill="1" applyBorder="1" applyAlignment="1">
      <alignment horizontal="center" vertical="center"/>
    </xf>
    <xf numFmtId="164" fontId="0" fillId="44" borderId="20" xfId="0" applyNumberFormat="1" applyFont="1" applyFill="1" applyBorder="1" applyAlignment="1">
      <alignment horizontal="center" vertical="center"/>
    </xf>
    <xf numFmtId="9" fontId="1" fillId="44" borderId="99" xfId="1" applyFont="1" applyFill="1" applyBorder="1" applyAlignment="1">
      <alignment horizontal="center" vertical="center"/>
    </xf>
    <xf numFmtId="10" fontId="0" fillId="44" borderId="99" xfId="1" applyNumberFormat="1" applyFont="1" applyFill="1" applyBorder="1" applyAlignment="1">
      <alignment horizontal="center" vertical="center"/>
    </xf>
    <xf numFmtId="0" fontId="0" fillId="44" borderId="64" xfId="0" applyFill="1" applyBorder="1" applyAlignment="1">
      <alignment horizontal="center" vertical="center"/>
    </xf>
    <xf numFmtId="164" fontId="0" fillId="44" borderId="19" xfId="0" applyNumberFormat="1" applyFont="1" applyFill="1" applyBorder="1" applyAlignment="1">
      <alignment horizontal="center" vertical="center"/>
    </xf>
    <xf numFmtId="9" fontId="1" fillId="44" borderId="64" xfId="1" applyFont="1" applyFill="1" applyBorder="1" applyAlignment="1">
      <alignment horizontal="center" vertical="center"/>
    </xf>
    <xf numFmtId="10" fontId="0" fillId="44" borderId="58" xfId="1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/>
    </xf>
    <xf numFmtId="164" fontId="49" fillId="3" borderId="1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47" borderId="102" xfId="0" applyFill="1" applyBorder="1" applyAlignment="1">
      <alignment horizontal="center" vertical="center"/>
    </xf>
    <xf numFmtId="171" fontId="6" fillId="28" borderId="11" xfId="0" applyNumberFormat="1" applyFont="1" applyFill="1" applyBorder="1" applyAlignment="1">
      <alignment horizontal="center" vertical="center"/>
    </xf>
    <xf numFmtId="164" fontId="50" fillId="3" borderId="0" xfId="0" applyNumberFormat="1" applyFont="1" applyFill="1" applyBorder="1" applyAlignment="1">
      <alignment horizontal="center" vertical="center"/>
    </xf>
    <xf numFmtId="164" fontId="50" fillId="3" borderId="1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3" fillId="40" borderId="105" xfId="0" applyNumberFormat="1" applyFont="1" applyFill="1" applyBorder="1" applyAlignment="1">
      <alignment horizontal="center" vertical="center"/>
    </xf>
    <xf numFmtId="1" fontId="3" fillId="40" borderId="56" xfId="0" applyNumberFormat="1" applyFont="1" applyFill="1" applyBorder="1" applyAlignment="1">
      <alignment horizontal="center" vertical="center"/>
    </xf>
    <xf numFmtId="9" fontId="3" fillId="40" borderId="66" xfId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9" fontId="1" fillId="40" borderId="7" xfId="1" applyFont="1" applyFill="1" applyBorder="1" applyAlignment="1">
      <alignment horizontal="center" vertical="center"/>
    </xf>
    <xf numFmtId="0" fontId="54" fillId="3" borderId="0" xfId="0" applyFont="1" applyFill="1"/>
    <xf numFmtId="0" fontId="53" fillId="45" borderId="3" xfId="0" applyFont="1" applyFill="1" applyBorder="1" applyAlignment="1">
      <alignment horizontal="left" vertical="center" wrapText="1"/>
    </xf>
    <xf numFmtId="0" fontId="53" fillId="45" borderId="4" xfId="0" applyFont="1" applyFill="1" applyBorder="1" applyAlignment="1">
      <alignment horizontal="center" vertical="center" wrapText="1"/>
    </xf>
    <xf numFmtId="0" fontId="53" fillId="45" borderId="4" xfId="0" applyFont="1" applyFill="1" applyBorder="1" applyAlignment="1">
      <alignment horizontal="center" vertical="center"/>
    </xf>
    <xf numFmtId="0" fontId="53" fillId="45" borderId="6" xfId="0" applyFont="1" applyFill="1" applyBorder="1" applyAlignment="1">
      <alignment horizontal="center" vertical="center" wrapText="1"/>
    </xf>
    <xf numFmtId="0" fontId="54" fillId="3" borderId="106" xfId="0" applyFont="1" applyFill="1" applyBorder="1" applyAlignment="1">
      <alignment vertical="center"/>
    </xf>
    <xf numFmtId="166" fontId="54" fillId="3" borderId="107" xfId="0" applyNumberFormat="1" applyFont="1" applyFill="1" applyBorder="1" applyAlignment="1">
      <alignment vertical="center"/>
    </xf>
    <xf numFmtId="166" fontId="53" fillId="3" borderId="108" xfId="0" applyNumberFormat="1" applyFont="1" applyFill="1" applyBorder="1" applyAlignment="1">
      <alignment vertical="center"/>
    </xf>
    <xf numFmtId="0" fontId="54" fillId="3" borderId="109" xfId="0" applyFont="1" applyFill="1" applyBorder="1" applyAlignment="1">
      <alignment vertical="center"/>
    </xf>
    <xf numFmtId="166" fontId="54" fillId="3" borderId="110" xfId="0" applyNumberFormat="1" applyFont="1" applyFill="1" applyBorder="1" applyAlignment="1">
      <alignment vertical="center"/>
    </xf>
    <xf numFmtId="166" fontId="53" fillId="3" borderId="111" xfId="0" applyNumberFormat="1" applyFont="1" applyFill="1" applyBorder="1" applyAlignment="1">
      <alignment vertical="center"/>
    </xf>
    <xf numFmtId="0" fontId="53" fillId="45" borderId="82" xfId="0" applyFont="1" applyFill="1" applyBorder="1" applyAlignment="1">
      <alignment horizontal="left" vertical="center" wrapText="1"/>
    </xf>
    <xf numFmtId="166" fontId="53" fillId="45" borderId="38" xfId="0" applyNumberFormat="1" applyFont="1" applyFill="1" applyBorder="1" applyAlignment="1">
      <alignment vertical="center"/>
    </xf>
    <xf numFmtId="166" fontId="53" fillId="45" borderId="39" xfId="0" applyNumberFormat="1" applyFont="1" applyFill="1" applyBorder="1" applyAlignment="1">
      <alignment vertical="center"/>
    </xf>
    <xf numFmtId="0" fontId="53" fillId="3" borderId="0" xfId="0" applyFont="1" applyFill="1" applyBorder="1" applyAlignment="1">
      <alignment horizontal="left" wrapText="1"/>
    </xf>
    <xf numFmtId="166" fontId="53" fillId="3" borderId="0" xfId="0" applyNumberFormat="1" applyFont="1" applyFill="1" applyBorder="1"/>
    <xf numFmtId="0" fontId="55" fillId="0" borderId="0" xfId="0" applyFont="1"/>
    <xf numFmtId="172" fontId="54" fillId="3" borderId="0" xfId="0" applyNumberFormat="1" applyFont="1" applyFill="1"/>
    <xf numFmtId="1" fontId="54" fillId="3" borderId="0" xfId="0" applyNumberFormat="1" applyFont="1" applyFill="1"/>
    <xf numFmtId="0" fontId="0" fillId="28" borderId="58" xfId="0" applyFill="1" applyBorder="1" applyAlignment="1">
      <alignment horizontal="center" vertical="center"/>
    </xf>
    <xf numFmtId="10" fontId="0" fillId="28" borderId="58" xfId="1" applyNumberFormat="1" applyFont="1" applyFill="1" applyBorder="1" applyAlignment="1">
      <alignment horizontal="center" vertical="center"/>
    </xf>
    <xf numFmtId="9" fontId="1" fillId="28" borderId="21" xfId="1" applyFont="1" applyFill="1" applyBorder="1" applyAlignment="1">
      <alignment horizontal="center" vertical="center"/>
    </xf>
    <xf numFmtId="9" fontId="1" fillId="28" borderId="18" xfId="1" applyFont="1" applyFill="1" applyBorder="1" applyAlignment="1">
      <alignment horizontal="center" vertical="center"/>
    </xf>
    <xf numFmtId="9" fontId="1" fillId="28" borderId="93" xfId="1" applyFont="1" applyFill="1" applyBorder="1" applyAlignment="1">
      <alignment horizontal="center" vertical="center"/>
    </xf>
    <xf numFmtId="9" fontId="1" fillId="28" borderId="64" xfId="1" applyFont="1" applyFill="1" applyBorder="1" applyAlignment="1">
      <alignment horizontal="center" vertical="center"/>
    </xf>
    <xf numFmtId="9" fontId="1" fillId="28" borderId="58" xfId="1" applyFont="1" applyFill="1" applyBorder="1" applyAlignment="1">
      <alignment horizontal="center" vertical="center"/>
    </xf>
    <xf numFmtId="164" fontId="49" fillId="3" borderId="2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7" fillId="3" borderId="0" xfId="0" applyFont="1" applyFill="1" applyBorder="1"/>
    <xf numFmtId="0" fontId="58" fillId="3" borderId="0" xfId="0" applyFont="1" applyFill="1"/>
    <xf numFmtId="0" fontId="56" fillId="45" borderId="3" xfId="0" applyFont="1" applyFill="1" applyBorder="1" applyAlignment="1">
      <alignment horizontal="left" wrapText="1"/>
    </xf>
    <xf numFmtId="0" fontId="56" fillId="45" borderId="4" xfId="0" applyFont="1" applyFill="1" applyBorder="1" applyAlignment="1">
      <alignment horizontal="center" vertical="center" wrapText="1"/>
    </xf>
    <xf numFmtId="0" fontId="56" fillId="45" borderId="4" xfId="0" applyFont="1" applyFill="1" applyBorder="1" applyAlignment="1">
      <alignment horizontal="center"/>
    </xf>
    <xf numFmtId="0" fontId="56" fillId="45" borderId="6" xfId="0" applyFont="1" applyFill="1" applyBorder="1" applyAlignment="1">
      <alignment horizontal="center" vertical="center" wrapText="1"/>
    </xf>
    <xf numFmtId="0" fontId="58" fillId="3" borderId="114" xfId="0" applyFont="1" applyFill="1" applyBorder="1"/>
    <xf numFmtId="166" fontId="58" fillId="3" borderId="112" xfId="0" applyNumberFormat="1" applyFont="1" applyFill="1" applyBorder="1"/>
    <xf numFmtId="166" fontId="56" fillId="3" borderId="115" xfId="0" applyNumberFormat="1" applyFont="1" applyFill="1" applyBorder="1"/>
    <xf numFmtId="0" fontId="58" fillId="3" borderId="0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left" wrapText="1"/>
    </xf>
    <xf numFmtId="166" fontId="56" fillId="3" borderId="0" xfId="0" applyNumberFormat="1" applyFont="1" applyFill="1" applyBorder="1"/>
    <xf numFmtId="0" fontId="58" fillId="3" borderId="0" xfId="0" applyFont="1" applyFill="1" applyBorder="1" applyAlignment="1">
      <alignment horizontal="left" wrapText="1"/>
    </xf>
    <xf numFmtId="0" fontId="56" fillId="30" borderId="112" xfId="0" applyFont="1" applyFill="1" applyBorder="1" applyAlignment="1">
      <alignment horizontal="center" vertical="center" wrapText="1"/>
    </xf>
    <xf numFmtId="164" fontId="58" fillId="3" borderId="112" xfId="0" applyNumberFormat="1" applyFont="1" applyFill="1" applyBorder="1" applyAlignment="1">
      <alignment horizontal="center" vertical="center"/>
    </xf>
    <xf numFmtId="164" fontId="58" fillId="28" borderId="112" xfId="0" applyNumberFormat="1" applyFont="1" applyFill="1" applyBorder="1" applyAlignment="1">
      <alignment horizontal="center" vertical="center"/>
    </xf>
    <xf numFmtId="0" fontId="56" fillId="26" borderId="35" xfId="0" applyFont="1" applyFill="1" applyBorder="1" applyAlignment="1">
      <alignment horizontal="left" wrapText="1"/>
    </xf>
    <xf numFmtId="166" fontId="56" fillId="26" borderId="11" xfId="0" applyNumberFormat="1" applyFont="1" applyFill="1" applyBorder="1"/>
    <xf numFmtId="166" fontId="56" fillId="26" borderId="55" xfId="0" applyNumberFormat="1" applyFont="1" applyFill="1" applyBorder="1"/>
    <xf numFmtId="0" fontId="53" fillId="26" borderId="112" xfId="0" applyFont="1" applyFill="1" applyBorder="1" applyAlignment="1">
      <alignment horizontal="center" vertical="center" wrapText="1"/>
    </xf>
    <xf numFmtId="0" fontId="53" fillId="30" borderId="112" xfId="0" applyFont="1" applyFill="1" applyBorder="1" applyAlignment="1">
      <alignment horizontal="center" vertical="center" wrapText="1"/>
    </xf>
    <xf numFmtId="164" fontId="54" fillId="3" borderId="112" xfId="0" applyNumberFormat="1" applyFont="1" applyFill="1" applyBorder="1" applyAlignment="1">
      <alignment horizontal="center" vertical="center"/>
    </xf>
    <xf numFmtId="169" fontId="6" fillId="39" borderId="112" xfId="0" applyNumberFormat="1" applyFont="1" applyFill="1" applyBorder="1" applyAlignment="1">
      <alignment horizontal="center" vertical="center"/>
    </xf>
    <xf numFmtId="2" fontId="0" fillId="32" borderId="44" xfId="0" applyNumberFormat="1" applyFont="1" applyFill="1" applyBorder="1" applyAlignment="1">
      <alignment horizontal="center" vertical="center"/>
    </xf>
    <xf numFmtId="2" fontId="0" fillId="32" borderId="42" xfId="0" applyNumberFormat="1" applyFont="1" applyFill="1" applyBorder="1" applyAlignment="1">
      <alignment horizontal="center" vertical="center"/>
    </xf>
    <xf numFmtId="164" fontId="49" fillId="3" borderId="113" xfId="0" applyNumberFormat="1" applyFont="1" applyFill="1" applyBorder="1" applyAlignment="1">
      <alignment horizontal="center" vertical="center"/>
    </xf>
    <xf numFmtId="164" fontId="0" fillId="3" borderId="118" xfId="0" applyNumberFormat="1" applyFont="1" applyFill="1" applyBorder="1" applyAlignment="1">
      <alignment horizontal="center" vertical="center"/>
    </xf>
    <xf numFmtId="2" fontId="0" fillId="32" borderId="113" xfId="0" applyNumberFormat="1" applyFont="1" applyFill="1" applyBorder="1" applyAlignment="1">
      <alignment horizontal="center" vertical="center"/>
    </xf>
    <xf numFmtId="0" fontId="31" fillId="3" borderId="119" xfId="42097" applyFont="1" applyFill="1" applyBorder="1" applyAlignment="1">
      <alignment horizontal="center" vertical="center" wrapText="1"/>
    </xf>
    <xf numFmtId="2" fontId="0" fillId="32" borderId="120" xfId="0" applyNumberFormat="1" applyFont="1" applyFill="1" applyBorder="1" applyAlignment="1">
      <alignment horizontal="center" vertical="center"/>
    </xf>
    <xf numFmtId="164" fontId="49" fillId="3" borderId="121" xfId="0" applyNumberFormat="1" applyFont="1" applyFill="1" applyBorder="1" applyAlignment="1">
      <alignment horizontal="center" vertical="center"/>
    </xf>
    <xf numFmtId="2" fontId="0" fillId="32" borderId="121" xfId="0" applyNumberFormat="1" applyFont="1" applyFill="1" applyBorder="1" applyAlignment="1">
      <alignment horizontal="center" vertical="center"/>
    </xf>
    <xf numFmtId="164" fontId="49" fillId="3" borderId="122" xfId="0" applyNumberFormat="1" applyFont="1" applyFill="1" applyBorder="1" applyAlignment="1">
      <alignment horizontal="center" vertical="center"/>
    </xf>
    <xf numFmtId="2" fontId="0" fillId="32" borderId="122" xfId="0" applyNumberFormat="1" applyFont="1" applyFill="1" applyBorder="1" applyAlignment="1">
      <alignment horizontal="center" vertical="center"/>
    </xf>
    <xf numFmtId="0" fontId="31" fillId="3" borderId="123" xfId="42097" applyFont="1" applyFill="1" applyBorder="1" applyAlignment="1">
      <alignment horizontal="center" vertical="center" wrapText="1"/>
    </xf>
    <xf numFmtId="2" fontId="0" fillId="32" borderId="124" xfId="0" applyNumberFormat="1" applyFont="1" applyFill="1" applyBorder="1" applyAlignment="1">
      <alignment horizontal="center" vertical="center"/>
    </xf>
    <xf numFmtId="164" fontId="49" fillId="3" borderId="125" xfId="0" applyNumberFormat="1" applyFont="1" applyFill="1" applyBorder="1" applyAlignment="1">
      <alignment horizontal="center" vertical="center"/>
    </xf>
    <xf numFmtId="2" fontId="0" fillId="28" borderId="125" xfId="0" applyNumberFormat="1" applyFont="1" applyFill="1" applyBorder="1" applyAlignment="1">
      <alignment horizontal="center" vertical="center"/>
    </xf>
    <xf numFmtId="2" fontId="0" fillId="28" borderId="124" xfId="0" applyNumberFormat="1" applyFont="1" applyFill="1" applyBorder="1" applyAlignment="1">
      <alignment horizontal="center" vertical="center"/>
    </xf>
    <xf numFmtId="2" fontId="0" fillId="32" borderId="125" xfId="0" applyNumberFormat="1" applyFont="1" applyFill="1" applyBorder="1" applyAlignment="1">
      <alignment horizontal="center" vertical="center"/>
    </xf>
    <xf numFmtId="2" fontId="6" fillId="32" borderId="124" xfId="0" applyNumberFormat="1" applyFont="1" applyFill="1" applyBorder="1" applyAlignment="1">
      <alignment horizontal="center" vertical="center"/>
    </xf>
    <xf numFmtId="164" fontId="50" fillId="3" borderId="118" xfId="0" applyNumberFormat="1" applyFont="1" applyFill="1" applyBorder="1" applyAlignment="1">
      <alignment horizontal="center" vertical="center"/>
    </xf>
    <xf numFmtId="164" fontId="0" fillId="39" borderId="112" xfId="0" applyNumberFormat="1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 vertical="center"/>
    </xf>
    <xf numFmtId="9" fontId="0" fillId="28" borderId="20" xfId="1" applyFont="1" applyFill="1" applyBorder="1" applyAlignment="1">
      <alignment horizontal="center" vertical="center"/>
    </xf>
    <xf numFmtId="9" fontId="0" fillId="28" borderId="16" xfId="1" applyFont="1" applyFill="1" applyBorder="1" applyAlignment="1">
      <alignment horizontal="center" vertical="center"/>
    </xf>
    <xf numFmtId="164" fontId="31" fillId="3" borderId="126" xfId="42097" applyNumberFormat="1" applyFont="1" applyFill="1" applyBorder="1" applyAlignment="1">
      <alignment horizontal="center" wrapText="1"/>
    </xf>
    <xf numFmtId="2" fontId="0" fillId="28" borderId="127" xfId="0" applyNumberFormat="1" applyFont="1" applyFill="1" applyBorder="1" applyAlignment="1">
      <alignment horizontal="center" vertical="center"/>
    </xf>
    <xf numFmtId="164" fontId="49" fillId="3" borderId="128" xfId="0" applyNumberFormat="1" applyFont="1" applyFill="1" applyBorder="1" applyAlignment="1">
      <alignment horizontal="center" vertical="center"/>
    </xf>
    <xf numFmtId="2" fontId="0" fillId="28" borderId="128" xfId="0" applyNumberFormat="1" applyFont="1" applyFill="1" applyBorder="1" applyAlignment="1">
      <alignment horizontal="center" vertical="center"/>
    </xf>
    <xf numFmtId="2" fontId="0" fillId="28" borderId="129" xfId="0" applyNumberFormat="1" applyFont="1" applyFill="1" applyBorder="1" applyAlignment="1">
      <alignment horizontal="center" vertical="center"/>
    </xf>
    <xf numFmtId="9" fontId="0" fillId="28" borderId="128" xfId="1" applyFont="1" applyFill="1" applyBorder="1" applyAlignment="1">
      <alignment horizontal="center" vertical="center"/>
    </xf>
    <xf numFmtId="0" fontId="0" fillId="3" borderId="128" xfId="0" applyNumberFormat="1" applyFont="1" applyFill="1" applyBorder="1" applyAlignment="1">
      <alignment horizontal="center"/>
    </xf>
    <xf numFmtId="9" fontId="6" fillId="39" borderId="112" xfId="1" applyFont="1" applyFill="1" applyBorder="1" applyAlignment="1">
      <alignment horizontal="center" vertical="center"/>
    </xf>
    <xf numFmtId="0" fontId="0" fillId="40" borderId="129" xfId="0" applyFont="1" applyFill="1" applyBorder="1" applyAlignment="1">
      <alignment horizontal="center" vertical="center"/>
    </xf>
    <xf numFmtId="0" fontId="6" fillId="40" borderId="116" xfId="0" applyFont="1" applyFill="1" applyBorder="1" applyAlignment="1">
      <alignment horizontal="center" vertical="center"/>
    </xf>
    <xf numFmtId="169" fontId="6" fillId="39" borderId="130" xfId="0" applyNumberFormat="1" applyFont="1" applyFill="1" applyBorder="1" applyAlignment="1">
      <alignment horizontal="center" vertical="center"/>
    </xf>
    <xf numFmtId="9" fontId="6" fillId="39" borderId="130" xfId="1" applyFont="1" applyFill="1" applyBorder="1" applyAlignment="1">
      <alignment horizontal="center" vertical="center"/>
    </xf>
    <xf numFmtId="0" fontId="45" fillId="40" borderId="112" xfId="42071" applyFont="1" applyFill="1" applyBorder="1" applyAlignment="1">
      <alignment horizontal="center" vertical="center" wrapText="1"/>
    </xf>
    <xf numFmtId="0" fontId="45" fillId="40" borderId="112" xfId="0" applyFont="1" applyFill="1" applyBorder="1" applyAlignment="1">
      <alignment horizontal="center" vertical="center" wrapText="1"/>
    </xf>
    <xf numFmtId="0" fontId="41" fillId="28" borderId="112" xfId="0" applyFont="1" applyFill="1" applyBorder="1" applyAlignment="1">
      <alignment horizontal="center" vertical="center" wrapText="1"/>
    </xf>
    <xf numFmtId="0" fontId="39" fillId="28" borderId="112" xfId="0" applyFont="1" applyFill="1" applyBorder="1" applyAlignment="1">
      <alignment horizontal="center" vertical="center" wrapText="1"/>
    </xf>
    <xf numFmtId="0" fontId="39" fillId="28" borderId="112" xfId="42071" applyFont="1" applyFill="1" applyBorder="1" applyAlignment="1">
      <alignment horizontal="center" vertical="center" wrapText="1"/>
    </xf>
    <xf numFmtId="0" fontId="41" fillId="32" borderId="112" xfId="0" applyFont="1" applyFill="1" applyBorder="1" applyAlignment="1">
      <alignment horizontal="center" vertical="center" wrapText="1"/>
    </xf>
    <xf numFmtId="0" fontId="39" fillId="32" borderId="112" xfId="0" applyFont="1" applyFill="1" applyBorder="1" applyAlignment="1">
      <alignment horizontal="center" vertical="center" wrapText="1"/>
    </xf>
    <xf numFmtId="0" fontId="39" fillId="32" borderId="112" xfId="42071" applyFont="1" applyFill="1" applyBorder="1" applyAlignment="1">
      <alignment horizontal="center" vertical="center" wrapText="1"/>
    </xf>
    <xf numFmtId="169" fontId="6" fillId="49" borderId="117" xfId="0" applyNumberFormat="1" applyFont="1" applyFill="1" applyBorder="1" applyAlignment="1">
      <alignment horizontal="center" vertical="center"/>
    </xf>
    <xf numFmtId="169" fontId="6" fillId="49" borderId="112" xfId="0" applyNumberFormat="1" applyFont="1" applyFill="1" applyBorder="1" applyAlignment="1">
      <alignment horizontal="center" vertical="center"/>
    </xf>
    <xf numFmtId="169" fontId="6" fillId="49" borderId="130" xfId="0" applyNumberFormat="1" applyFont="1" applyFill="1" applyBorder="1" applyAlignment="1">
      <alignment horizontal="center" vertical="center"/>
    </xf>
    <xf numFmtId="164" fontId="0" fillId="49" borderId="112" xfId="0" applyNumberFormat="1" applyFont="1" applyFill="1" applyBorder="1" applyAlignment="1">
      <alignment horizontal="center" vertical="center"/>
    </xf>
    <xf numFmtId="169" fontId="6" fillId="26" borderId="112" xfId="0" applyNumberFormat="1" applyFont="1" applyFill="1" applyBorder="1" applyAlignment="1">
      <alignment horizontal="center" vertical="center"/>
    </xf>
    <xf numFmtId="169" fontId="6" fillId="26" borderId="130" xfId="0" applyNumberFormat="1" applyFont="1" applyFill="1" applyBorder="1" applyAlignment="1">
      <alignment horizontal="center" vertical="center"/>
    </xf>
    <xf numFmtId="164" fontId="0" fillId="26" borderId="112" xfId="0" applyNumberFormat="1" applyFont="1" applyFill="1" applyBorder="1" applyAlignment="1">
      <alignment horizontal="center" vertical="center"/>
    </xf>
    <xf numFmtId="174" fontId="6" fillId="26" borderId="112" xfId="0" applyNumberFormat="1" applyFont="1" applyFill="1" applyBorder="1" applyAlignment="1">
      <alignment horizontal="center" vertical="center"/>
    </xf>
    <xf numFmtId="9" fontId="6" fillId="26" borderId="130" xfId="1" applyFont="1" applyFill="1" applyBorder="1" applyAlignment="1">
      <alignment horizontal="center" vertical="center"/>
    </xf>
    <xf numFmtId="9" fontId="6" fillId="26" borderId="112" xfId="1" applyFont="1" applyFill="1" applyBorder="1" applyAlignment="1">
      <alignment horizontal="center" vertical="center"/>
    </xf>
    <xf numFmtId="0" fontId="39" fillId="32" borderId="116" xfId="42071" applyFont="1" applyFill="1" applyBorder="1" applyAlignment="1">
      <alignment horizontal="center" vertical="center" wrapText="1"/>
    </xf>
    <xf numFmtId="9" fontId="0" fillId="32" borderId="21" xfId="1" applyFont="1" applyFill="1" applyBorder="1" applyAlignment="1">
      <alignment horizontal="center" vertical="center"/>
    </xf>
    <xf numFmtId="9" fontId="0" fillId="32" borderId="18" xfId="1" applyFont="1" applyFill="1" applyBorder="1" applyAlignment="1">
      <alignment horizontal="center" vertical="center"/>
    </xf>
    <xf numFmtId="9" fontId="6" fillId="32" borderId="21" xfId="1" applyFont="1" applyFill="1" applyBorder="1" applyAlignment="1">
      <alignment horizontal="center" vertical="center"/>
    </xf>
    <xf numFmtId="9" fontId="6" fillId="32" borderId="129" xfId="1" applyFont="1" applyFill="1" applyBorder="1" applyAlignment="1">
      <alignment horizontal="center" vertical="center"/>
    </xf>
    <xf numFmtId="9" fontId="0" fillId="32" borderId="129" xfId="1" applyFont="1" applyFill="1" applyBorder="1" applyAlignment="1">
      <alignment horizontal="center" vertical="center"/>
    </xf>
    <xf numFmtId="9" fontId="6" fillId="49" borderId="129" xfId="1" applyFont="1" applyFill="1" applyBorder="1" applyAlignment="1">
      <alignment horizontal="center" vertical="center"/>
    </xf>
    <xf numFmtId="9" fontId="6" fillId="49" borderId="116" xfId="1" applyFont="1" applyFill="1" applyBorder="1" applyAlignment="1">
      <alignment horizontal="center" vertical="center"/>
    </xf>
    <xf numFmtId="2" fontId="0" fillId="28" borderId="130" xfId="0" applyNumberFormat="1" applyFont="1" applyFill="1" applyBorder="1" applyAlignment="1">
      <alignment horizontal="center" vertical="center"/>
    </xf>
    <xf numFmtId="164" fontId="49" fillId="3" borderId="130" xfId="0" applyNumberFormat="1" applyFont="1" applyFill="1" applyBorder="1" applyAlignment="1">
      <alignment horizontal="center" vertical="center"/>
    </xf>
    <xf numFmtId="9" fontId="0" fillId="28" borderId="130" xfId="1" applyFont="1" applyFill="1" applyBorder="1" applyAlignment="1">
      <alignment horizontal="center" vertical="center"/>
    </xf>
    <xf numFmtId="2" fontId="6" fillId="28" borderId="130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0" fillId="3" borderId="130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164" fontId="56" fillId="26" borderId="113" xfId="0" applyNumberFormat="1" applyFont="1" applyFill="1" applyBorder="1" applyAlignment="1">
      <alignment horizontal="center" vertical="center"/>
    </xf>
    <xf numFmtId="164" fontId="56" fillId="26" borderId="16" xfId="0" applyNumberFormat="1" applyFont="1" applyFill="1" applyBorder="1" applyAlignment="1">
      <alignment horizontal="center" vertical="center"/>
    </xf>
    <xf numFmtId="164" fontId="56" fillId="26" borderId="112" xfId="0" applyNumberFormat="1" applyFont="1" applyFill="1" applyBorder="1" applyAlignment="1">
      <alignment horizontal="center" vertical="center"/>
    </xf>
    <xf numFmtId="1" fontId="56" fillId="26" borderId="112" xfId="0" applyNumberFormat="1" applyFont="1" applyFill="1" applyBorder="1" applyAlignment="1">
      <alignment horizontal="center" vertical="center"/>
    </xf>
    <xf numFmtId="164" fontId="58" fillId="40" borderId="112" xfId="0" applyNumberFormat="1" applyFont="1" applyFill="1" applyBorder="1" applyAlignment="1">
      <alignment horizontal="center" vertical="center"/>
    </xf>
    <xf numFmtId="1" fontId="56" fillId="40" borderId="112" xfId="0" applyNumberFormat="1" applyFont="1" applyFill="1" applyBorder="1" applyAlignment="1">
      <alignment horizontal="center" vertical="center"/>
    </xf>
    <xf numFmtId="0" fontId="53" fillId="40" borderId="112" xfId="0" applyFont="1" applyFill="1" applyBorder="1" applyAlignment="1">
      <alignment horizontal="center" vertical="center" wrapText="1"/>
    </xf>
    <xf numFmtId="164" fontId="54" fillId="40" borderId="112" xfId="0" applyNumberFormat="1" applyFont="1" applyFill="1" applyBorder="1" applyAlignment="1">
      <alignment horizontal="center" vertical="center"/>
    </xf>
    <xf numFmtId="0" fontId="56" fillId="49" borderId="112" xfId="0" applyFont="1" applyFill="1" applyBorder="1" applyAlignment="1">
      <alignment horizontal="center" vertical="center" wrapText="1"/>
    </xf>
    <xf numFmtId="0" fontId="56" fillId="40" borderId="112" xfId="0" applyFont="1" applyFill="1" applyBorder="1" applyAlignment="1">
      <alignment horizontal="center" vertical="center" wrapText="1"/>
    </xf>
    <xf numFmtId="164" fontId="54" fillId="28" borderId="112" xfId="0" applyNumberFormat="1" applyFont="1" applyFill="1" applyBorder="1" applyAlignment="1">
      <alignment horizontal="center" vertical="center" wrapText="1"/>
    </xf>
    <xf numFmtId="164" fontId="53" fillId="40" borderId="112" xfId="0" applyNumberFormat="1" applyFont="1" applyFill="1" applyBorder="1" applyAlignment="1">
      <alignment horizontal="center" vertical="center"/>
    </xf>
    <xf numFmtId="164" fontId="53" fillId="28" borderId="112" xfId="0" applyNumberFormat="1" applyFont="1" applyFill="1" applyBorder="1" applyAlignment="1">
      <alignment horizontal="center" vertical="center"/>
    </xf>
    <xf numFmtId="0" fontId="53" fillId="3" borderId="0" xfId="0" applyFont="1" applyFill="1"/>
    <xf numFmtId="0" fontId="3" fillId="28" borderId="14" xfId="0" applyFont="1" applyFill="1" applyBorder="1" applyAlignment="1">
      <alignment horizontal="center" vertical="center"/>
    </xf>
    <xf numFmtId="0" fontId="3" fillId="28" borderId="42" xfId="0" applyFont="1" applyFill="1" applyBorder="1" applyAlignment="1">
      <alignment horizontal="center" vertical="center"/>
    </xf>
    <xf numFmtId="0" fontId="3" fillId="28" borderId="137" xfId="0" applyFont="1" applyFill="1" applyBorder="1" applyAlignment="1">
      <alignment horizontal="center" vertical="center"/>
    </xf>
    <xf numFmtId="164" fontId="0" fillId="28" borderId="11" xfId="0" applyNumberFormat="1" applyFont="1" applyFill="1" applyBorder="1" applyAlignment="1">
      <alignment horizontal="center" vertical="center"/>
    </xf>
    <xf numFmtId="164" fontId="0" fillId="42" borderId="11" xfId="0" applyNumberFormat="1" applyFont="1" applyFill="1" applyBorder="1" applyAlignment="1">
      <alignment horizontal="center" vertical="center"/>
    </xf>
    <xf numFmtId="10" fontId="0" fillId="28" borderId="11" xfId="1" applyNumberFormat="1" applyFont="1" applyFill="1" applyBorder="1" applyAlignment="1">
      <alignment horizontal="center" vertical="center"/>
    </xf>
    <xf numFmtId="0" fontId="3" fillId="40" borderId="14" xfId="0" applyFont="1" applyFill="1" applyBorder="1" applyAlignment="1">
      <alignment horizontal="center" vertical="center"/>
    </xf>
    <xf numFmtId="0" fontId="3" fillId="40" borderId="137" xfId="0" applyFont="1" applyFill="1" applyBorder="1" applyAlignment="1">
      <alignment horizontal="center" vertical="center"/>
    </xf>
    <xf numFmtId="164" fontId="3" fillId="40" borderId="11" xfId="0" applyNumberFormat="1" applyFont="1" applyFill="1" applyBorder="1" applyAlignment="1">
      <alignment horizontal="center" vertical="center"/>
    </xf>
    <xf numFmtId="0" fontId="6" fillId="42" borderId="55" xfId="0" applyFont="1" applyFill="1" applyBorder="1" applyAlignment="1">
      <alignment horizontal="center" vertical="center"/>
    </xf>
    <xf numFmtId="164" fontId="3" fillId="40" borderId="104" xfId="0" applyNumberFormat="1" applyFont="1" applyFill="1" applyBorder="1" applyAlignment="1">
      <alignment horizontal="center" vertical="center"/>
    </xf>
    <xf numFmtId="164" fontId="3" fillId="40" borderId="14" xfId="0" applyNumberFormat="1" applyFont="1" applyFill="1" applyBorder="1" applyAlignment="1">
      <alignment horizontal="center" vertical="center"/>
    </xf>
    <xf numFmtId="10" fontId="3" fillId="40" borderId="4" xfId="1" applyNumberFormat="1" applyFont="1" applyFill="1" applyBorder="1" applyAlignment="1">
      <alignment horizontal="center" vertical="center"/>
    </xf>
    <xf numFmtId="0" fontId="38" fillId="42" borderId="6" xfId="0" applyFont="1" applyFill="1" applyBorder="1" applyAlignment="1">
      <alignment horizontal="center" vertical="center"/>
    </xf>
    <xf numFmtId="0" fontId="6" fillId="44" borderId="60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35" xfId="0" applyNumberFormat="1" applyFont="1" applyFill="1" applyBorder="1" applyAlignment="1">
      <alignment horizontal="center"/>
    </xf>
    <xf numFmtId="164" fontId="6" fillId="3" borderId="82" xfId="0" applyNumberFormat="1" applyFont="1" applyFill="1" applyBorder="1" applyAlignment="1">
      <alignment horizontal="center"/>
    </xf>
    <xf numFmtId="164" fontId="6" fillId="3" borderId="38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35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5" fillId="40" borderId="36" xfId="0" applyFont="1" applyFill="1" applyBorder="1" applyAlignment="1">
      <alignment horizontal="center" vertical="center" wrapText="1"/>
    </xf>
    <xf numFmtId="0" fontId="6" fillId="3" borderId="140" xfId="0" applyFont="1" applyFill="1" applyBorder="1"/>
    <xf numFmtId="0" fontId="6" fillId="3" borderId="141" xfId="0" applyFont="1" applyFill="1" applyBorder="1"/>
    <xf numFmtId="0" fontId="6" fillId="3" borderId="43" xfId="0" applyFont="1" applyFill="1" applyBorder="1"/>
    <xf numFmtId="14" fontId="6" fillId="3" borderId="140" xfId="0" applyNumberFormat="1" applyFont="1" applyFill="1" applyBorder="1"/>
    <xf numFmtId="9" fontId="6" fillId="3" borderId="6" xfId="1" applyNumberFormat="1" applyFont="1" applyFill="1" applyBorder="1" applyAlignment="1">
      <alignment horizontal="center"/>
    </xf>
    <xf numFmtId="9" fontId="6" fillId="3" borderId="55" xfId="1" applyNumberFormat="1" applyFont="1" applyFill="1" applyBorder="1" applyAlignment="1">
      <alignment horizontal="center"/>
    </xf>
    <xf numFmtId="9" fontId="6" fillId="3" borderId="39" xfId="1" applyNumberFormat="1" applyFont="1" applyFill="1" applyBorder="1" applyAlignment="1">
      <alignment horizontal="center"/>
    </xf>
    <xf numFmtId="0" fontId="0" fillId="34" borderId="135" xfId="0" applyFill="1" applyBorder="1" applyAlignment="1">
      <alignment horizontal="left"/>
    </xf>
    <xf numFmtId="9" fontId="38" fillId="3" borderId="6" xfId="1" applyNumberFormat="1" applyFont="1" applyFill="1" applyBorder="1" applyAlignment="1">
      <alignment horizontal="center"/>
    </xf>
    <xf numFmtId="0" fontId="0" fillId="26" borderId="60" xfId="0" applyFill="1" applyBorder="1" applyAlignment="1">
      <alignment horizontal="left"/>
    </xf>
    <xf numFmtId="0" fontId="0" fillId="26" borderId="135" xfId="0" applyFill="1" applyBorder="1" applyAlignment="1">
      <alignment horizontal="left"/>
    </xf>
    <xf numFmtId="0" fontId="0" fillId="26" borderId="34" xfId="0" applyFill="1" applyBorder="1"/>
    <xf numFmtId="1" fontId="3" fillId="26" borderId="73" xfId="0" applyNumberFormat="1" applyFont="1" applyFill="1" applyBorder="1" applyAlignment="1">
      <alignment horizontal="center" vertical="center"/>
    </xf>
    <xf numFmtId="1" fontId="3" fillId="26" borderId="11" xfId="0" applyNumberFormat="1" applyFont="1" applyFill="1" applyBorder="1" applyAlignment="1">
      <alignment horizontal="center" vertical="center"/>
    </xf>
    <xf numFmtId="1" fontId="3" fillId="26" borderId="71" xfId="0" applyNumberFormat="1" applyFont="1" applyFill="1" applyBorder="1" applyAlignment="1">
      <alignment horizontal="center" vertical="center"/>
    </xf>
    <xf numFmtId="1" fontId="3" fillId="26" borderId="75" xfId="0" applyNumberFormat="1" applyFont="1" applyFill="1" applyBorder="1" applyAlignment="1">
      <alignment horizontal="center" vertical="center"/>
    </xf>
    <xf numFmtId="9" fontId="3" fillId="26" borderId="55" xfId="1" applyFont="1" applyFill="1" applyBorder="1" applyAlignment="1">
      <alignment horizontal="center" vertical="center"/>
    </xf>
    <xf numFmtId="164" fontId="3" fillId="40" borderId="5" xfId="0" applyNumberFormat="1" applyFont="1" applyFill="1" applyBorder="1" applyAlignment="1">
      <alignment horizontal="center" vertical="center"/>
    </xf>
    <xf numFmtId="164" fontId="3" fillId="40" borderId="139" xfId="0" applyNumberFormat="1" applyFont="1" applyFill="1" applyBorder="1" applyAlignment="1">
      <alignment horizontal="center" vertical="center"/>
    </xf>
    <xf numFmtId="10" fontId="3" fillId="40" borderId="11" xfId="1" applyNumberFormat="1" applyFont="1" applyFill="1" applyBorder="1" applyAlignment="1">
      <alignment horizontal="center" vertical="center"/>
    </xf>
    <xf numFmtId="164" fontId="3" fillId="40" borderId="137" xfId="0" applyNumberFormat="1" applyFont="1" applyFill="1" applyBorder="1" applyAlignment="1">
      <alignment horizontal="center" vertical="center"/>
    </xf>
    <xf numFmtId="0" fontId="48" fillId="3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9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71" fontId="0" fillId="2" borderId="0" xfId="0" applyNumberFormat="1" applyFill="1" applyAlignment="1">
      <alignment horizontal="center" vertical="center"/>
    </xf>
    <xf numFmtId="169" fontId="0" fillId="2" borderId="0" xfId="0" applyNumberFormat="1" applyFont="1" applyFill="1" applyAlignment="1">
      <alignment horizontal="center" vertical="center"/>
    </xf>
    <xf numFmtId="0" fontId="0" fillId="50" borderId="0" xfId="0" applyFill="1"/>
    <xf numFmtId="0" fontId="0" fillId="50" borderId="0" xfId="0" applyFont="1" applyFill="1"/>
    <xf numFmtId="0" fontId="44" fillId="50" borderId="0" xfId="0" applyFont="1" applyFill="1" applyAlignment="1">
      <alignment horizontal="left"/>
    </xf>
    <xf numFmtId="0" fontId="37" fillId="50" borderId="0" xfId="0" applyFont="1" applyFill="1"/>
    <xf numFmtId="169" fontId="51" fillId="50" borderId="0" xfId="0" applyNumberFormat="1" applyFont="1" applyFill="1" applyAlignment="1">
      <alignment horizontal="center"/>
    </xf>
    <xf numFmtId="169" fontId="52" fillId="50" borderId="0" xfId="0" applyNumberFormat="1" applyFont="1" applyFill="1" applyAlignment="1">
      <alignment horizontal="center"/>
    </xf>
    <xf numFmtId="0" fontId="3" fillId="50" borderId="0" xfId="0" applyFont="1" applyFill="1" applyAlignment="1">
      <alignment horizontal="left"/>
    </xf>
    <xf numFmtId="0" fontId="0" fillId="50" borderId="0" xfId="0" applyFill="1" applyAlignment="1">
      <alignment horizontal="left"/>
    </xf>
    <xf numFmtId="171" fontId="51" fillId="50" borderId="0" xfId="0" applyNumberFormat="1" applyFont="1" applyFill="1" applyAlignment="1">
      <alignment horizontal="center"/>
    </xf>
    <xf numFmtId="2" fontId="0" fillId="50" borderId="0" xfId="0" applyNumberFormat="1" applyFill="1"/>
    <xf numFmtId="171" fontId="52" fillId="50" borderId="0" xfId="0" applyNumberFormat="1" applyFont="1" applyFill="1" applyAlignment="1">
      <alignment horizontal="center"/>
    </xf>
    <xf numFmtId="166" fontId="0" fillId="50" borderId="0" xfId="0" applyNumberFormat="1" applyFill="1"/>
    <xf numFmtId="164" fontId="0" fillId="50" borderId="0" xfId="0" applyNumberFormat="1" applyFont="1" applyFill="1"/>
    <xf numFmtId="0" fontId="43" fillId="50" borderId="0" xfId="0" applyFont="1" applyFill="1"/>
    <xf numFmtId="164" fontId="43" fillId="50" borderId="0" xfId="0" applyNumberFormat="1" applyFont="1" applyFill="1"/>
    <xf numFmtId="2" fontId="43" fillId="50" borderId="0" xfId="0" applyNumberFormat="1" applyFont="1" applyFill="1"/>
    <xf numFmtId="9" fontId="43" fillId="50" borderId="0" xfId="1" applyFont="1" applyFill="1"/>
    <xf numFmtId="0" fontId="43" fillId="50" borderId="0" xfId="0" applyFont="1" applyFill="1" applyAlignment="1">
      <alignment vertical="center"/>
    </xf>
    <xf numFmtId="0" fontId="43" fillId="50" borderId="0" xfId="0" applyFont="1" applyFill="1" applyAlignment="1">
      <alignment horizontal="left"/>
    </xf>
    <xf numFmtId="0" fontId="3" fillId="28" borderId="145" xfId="0" applyFont="1" applyFill="1" applyBorder="1" applyAlignment="1">
      <alignment horizontal="center" vertical="center"/>
    </xf>
    <xf numFmtId="164" fontId="0" fillId="42" borderId="143" xfId="0" applyNumberFormat="1" applyFont="1" applyFill="1" applyBorder="1" applyAlignment="1">
      <alignment horizontal="center" vertical="center"/>
    </xf>
    <xf numFmtId="164" fontId="0" fillId="28" borderId="146" xfId="0" applyNumberFormat="1" applyFont="1" applyFill="1" applyBorder="1" applyAlignment="1">
      <alignment horizontal="center" vertical="center"/>
    </xf>
    <xf numFmtId="164" fontId="0" fillId="28" borderId="145" xfId="0" applyNumberFormat="1" applyFont="1" applyFill="1" applyBorder="1" applyAlignment="1">
      <alignment horizontal="center" vertical="center"/>
    </xf>
    <xf numFmtId="10" fontId="0" fillId="28" borderId="143" xfId="1" applyNumberFormat="1" applyFont="1" applyFill="1" applyBorder="1" applyAlignment="1">
      <alignment horizontal="center" vertical="center"/>
    </xf>
    <xf numFmtId="164" fontId="0" fillId="28" borderId="104" xfId="0" applyNumberFormat="1" applyFont="1" applyFill="1" applyBorder="1" applyAlignment="1">
      <alignment horizontal="center" vertical="center"/>
    </xf>
    <xf numFmtId="164" fontId="0" fillId="28" borderId="14" xfId="0" applyNumberFormat="1" applyFont="1" applyFill="1" applyBorder="1" applyAlignment="1">
      <alignment horizontal="center" vertical="center"/>
    </xf>
    <xf numFmtId="0" fontId="6" fillId="42" borderId="6" xfId="0" applyFont="1" applyFill="1" applyBorder="1" applyAlignment="1">
      <alignment horizontal="center" vertical="center"/>
    </xf>
    <xf numFmtId="0" fontId="6" fillId="42" borderId="144" xfId="0" applyFont="1" applyFill="1" applyBorder="1" applyAlignment="1">
      <alignment horizontal="center" vertical="center"/>
    </xf>
    <xf numFmtId="0" fontId="3" fillId="28" borderId="149" xfId="0" applyFont="1" applyFill="1" applyBorder="1" applyAlignment="1">
      <alignment horizontal="center" vertical="center"/>
    </xf>
    <xf numFmtId="164" fontId="0" fillId="28" borderId="150" xfId="0" applyNumberFormat="1" applyFont="1" applyFill="1" applyBorder="1" applyAlignment="1">
      <alignment horizontal="center" vertical="center"/>
    </xf>
    <xf numFmtId="164" fontId="0" fillId="28" borderId="149" xfId="0" applyNumberFormat="1" applyFont="1" applyFill="1" applyBorder="1" applyAlignment="1">
      <alignment horizontal="center" vertical="center"/>
    </xf>
    <xf numFmtId="164" fontId="0" fillId="42" borderId="155" xfId="0" applyNumberFormat="1" applyFont="1" applyFill="1" applyBorder="1" applyAlignment="1">
      <alignment horizontal="center" vertical="center"/>
    </xf>
    <xf numFmtId="164" fontId="3" fillId="40" borderId="20" xfId="0" applyNumberFormat="1" applyFont="1" applyFill="1" applyBorder="1" applyAlignment="1">
      <alignment horizontal="center" vertical="center"/>
    </xf>
    <xf numFmtId="0" fontId="39" fillId="36" borderId="155" xfId="42071" applyFont="1" applyFill="1" applyBorder="1" applyAlignment="1">
      <alignment horizontal="center" vertical="center" wrapText="1"/>
    </xf>
    <xf numFmtId="0" fontId="0" fillId="0" borderId="155" xfId="0" applyNumberFormat="1" applyBorder="1" applyAlignment="1">
      <alignment horizontal="center"/>
    </xf>
    <xf numFmtId="0" fontId="0" fillId="0" borderId="157" xfId="0" applyBorder="1"/>
    <xf numFmtId="0" fontId="0" fillId="0" borderId="156" xfId="0" applyBorder="1"/>
    <xf numFmtId="0" fontId="0" fillId="0" borderId="0" xfId="0" applyNumberFormat="1"/>
    <xf numFmtId="0" fontId="0" fillId="0" borderId="159" xfId="0" applyNumberFormat="1" applyBorder="1"/>
    <xf numFmtId="164" fontId="6" fillId="3" borderId="158" xfId="0" applyNumberFormat="1" applyFont="1" applyFill="1" applyBorder="1" applyAlignment="1">
      <alignment vertical="center"/>
    </xf>
    <xf numFmtId="0" fontId="0" fillId="0" borderId="20" xfId="0" applyNumberFormat="1" applyBorder="1"/>
    <xf numFmtId="0" fontId="0" fillId="3" borderId="158" xfId="0" applyNumberFormat="1" applyFont="1" applyFill="1" applyBorder="1" applyAlignment="1">
      <alignment vertical="center"/>
    </xf>
    <xf numFmtId="0" fontId="0" fillId="0" borderId="158" xfId="0" applyNumberFormat="1" applyBorder="1"/>
    <xf numFmtId="164" fontId="0" fillId="36" borderId="160" xfId="0" applyNumberFormat="1" applyFont="1" applyFill="1" applyBorder="1" applyAlignment="1">
      <alignment horizontal="center" vertical="center"/>
    </xf>
    <xf numFmtId="164" fontId="0" fillId="36" borderId="161" xfId="0" applyNumberFormat="1" applyFont="1" applyFill="1" applyBorder="1" applyAlignment="1">
      <alignment horizontal="center" vertical="center"/>
    </xf>
    <xf numFmtId="164" fontId="0" fillId="3" borderId="159" xfId="0" applyNumberFormat="1" applyFont="1" applyFill="1" applyBorder="1" applyAlignment="1">
      <alignment horizontal="center" vertical="center"/>
    </xf>
    <xf numFmtId="168" fontId="6" fillId="33" borderId="9" xfId="0" applyNumberFormat="1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8" fontId="6" fillId="33" borderId="12" xfId="0" applyNumberFormat="1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 horizontal="center" vertical="center" wrapText="1"/>
    </xf>
    <xf numFmtId="0" fontId="3" fillId="43" borderId="63" xfId="0" applyFont="1" applyFill="1" applyBorder="1" applyAlignment="1">
      <alignment horizontal="center" vertical="center" wrapText="1"/>
    </xf>
    <xf numFmtId="168" fontId="6" fillId="28" borderId="9" xfId="0" applyNumberFormat="1" applyFont="1" applyFill="1" applyBorder="1" applyAlignment="1">
      <alignment horizontal="center" vertical="center"/>
    </xf>
    <xf numFmtId="168" fontId="6" fillId="28" borderId="10" xfId="0" applyNumberFormat="1" applyFont="1" applyFill="1" applyBorder="1" applyAlignment="1">
      <alignment horizontal="center" vertical="center"/>
    </xf>
    <xf numFmtId="168" fontId="6" fillId="28" borderId="12" xfId="0" applyNumberFormat="1" applyFont="1" applyFill="1" applyBorder="1" applyAlignment="1">
      <alignment horizontal="center" vertic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/>
    </xf>
    <xf numFmtId="0" fontId="4" fillId="28" borderId="36" xfId="0" applyFont="1" applyFill="1" applyBorder="1" applyAlignment="1">
      <alignment horizontal="center" vertical="center"/>
    </xf>
    <xf numFmtId="0" fontId="38" fillId="28" borderId="19" xfId="0" applyFont="1" applyFill="1" applyBorder="1" applyAlignment="1">
      <alignment horizontal="center" wrapText="1"/>
    </xf>
    <xf numFmtId="0" fontId="38" fillId="28" borderId="0" xfId="0" applyFont="1" applyFill="1" applyBorder="1" applyAlignment="1">
      <alignment horizontal="center" wrapText="1"/>
    </xf>
    <xf numFmtId="0" fontId="38" fillId="28" borderId="37" xfId="0" applyFont="1" applyFill="1" applyBorder="1" applyAlignment="1">
      <alignment horizontal="center" wrapText="1"/>
    </xf>
    <xf numFmtId="0" fontId="4" fillId="33" borderId="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3" fillId="26" borderId="52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63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6" xfId="0" applyBorder="1"/>
    <xf numFmtId="0" fontId="0" fillId="26" borderId="76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wrapText="1"/>
    </xf>
    <xf numFmtId="0" fontId="0" fillId="28" borderId="0" xfId="0" applyFont="1" applyFill="1" applyBorder="1" applyAlignment="1">
      <alignment horizontal="center" wrapText="1"/>
    </xf>
    <xf numFmtId="0" fontId="0" fillId="28" borderId="37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26" borderId="75" xfId="0" applyFont="1" applyFill="1" applyBorder="1" applyAlignment="1">
      <alignment horizontal="center" vertical="center"/>
    </xf>
    <xf numFmtId="0" fontId="3" fillId="26" borderId="72" xfId="0" applyFont="1" applyFill="1" applyBorder="1" applyAlignment="1">
      <alignment horizontal="center" vertical="center"/>
    </xf>
    <xf numFmtId="0" fontId="0" fillId="29" borderId="76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76" xfId="0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168" fontId="32" fillId="28" borderId="19" xfId="0" applyNumberFormat="1" applyFont="1" applyFill="1" applyBorder="1" applyAlignment="1">
      <alignment horizontal="center" vertical="center"/>
    </xf>
    <xf numFmtId="168" fontId="32" fillId="28" borderId="0" xfId="0" applyNumberFormat="1" applyFont="1" applyFill="1" applyBorder="1" applyAlignment="1">
      <alignment horizontal="center" vertical="center"/>
    </xf>
    <xf numFmtId="168" fontId="32" fillId="28" borderId="37" xfId="0" applyNumberFormat="1" applyFont="1" applyFill="1" applyBorder="1" applyAlignment="1">
      <alignment horizontal="center" vertical="center"/>
    </xf>
    <xf numFmtId="168" fontId="6" fillId="33" borderId="19" xfId="0" applyNumberFormat="1" applyFont="1" applyFill="1" applyBorder="1" applyAlignment="1">
      <alignment horizontal="center" vertical="center"/>
    </xf>
    <xf numFmtId="168" fontId="6" fillId="33" borderId="0" xfId="0" applyNumberFormat="1" applyFont="1" applyFill="1" applyBorder="1" applyAlignment="1">
      <alignment horizontal="center" vertical="center"/>
    </xf>
    <xf numFmtId="168" fontId="6" fillId="33" borderId="37" xfId="0" applyNumberFormat="1" applyFont="1" applyFill="1" applyBorder="1" applyAlignment="1">
      <alignment horizontal="center" vertical="center"/>
    </xf>
    <xf numFmtId="0" fontId="0" fillId="39" borderId="69" xfId="0" applyFont="1" applyFill="1" applyBorder="1" applyAlignment="1">
      <alignment horizontal="center" vertical="center"/>
    </xf>
    <xf numFmtId="0" fontId="0" fillId="39" borderId="76" xfId="0" applyFont="1" applyFill="1" applyBorder="1" applyAlignment="1">
      <alignment horizontal="center" vertical="center"/>
    </xf>
    <xf numFmtId="0" fontId="3" fillId="40" borderId="19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/>
    </xf>
    <xf numFmtId="0" fontId="4" fillId="26" borderId="36" xfId="0" applyFont="1" applyFill="1" applyBorder="1" applyAlignment="1">
      <alignment horizontal="center" vertical="center"/>
    </xf>
    <xf numFmtId="0" fontId="38" fillId="40" borderId="22" xfId="0" applyFont="1" applyFill="1" applyBorder="1" applyAlignment="1">
      <alignment horizontal="center" vertical="center"/>
    </xf>
    <xf numFmtId="0" fontId="38" fillId="40" borderId="5" xfId="0" applyFont="1" applyFill="1" applyBorder="1" applyAlignment="1">
      <alignment horizontal="center" vertical="center"/>
    </xf>
    <xf numFmtId="0" fontId="38" fillId="40" borderId="7" xfId="0" applyFont="1" applyFill="1" applyBorder="1" applyAlignment="1">
      <alignment horizontal="center" vertical="center"/>
    </xf>
    <xf numFmtId="0" fontId="3" fillId="40" borderId="8" xfId="0" applyFont="1" applyFill="1" applyBorder="1" applyAlignment="1">
      <alignment horizontal="center" vertical="center" wrapText="1"/>
    </xf>
    <xf numFmtId="0" fontId="3" fillId="40" borderId="9" xfId="0" applyFont="1" applyFill="1" applyBorder="1" applyAlignment="1">
      <alignment horizontal="center" vertical="center" wrapText="1"/>
    </xf>
    <xf numFmtId="0" fontId="3" fillId="28" borderId="60" xfId="0" applyFont="1" applyFill="1" applyBorder="1" applyAlignment="1">
      <alignment horizontal="center" vertical="center"/>
    </xf>
    <xf numFmtId="0" fontId="3" fillId="28" borderId="57" xfId="0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35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62" xfId="0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10" fontId="0" fillId="3" borderId="55" xfId="1" applyNumberFormat="1" applyFont="1" applyFill="1" applyBorder="1" applyAlignment="1">
      <alignment horizontal="center" vertical="center"/>
    </xf>
    <xf numFmtId="0" fontId="3" fillId="40" borderId="1" xfId="0" applyFont="1" applyFill="1" applyBorder="1" applyAlignment="1">
      <alignment horizontal="center"/>
    </xf>
    <xf numFmtId="0" fontId="3" fillId="40" borderId="2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40" borderId="36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3" fillId="40" borderId="63" xfId="0" applyFont="1" applyFill="1" applyBorder="1" applyAlignment="1">
      <alignment horizontal="center" vertical="center" wrapText="1"/>
    </xf>
    <xf numFmtId="167" fontId="4" fillId="26" borderId="9" xfId="0" applyNumberFormat="1" applyFont="1" applyFill="1" applyBorder="1" applyAlignment="1">
      <alignment horizontal="center" vertical="top" wrapText="1"/>
    </xf>
    <xf numFmtId="167" fontId="4" fillId="26" borderId="10" xfId="0" applyNumberFormat="1" applyFont="1" applyFill="1" applyBorder="1" applyAlignment="1">
      <alignment horizontal="center" vertical="top" wrapText="1"/>
    </xf>
    <xf numFmtId="167" fontId="4" fillId="26" borderId="12" xfId="0" applyNumberFormat="1" applyFont="1" applyFill="1" applyBorder="1" applyAlignment="1">
      <alignment horizontal="center" vertical="top" wrapText="1"/>
    </xf>
    <xf numFmtId="0" fontId="3" fillId="28" borderId="41" xfId="0" applyFont="1" applyFill="1" applyBorder="1" applyAlignment="1">
      <alignment horizontal="center" vertical="center"/>
    </xf>
    <xf numFmtId="0" fontId="3" fillId="28" borderId="148" xfId="0" applyFont="1" applyFill="1" applyBorder="1" applyAlignment="1">
      <alignment horizontal="center" vertical="center"/>
    </xf>
    <xf numFmtId="0" fontId="3" fillId="28" borderId="147" xfId="0" applyFont="1" applyFill="1" applyBorder="1" applyAlignment="1">
      <alignment horizontal="center" vertical="center"/>
    </xf>
    <xf numFmtId="2" fontId="0" fillId="3" borderId="67" xfId="0" applyNumberFormat="1" applyFont="1" applyFill="1" applyBorder="1" applyAlignment="1">
      <alignment horizontal="center" vertical="center"/>
    </xf>
    <xf numFmtId="2" fontId="0" fillId="3" borderId="61" xfId="0" applyNumberFormat="1" applyFont="1" applyFill="1" applyBorder="1" applyAlignment="1">
      <alignment horizontal="center" vertical="center"/>
    </xf>
    <xf numFmtId="10" fontId="6" fillId="46" borderId="103" xfId="0" applyNumberFormat="1" applyFont="1" applyFill="1" applyBorder="1" applyAlignment="1">
      <alignment horizontal="center" vertical="center"/>
    </xf>
    <xf numFmtId="10" fontId="6" fillId="46" borderId="96" xfId="0" applyNumberFormat="1" applyFont="1" applyFill="1" applyBorder="1" applyAlignment="1">
      <alignment horizontal="center" vertical="center"/>
    </xf>
    <xf numFmtId="10" fontId="1" fillId="3" borderId="59" xfId="1" applyNumberFormat="1" applyFont="1" applyFill="1" applyBorder="1" applyAlignment="1">
      <alignment horizontal="center" vertical="center"/>
    </xf>
    <xf numFmtId="10" fontId="6" fillId="46" borderId="37" xfId="0" applyNumberFormat="1" applyFont="1" applyFill="1" applyBorder="1" applyAlignment="1">
      <alignment horizontal="center" vertical="center"/>
    </xf>
    <xf numFmtId="2" fontId="0" fillId="3" borderId="138" xfId="0" applyNumberFormat="1" applyFont="1" applyFill="1" applyBorder="1" applyAlignment="1">
      <alignment horizontal="center" vertical="center"/>
    </xf>
    <xf numFmtId="2" fontId="0" fillId="3" borderId="136" xfId="0" applyNumberFormat="1" applyFont="1" applyFill="1" applyBorder="1" applyAlignment="1">
      <alignment horizontal="center" vertical="center"/>
    </xf>
    <xf numFmtId="2" fontId="3" fillId="40" borderId="4" xfId="0" applyNumberFormat="1" applyFont="1" applyFill="1" applyBorder="1" applyAlignment="1">
      <alignment horizontal="center" vertical="center"/>
    </xf>
    <xf numFmtId="2" fontId="3" fillId="40" borderId="11" xfId="0" applyNumberFormat="1" applyFont="1" applyFill="1" applyBorder="1" applyAlignment="1">
      <alignment horizontal="center" vertical="center"/>
    </xf>
    <xf numFmtId="2" fontId="3" fillId="40" borderId="6" xfId="0" applyNumberFormat="1" applyFont="1" applyFill="1" applyBorder="1" applyAlignment="1">
      <alignment horizontal="center" vertical="center"/>
    </xf>
    <xf numFmtId="2" fontId="3" fillId="40" borderId="55" xfId="0" applyNumberFormat="1" applyFont="1" applyFill="1" applyBorder="1" applyAlignment="1">
      <alignment horizontal="center" vertical="center"/>
    </xf>
    <xf numFmtId="2" fontId="3" fillId="40" borderId="3" xfId="0" applyNumberFormat="1" applyFont="1" applyFill="1" applyBorder="1" applyAlignment="1">
      <alignment horizontal="center" vertical="center"/>
    </xf>
    <xf numFmtId="2" fontId="3" fillId="40" borderId="35" xfId="0" applyNumberFormat="1" applyFont="1" applyFill="1" applyBorder="1" applyAlignment="1">
      <alignment horizontal="center" vertical="center"/>
    </xf>
    <xf numFmtId="164" fontId="3" fillId="40" borderId="154" xfId="0" applyNumberFormat="1" applyFont="1" applyFill="1" applyBorder="1" applyAlignment="1">
      <alignment horizontal="center" vertical="center"/>
    </xf>
    <xf numFmtId="164" fontId="3" fillId="40" borderId="56" xfId="0" applyNumberFormat="1" applyFont="1" applyFill="1" applyBorder="1" applyAlignment="1">
      <alignment horizontal="center" vertical="center"/>
    </xf>
    <xf numFmtId="9" fontId="3" fillId="40" borderId="154" xfId="1" applyFont="1" applyFill="1" applyBorder="1" applyAlignment="1">
      <alignment horizontal="center" vertical="center"/>
    </xf>
    <xf numFmtId="9" fontId="3" fillId="40" borderId="56" xfId="1" applyFont="1" applyFill="1" applyBorder="1" applyAlignment="1">
      <alignment horizontal="center" vertical="center"/>
    </xf>
    <xf numFmtId="169" fontId="38" fillId="40" borderId="8" xfId="0" applyNumberFormat="1" applyFont="1" applyFill="1" applyBorder="1" applyAlignment="1">
      <alignment horizontal="center" vertical="center"/>
    </xf>
    <xf numFmtId="169" fontId="38" fillId="40" borderId="36" xfId="0" applyNumberFormat="1" applyFont="1" applyFill="1" applyBorder="1" applyAlignment="1">
      <alignment horizontal="center" vertical="center"/>
    </xf>
    <xf numFmtId="169" fontId="38" fillId="40" borderId="9" xfId="0" applyNumberFormat="1" applyFont="1" applyFill="1" applyBorder="1" applyAlignment="1">
      <alignment horizontal="center" vertical="center"/>
    </xf>
    <xf numFmtId="169" fontId="38" fillId="40" borderId="12" xfId="0" applyNumberFormat="1" applyFont="1" applyFill="1" applyBorder="1" applyAlignment="1">
      <alignment horizontal="center" vertical="center"/>
    </xf>
    <xf numFmtId="0" fontId="38" fillId="40" borderId="151" xfId="0" applyFont="1" applyFill="1" applyBorder="1" applyAlignment="1">
      <alignment horizontal="center" vertical="center" wrapText="1"/>
    </xf>
    <xf numFmtId="0" fontId="38" fillId="40" borderId="142" xfId="0" applyFont="1" applyFill="1" applyBorder="1" applyAlignment="1">
      <alignment horizontal="center" vertical="center" wrapText="1"/>
    </xf>
    <xf numFmtId="0" fontId="38" fillId="40" borderId="9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>
      <alignment horizontal="center" vertical="center" wrapText="1"/>
    </xf>
    <xf numFmtId="0" fontId="38" fillId="40" borderId="152" xfId="0" applyFont="1" applyFill="1" applyBorder="1" applyAlignment="1">
      <alignment horizontal="center" vertical="center"/>
    </xf>
    <xf numFmtId="0" fontId="38" fillId="40" borderId="153" xfId="0" applyFont="1" applyFill="1" applyBorder="1" applyAlignment="1">
      <alignment horizontal="center" vertical="center"/>
    </xf>
    <xf numFmtId="164" fontId="38" fillId="40" borderId="154" xfId="0" applyNumberFormat="1" applyFont="1" applyFill="1" applyBorder="1" applyAlignment="1">
      <alignment horizontal="center" vertical="center"/>
    </xf>
    <xf numFmtId="164" fontId="38" fillId="40" borderId="56" xfId="0" applyNumberFormat="1" applyFont="1" applyFill="1" applyBorder="1" applyAlignment="1">
      <alignment horizontal="center" vertical="center"/>
    </xf>
    <xf numFmtId="0" fontId="0" fillId="28" borderId="107" xfId="0" applyFill="1" applyBorder="1" applyAlignment="1">
      <alignment horizontal="center" vertical="center" wrapText="1"/>
    </xf>
    <xf numFmtId="164" fontId="6" fillId="28" borderId="94" xfId="0" applyNumberFormat="1" applyFont="1" applyFill="1" applyBorder="1" applyAlignment="1">
      <alignment horizontal="center" vertical="center"/>
    </xf>
    <xf numFmtId="164" fontId="6" fillId="28" borderId="53" xfId="0" applyNumberFormat="1" applyFont="1" applyFill="1" applyBorder="1" applyAlignment="1">
      <alignment horizontal="center" vertical="center"/>
    </xf>
    <xf numFmtId="164" fontId="6" fillId="3" borderId="92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28" borderId="92" xfId="0" applyNumberFormat="1" applyFont="1" applyFill="1" applyBorder="1" applyAlignment="1">
      <alignment horizontal="center" vertical="center"/>
    </xf>
    <xf numFmtId="164" fontId="6" fillId="28" borderId="16" xfId="0" applyNumberFormat="1" applyFont="1" applyFill="1" applyBorder="1" applyAlignment="1">
      <alignment horizontal="center" vertical="center"/>
    </xf>
    <xf numFmtId="9" fontId="1" fillId="40" borderId="93" xfId="1" applyFont="1" applyFill="1" applyBorder="1" applyAlignment="1">
      <alignment horizontal="center" vertical="center"/>
    </xf>
    <xf numFmtId="9" fontId="1" fillId="40" borderId="64" xfId="1" applyFont="1" applyFill="1" applyBorder="1" applyAlignment="1">
      <alignment horizontal="center" vertical="center"/>
    </xf>
    <xf numFmtId="164" fontId="6" fillId="44" borderId="92" xfId="0" applyNumberFormat="1" applyFont="1" applyFill="1" applyBorder="1" applyAlignment="1">
      <alignment horizontal="center" vertical="center"/>
    </xf>
    <xf numFmtId="164" fontId="6" fillId="44" borderId="20" xfId="0" applyNumberFormat="1" applyFont="1" applyFill="1" applyBorder="1" applyAlignment="1">
      <alignment horizontal="center" vertical="center"/>
    </xf>
    <xf numFmtId="9" fontId="1" fillId="44" borderId="93" xfId="1" applyFont="1" applyFill="1" applyBorder="1" applyAlignment="1">
      <alignment horizontal="center" vertical="center"/>
    </xf>
    <xf numFmtId="9" fontId="1" fillId="44" borderId="64" xfId="1" applyFont="1" applyFill="1" applyBorder="1" applyAlignment="1">
      <alignment horizontal="center" vertical="center"/>
    </xf>
    <xf numFmtId="164" fontId="6" fillId="44" borderId="94" xfId="0" applyNumberFormat="1" applyFont="1" applyFill="1" applyBorder="1" applyAlignment="1">
      <alignment horizontal="center" vertical="center"/>
    </xf>
    <xf numFmtId="164" fontId="6" fillId="44" borderId="23" xfId="0" applyNumberFormat="1" applyFont="1" applyFill="1" applyBorder="1" applyAlignment="1">
      <alignment horizontal="center" vertical="center"/>
    </xf>
    <xf numFmtId="164" fontId="6" fillId="28" borderId="20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164" fontId="6" fillId="44" borderId="53" xfId="0" applyNumberFormat="1" applyFont="1" applyFill="1" applyBorder="1" applyAlignment="1">
      <alignment horizontal="center" vertical="center"/>
    </xf>
    <xf numFmtId="164" fontId="6" fillId="44" borderId="16" xfId="0" applyNumberFormat="1" applyFont="1" applyFill="1" applyBorder="1" applyAlignment="1">
      <alignment horizontal="center" vertical="center"/>
    </xf>
    <xf numFmtId="0" fontId="6" fillId="36" borderId="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/>
    </xf>
    <xf numFmtId="0" fontId="6" fillId="37" borderId="8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164" fontId="6" fillId="28" borderId="23" xfId="0" applyNumberFormat="1" applyFont="1" applyFill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center"/>
    </xf>
    <xf numFmtId="0" fontId="6" fillId="26" borderId="5" xfId="0" applyFont="1" applyFill="1" applyBorder="1" applyAlignment="1">
      <alignment horizontal="center" vertical="center"/>
    </xf>
    <xf numFmtId="0" fontId="6" fillId="26" borderId="7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28" borderId="5" xfId="0" applyNumberFormat="1" applyFont="1" applyFill="1" applyBorder="1" applyAlignment="1">
      <alignment horizontal="center" vertical="center"/>
    </xf>
    <xf numFmtId="9" fontId="1" fillId="40" borderId="7" xfId="1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/>
    </xf>
    <xf numFmtId="0" fontId="6" fillId="28" borderId="5" xfId="0" applyFont="1" applyFill="1" applyBorder="1" applyAlignment="1">
      <alignment horizontal="center" vertical="center"/>
    </xf>
    <xf numFmtId="0" fontId="6" fillId="28" borderId="7" xfId="0" applyFont="1" applyFill="1" applyBorder="1" applyAlignment="1">
      <alignment horizontal="center" vertical="center"/>
    </xf>
    <xf numFmtId="164" fontId="6" fillId="28" borderId="22" xfId="0" applyNumberFormat="1" applyFont="1" applyFill="1" applyBorder="1" applyAlignment="1">
      <alignment horizontal="center" vertical="center"/>
    </xf>
    <xf numFmtId="0" fontId="4" fillId="28" borderId="8" xfId="0" applyFont="1" applyFill="1" applyBorder="1" applyAlignment="1">
      <alignment horizontal="center" vertical="center" textRotation="90" wrapText="1"/>
    </xf>
    <xf numFmtId="0" fontId="4" fillId="28" borderId="19" xfId="0" applyFont="1" applyFill="1" applyBorder="1" applyAlignment="1">
      <alignment horizontal="center" vertical="center" textRotation="90" wrapText="1"/>
    </xf>
    <xf numFmtId="0" fontId="4" fillId="28" borderId="15" xfId="0" applyFont="1" applyFill="1" applyBorder="1" applyAlignment="1">
      <alignment horizontal="center" vertical="center" textRotation="90" wrapText="1"/>
    </xf>
    <xf numFmtId="0" fontId="4" fillId="28" borderId="63" xfId="0" applyFont="1" applyFill="1" applyBorder="1" applyAlignment="1">
      <alignment horizontal="center" vertical="center" textRotation="90" wrapText="1"/>
    </xf>
    <xf numFmtId="2" fontId="42" fillId="28" borderId="8" xfId="0" applyNumberFormat="1" applyFont="1" applyFill="1" applyBorder="1" applyAlignment="1">
      <alignment horizontal="center" vertical="center"/>
    </xf>
    <xf numFmtId="2" fontId="42" fillId="28" borderId="13" xfId="0" applyNumberFormat="1" applyFont="1" applyFill="1" applyBorder="1" applyAlignment="1">
      <alignment horizontal="center" vertical="center"/>
    </xf>
    <xf numFmtId="2" fontId="42" fillId="28" borderId="36" xfId="0" applyNumberFormat="1" applyFont="1" applyFill="1" applyBorder="1" applyAlignment="1">
      <alignment horizontal="center" vertical="center"/>
    </xf>
    <xf numFmtId="167" fontId="42" fillId="28" borderId="9" xfId="0" applyNumberFormat="1" applyFont="1" applyFill="1" applyBorder="1" applyAlignment="1">
      <alignment horizontal="center" vertical="top"/>
    </xf>
    <xf numFmtId="167" fontId="42" fillId="28" borderId="10" xfId="0" applyNumberFormat="1" applyFont="1" applyFill="1" applyBorder="1" applyAlignment="1">
      <alignment horizontal="center" vertical="top"/>
    </xf>
    <xf numFmtId="167" fontId="42" fillId="28" borderId="12" xfId="0" applyNumberFormat="1" applyFont="1" applyFill="1" applyBorder="1" applyAlignment="1">
      <alignment horizontal="center" vertical="top"/>
    </xf>
    <xf numFmtId="0" fontId="39" fillId="28" borderId="7" xfId="42052" applyFont="1" applyFill="1" applyBorder="1" applyAlignment="1">
      <alignment horizontal="center" vertical="center" wrapText="1"/>
    </xf>
    <xf numFmtId="0" fontId="39" fillId="28" borderId="66" xfId="42052" applyFont="1" applyFill="1" applyBorder="1" applyAlignment="1">
      <alignment horizontal="center" vertical="center" wrapText="1"/>
    </xf>
    <xf numFmtId="0" fontId="6" fillId="28" borderId="8" xfId="27278" applyFont="1" applyFill="1" applyBorder="1" applyAlignment="1">
      <alignment horizontal="center" vertical="center" wrapText="1"/>
    </xf>
    <xf numFmtId="0" fontId="6" fillId="28" borderId="19" xfId="27278" applyFont="1" applyFill="1" applyBorder="1" applyAlignment="1">
      <alignment horizontal="center" vertical="center" wrapText="1"/>
    </xf>
    <xf numFmtId="0" fontId="39" fillId="28" borderId="52" xfId="27278" applyFont="1" applyFill="1" applyBorder="1" applyAlignment="1">
      <alignment horizontal="center" vertical="center" wrapText="1"/>
    </xf>
    <xf numFmtId="0" fontId="39" fillId="28" borderId="63" xfId="27278" applyFont="1" applyFill="1" applyBorder="1" applyAlignment="1">
      <alignment horizontal="center" vertical="center" wrapText="1"/>
    </xf>
    <xf numFmtId="164" fontId="38" fillId="28" borderId="3" xfId="0" applyNumberFormat="1" applyFont="1" applyFill="1" applyBorder="1" applyAlignment="1">
      <alignment horizontal="center" vertical="center"/>
    </xf>
    <xf numFmtId="164" fontId="38" fillId="28" borderId="35" xfId="0" applyNumberFormat="1" applyFont="1" applyFill="1" applyBorder="1" applyAlignment="1">
      <alignment horizontal="center" vertical="center"/>
    </xf>
    <xf numFmtId="164" fontId="38" fillId="28" borderId="4" xfId="0" applyNumberFormat="1" applyFont="1" applyFill="1" applyBorder="1" applyAlignment="1">
      <alignment horizontal="center" vertical="center"/>
    </xf>
    <xf numFmtId="164" fontId="38" fillId="28" borderId="11" xfId="0" applyNumberFormat="1" applyFont="1" applyFill="1" applyBorder="1" applyAlignment="1">
      <alignment horizontal="center" vertical="center"/>
    </xf>
    <xf numFmtId="164" fontId="38" fillId="28" borderId="4" xfId="0" applyNumberFormat="1" applyFont="1" applyFill="1" applyBorder="1" applyAlignment="1">
      <alignment horizontal="center" vertical="center" wrapText="1"/>
    </xf>
    <xf numFmtId="164" fontId="38" fillId="28" borderId="11" xfId="0" applyNumberFormat="1" applyFont="1" applyFill="1" applyBorder="1" applyAlignment="1">
      <alignment horizontal="center" vertical="center" wrapText="1"/>
    </xf>
    <xf numFmtId="10" fontId="38" fillId="28" borderId="6" xfId="0" applyNumberFormat="1" applyFont="1" applyFill="1" applyBorder="1" applyAlignment="1">
      <alignment horizontal="center" vertical="center"/>
    </xf>
    <xf numFmtId="10" fontId="38" fillId="28" borderId="55" xfId="0" applyNumberFormat="1" applyFont="1" applyFill="1" applyBorder="1" applyAlignment="1">
      <alignment horizontal="center" vertical="center"/>
    </xf>
    <xf numFmtId="0" fontId="0" fillId="28" borderId="110" xfId="0" applyFill="1" applyBorder="1" applyAlignment="1">
      <alignment horizontal="center" vertical="center" wrapText="1"/>
    </xf>
    <xf numFmtId="9" fontId="1" fillId="40" borderId="58" xfId="1" applyFont="1" applyFill="1" applyBorder="1" applyAlignment="1">
      <alignment horizontal="center" vertical="center"/>
    </xf>
    <xf numFmtId="169" fontId="38" fillId="28" borderId="8" xfId="0" applyNumberFormat="1" applyFont="1" applyFill="1" applyBorder="1" applyAlignment="1">
      <alignment horizontal="center" vertical="center"/>
    </xf>
    <xf numFmtId="169" fontId="38" fillId="28" borderId="9" xfId="0" applyNumberFormat="1" applyFont="1" applyFill="1" applyBorder="1" applyAlignment="1">
      <alignment horizontal="center" vertical="center"/>
    </xf>
    <xf numFmtId="164" fontId="38" fillId="40" borderId="16" xfId="0" applyNumberFormat="1" applyFont="1" applyFill="1" applyBorder="1" applyAlignment="1">
      <alignment horizontal="center" vertical="center"/>
    </xf>
    <xf numFmtId="164" fontId="38" fillId="40" borderId="112" xfId="0" applyNumberFormat="1" applyFont="1" applyFill="1" applyBorder="1" applyAlignment="1">
      <alignment horizontal="center" vertical="center"/>
    </xf>
    <xf numFmtId="9" fontId="38" fillId="40" borderId="16" xfId="1" applyFont="1" applyFill="1" applyBorder="1" applyAlignment="1">
      <alignment horizontal="center" vertical="center"/>
    </xf>
    <xf numFmtId="9" fontId="38" fillId="40" borderId="112" xfId="1" applyFont="1" applyFill="1" applyBorder="1" applyAlignment="1">
      <alignment horizontal="center" vertical="center"/>
    </xf>
    <xf numFmtId="164" fontId="49" fillId="3" borderId="16" xfId="0" applyNumberFormat="1" applyFont="1" applyFill="1" applyBorder="1" applyAlignment="1">
      <alignment horizontal="center" vertical="center"/>
    </xf>
    <xf numFmtId="164" fontId="49" fillId="3" borderId="112" xfId="0" applyNumberFormat="1" applyFont="1" applyFill="1" applyBorder="1" applyAlignment="1">
      <alignment horizontal="center" vertical="center"/>
    </xf>
    <xf numFmtId="164" fontId="6" fillId="3" borderId="112" xfId="0" applyNumberFormat="1" applyFont="1" applyFill="1" applyBorder="1" applyAlignment="1">
      <alignment horizontal="center" vertical="center"/>
    </xf>
    <xf numFmtId="164" fontId="0" fillId="40" borderId="20" xfId="0" applyNumberFormat="1" applyFont="1" applyFill="1" applyBorder="1" applyAlignment="1">
      <alignment horizontal="center" vertical="center"/>
    </xf>
    <xf numFmtId="164" fontId="0" fillId="40" borderId="16" xfId="0" applyNumberFormat="1" applyFont="1" applyFill="1" applyBorder="1" applyAlignment="1">
      <alignment horizontal="center" vertical="center"/>
    </xf>
    <xf numFmtId="2" fontId="38" fillId="40" borderId="112" xfId="0" applyNumberFormat="1" applyFont="1" applyFill="1" applyBorder="1" applyAlignment="1">
      <alignment horizontal="center" vertical="center"/>
    </xf>
    <xf numFmtId="9" fontId="6" fillId="40" borderId="112" xfId="1" applyFont="1" applyFill="1" applyBorder="1" applyAlignment="1">
      <alignment horizontal="center" vertical="center"/>
    </xf>
    <xf numFmtId="0" fontId="45" fillId="30" borderId="112" xfId="27278" applyFont="1" applyFill="1" applyBorder="1" applyAlignment="1">
      <alignment horizontal="center" vertical="center" wrapText="1"/>
    </xf>
    <xf numFmtId="2" fontId="40" fillId="30" borderId="8" xfId="0" applyNumberFormat="1" applyFont="1" applyFill="1" applyBorder="1" applyAlignment="1">
      <alignment horizontal="center" vertical="center"/>
    </xf>
    <xf numFmtId="2" fontId="40" fillId="30" borderId="13" xfId="0" applyNumberFormat="1" applyFont="1" applyFill="1" applyBorder="1" applyAlignment="1">
      <alignment horizontal="center" vertical="center"/>
    </xf>
    <xf numFmtId="2" fontId="40" fillId="30" borderId="36" xfId="0" applyNumberFormat="1" applyFont="1" applyFill="1" applyBorder="1" applyAlignment="1">
      <alignment horizontal="center" vertical="center"/>
    </xf>
    <xf numFmtId="167" fontId="40" fillId="30" borderId="9" xfId="0" applyNumberFormat="1" applyFont="1" applyFill="1" applyBorder="1" applyAlignment="1">
      <alignment horizontal="center" vertical="center"/>
    </xf>
    <xf numFmtId="167" fontId="40" fillId="30" borderId="10" xfId="0" applyNumberFormat="1" applyFont="1" applyFill="1" applyBorder="1" applyAlignment="1">
      <alignment horizontal="center" vertical="center"/>
    </xf>
    <xf numFmtId="167" fontId="40" fillId="30" borderId="12" xfId="0" applyNumberFormat="1" applyFont="1" applyFill="1" applyBorder="1" applyAlignment="1">
      <alignment horizontal="center" vertical="center"/>
    </xf>
    <xf numFmtId="0" fontId="39" fillId="28" borderId="112" xfId="0" applyFont="1" applyFill="1" applyBorder="1" applyAlignment="1">
      <alignment horizontal="center" vertical="center"/>
    </xf>
    <xf numFmtId="0" fontId="45" fillId="30" borderId="112" xfId="42052" applyFont="1" applyFill="1" applyBorder="1" applyAlignment="1">
      <alignment horizontal="center" vertical="center" wrapText="1"/>
    </xf>
    <xf numFmtId="0" fontId="45" fillId="40" borderId="112" xfId="0" applyFont="1" applyFill="1" applyBorder="1" applyAlignment="1">
      <alignment horizontal="center" vertical="center"/>
    </xf>
    <xf numFmtId="0" fontId="39" fillId="32" borderId="112" xfId="0" applyFont="1" applyFill="1" applyBorder="1" applyAlignment="1">
      <alignment horizontal="center" vertical="center"/>
    </xf>
    <xf numFmtId="0" fontId="39" fillId="32" borderId="116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 textRotation="90" wrapText="1"/>
    </xf>
    <xf numFmtId="0" fontId="4" fillId="30" borderId="18" xfId="0" applyFont="1" applyFill="1" applyBorder="1" applyAlignment="1">
      <alignment horizontal="center" vertical="center" textRotation="90" wrapText="1"/>
    </xf>
    <xf numFmtId="2" fontId="6" fillId="40" borderId="130" xfId="0" applyNumberFormat="1" applyFont="1" applyFill="1" applyBorder="1" applyAlignment="1">
      <alignment horizontal="center" vertical="center"/>
    </xf>
    <xf numFmtId="2" fontId="6" fillId="40" borderId="16" xfId="0" applyNumberFormat="1" applyFont="1" applyFill="1" applyBorder="1" applyAlignment="1">
      <alignment horizontal="center" vertical="center"/>
    </xf>
    <xf numFmtId="166" fontId="38" fillId="40" borderId="112" xfId="0" applyNumberFormat="1" applyFont="1" applyFill="1" applyBorder="1" applyAlignment="1">
      <alignment horizontal="center" vertical="center"/>
    </xf>
    <xf numFmtId="169" fontId="38" fillId="40" borderId="130" xfId="0" applyNumberFormat="1" applyFont="1" applyFill="1" applyBorder="1" applyAlignment="1">
      <alignment horizontal="center" vertical="center"/>
    </xf>
    <xf numFmtId="169" fontId="38" fillId="40" borderId="16" xfId="0" applyNumberFormat="1" applyFont="1" applyFill="1" applyBorder="1" applyAlignment="1">
      <alignment horizontal="center" vertical="center"/>
    </xf>
    <xf numFmtId="166" fontId="56" fillId="26" borderId="133" xfId="0" applyNumberFormat="1" applyFont="1" applyFill="1" applyBorder="1" applyAlignment="1">
      <alignment horizontal="center" vertical="center"/>
    </xf>
    <xf numFmtId="166" fontId="56" fillId="26" borderId="134" xfId="0" applyNumberFormat="1" applyFont="1" applyFill="1" applyBorder="1" applyAlignment="1">
      <alignment horizontal="center" vertical="center"/>
    </xf>
    <xf numFmtId="166" fontId="56" fillId="49" borderId="133" xfId="0" applyNumberFormat="1" applyFont="1" applyFill="1" applyBorder="1" applyAlignment="1">
      <alignment horizontal="center" vertical="center"/>
    </xf>
    <xf numFmtId="166" fontId="56" fillId="49" borderId="134" xfId="0" applyNumberFormat="1" applyFont="1" applyFill="1" applyBorder="1" applyAlignment="1">
      <alignment horizontal="center" vertical="center"/>
    </xf>
    <xf numFmtId="172" fontId="53" fillId="26" borderId="113" xfId="0" applyNumberFormat="1" applyFont="1" applyFill="1" applyBorder="1" applyAlignment="1">
      <alignment horizontal="center" vertical="center" wrapText="1"/>
    </xf>
    <xf numFmtId="172" fontId="53" fillId="26" borderId="16" xfId="0" applyNumberFormat="1" applyFont="1" applyFill="1" applyBorder="1" applyAlignment="1">
      <alignment horizontal="center" vertical="center" wrapText="1"/>
    </xf>
    <xf numFmtId="164" fontId="56" fillId="26" borderId="112" xfId="0" applyNumberFormat="1" applyFont="1" applyFill="1" applyBorder="1" applyAlignment="1">
      <alignment horizontal="center" vertical="center"/>
    </xf>
    <xf numFmtId="164" fontId="56" fillId="26" borderId="113" xfId="0" applyNumberFormat="1" applyFont="1" applyFill="1" applyBorder="1" applyAlignment="1">
      <alignment horizontal="center" vertical="center"/>
    </xf>
    <xf numFmtId="164" fontId="56" fillId="26" borderId="16" xfId="0" applyNumberFormat="1" applyFont="1" applyFill="1" applyBorder="1" applyAlignment="1">
      <alignment horizontal="center" vertical="center"/>
    </xf>
    <xf numFmtId="1" fontId="56" fillId="26" borderId="131" xfId="0" applyNumberFormat="1" applyFont="1" applyFill="1" applyBorder="1" applyAlignment="1">
      <alignment horizontal="center" vertical="center"/>
    </xf>
    <xf numFmtId="1" fontId="56" fillId="26" borderId="16" xfId="0" applyNumberFormat="1" applyFont="1" applyFill="1" applyBorder="1" applyAlignment="1">
      <alignment horizontal="center" vertical="center"/>
    </xf>
    <xf numFmtId="0" fontId="56" fillId="30" borderId="132" xfId="0" applyFont="1" applyFill="1" applyBorder="1" applyAlignment="1">
      <alignment horizontal="center" vertical="center" wrapText="1"/>
    </xf>
    <xf numFmtId="164" fontId="56" fillId="26" borderId="132" xfId="0" applyNumberFormat="1" applyFont="1" applyFill="1" applyBorder="1" applyAlignment="1">
      <alignment horizontal="center" vertical="center"/>
    </xf>
    <xf numFmtId="0" fontId="53" fillId="26" borderId="112" xfId="0" applyFont="1" applyFill="1" applyBorder="1" applyAlignment="1">
      <alignment horizontal="center" vertical="center" wrapText="1"/>
    </xf>
    <xf numFmtId="164" fontId="53" fillId="26" borderId="113" xfId="0" applyNumberFormat="1" applyFont="1" applyFill="1" applyBorder="1" applyAlignment="1">
      <alignment horizontal="center" vertical="center" wrapText="1"/>
    </xf>
    <xf numFmtId="164" fontId="53" fillId="26" borderId="16" xfId="0" applyNumberFormat="1" applyFont="1" applyFill="1" applyBorder="1" applyAlignment="1">
      <alignment horizontal="center" vertical="center" wrapText="1"/>
    </xf>
    <xf numFmtId="172" fontId="54" fillId="28" borderId="112" xfId="0" applyNumberFormat="1" applyFont="1" applyFill="1" applyBorder="1" applyAlignment="1">
      <alignment horizontal="center" vertical="center" wrapText="1"/>
    </xf>
    <xf numFmtId="173" fontId="53" fillId="28" borderId="112" xfId="0" applyNumberFormat="1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6" fillId="26" borderId="2" xfId="0" applyFont="1" applyFill="1" applyBorder="1" applyAlignment="1">
      <alignment horizontal="center" vertical="center"/>
    </xf>
    <xf numFmtId="0" fontId="56" fillId="26" borderId="43" xfId="0" applyFont="1" applyFill="1" applyBorder="1" applyAlignment="1">
      <alignment horizontal="center" vertical="center"/>
    </xf>
    <xf numFmtId="0" fontId="53" fillId="26" borderId="112" xfId="42096" applyFont="1" applyFill="1" applyBorder="1" applyAlignment="1" applyProtection="1">
      <alignment horizontal="center" vertical="center" wrapText="1"/>
    </xf>
    <xf numFmtId="2" fontId="53" fillId="28" borderId="131" xfId="0" applyNumberFormat="1" applyFont="1" applyFill="1" applyBorder="1" applyAlignment="1">
      <alignment horizontal="center" vertical="center"/>
    </xf>
    <xf numFmtId="2" fontId="53" fillId="28" borderId="16" xfId="0" applyNumberFormat="1" applyFont="1" applyFill="1" applyBorder="1" applyAlignment="1">
      <alignment horizontal="center" vertical="center"/>
    </xf>
    <xf numFmtId="175" fontId="56" fillId="26" borderId="113" xfId="0" applyNumberFormat="1" applyFont="1" applyFill="1" applyBorder="1" applyAlignment="1">
      <alignment horizontal="center" vertical="center"/>
    </xf>
    <xf numFmtId="175" fontId="56" fillId="26" borderId="16" xfId="0" applyNumberFormat="1" applyFont="1" applyFill="1" applyBorder="1" applyAlignment="1">
      <alignment horizontal="center" vertical="center"/>
    </xf>
    <xf numFmtId="0" fontId="53" fillId="45" borderId="1" xfId="0" applyFont="1" applyFill="1" applyBorder="1" applyAlignment="1">
      <alignment horizontal="center" vertical="center" wrapText="1"/>
    </xf>
    <xf numFmtId="0" fontId="53" fillId="45" borderId="2" xfId="0" applyFont="1" applyFill="1" applyBorder="1" applyAlignment="1">
      <alignment horizontal="center" vertical="center" wrapText="1"/>
    </xf>
    <xf numFmtId="0" fontId="53" fillId="45" borderId="40" xfId="0" applyFont="1" applyFill="1" applyBorder="1" applyAlignment="1">
      <alignment horizontal="center" vertical="center" wrapText="1"/>
    </xf>
  </cellXfs>
  <cellStyles count="42098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1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2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3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4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5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6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7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18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19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0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1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2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3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4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5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6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7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28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29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0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2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3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4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5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7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38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39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0"/>
    <cellStyle name="Excel Built-in Normal" xfId="5734"/>
    <cellStyle name="Hipervínculo" xfId="42096" builtinId="8"/>
    <cellStyle name="Hipervínculo 2" xfId="41741"/>
    <cellStyle name="Hipervínculo 2 2" xfId="41742"/>
    <cellStyle name="Hipervínculo 3" xfId="41743"/>
    <cellStyle name="Hipervínculo 3 2" xfId="4174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5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6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7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48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49"/>
    <cellStyle name="Normal 10 20" xfId="41750"/>
    <cellStyle name="Normal 10 3" xfId="6076"/>
    <cellStyle name="Normal 10 3 2" xfId="41751"/>
    <cellStyle name="Normal 10 4" xfId="6077"/>
    <cellStyle name="Normal 10 4 2" xfId="41752"/>
    <cellStyle name="Normal 10 5" xfId="6078"/>
    <cellStyle name="Normal 10 5 2" xfId="41753"/>
    <cellStyle name="Normal 10 6" xfId="6079"/>
    <cellStyle name="Normal 10 6 2" xfId="41754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5"/>
    <cellStyle name="Normal 11 5" xfId="6172"/>
    <cellStyle name="Normal 11 5 2" xfId="41756"/>
    <cellStyle name="Normal 11 6" xfId="6173"/>
    <cellStyle name="Normal 11 6 2" xfId="41757"/>
    <cellStyle name="Normal 11 7" xfId="41758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59"/>
    <cellStyle name="Normal 13 3" xfId="41760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1"/>
    <cellStyle name="Normal 14 2" xfId="6218"/>
    <cellStyle name="Normal 14 2 2" xfId="41762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3"/>
    <cellStyle name="Normal 15 2" xfId="6300"/>
    <cellStyle name="Normal 15 2 2" xfId="41764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5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6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7"/>
    <cellStyle name="Normal 2 11 2 3" xfId="6928"/>
    <cellStyle name="Normal 2 11 2 3 2" xfId="41768"/>
    <cellStyle name="Normal 2 11 2 4" xfId="6929"/>
    <cellStyle name="Normal 2 11 2 4 2" xfId="41769"/>
    <cellStyle name="Normal 2 11 2 5" xfId="6930"/>
    <cellStyle name="Normal 2 11 2 5 2" xfId="4177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1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2"/>
    <cellStyle name="Normal 2 16" xfId="7876"/>
    <cellStyle name="Normal 2 16 2" xfId="41773"/>
    <cellStyle name="Normal 2 17" xfId="7877"/>
    <cellStyle name="Normal 2 17 2" xfId="41774"/>
    <cellStyle name="Normal 2 18" xfId="7878"/>
    <cellStyle name="Normal 2 18 2" xfId="41775"/>
    <cellStyle name="Normal 2 19" xfId="7879"/>
    <cellStyle name="Normal 2 2" xfId="7880"/>
    <cellStyle name="Normal 2 2 10" xfId="7881"/>
    <cellStyle name="Normal 2 2 10 2" xfId="41776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7"/>
    <cellStyle name="Normal 2 2 11 2 2 3" xfId="7918"/>
    <cellStyle name="Normal 2 2 11 2 2 3 2" xfId="41778"/>
    <cellStyle name="Normal 2 2 11 2 2 4" xfId="7919"/>
    <cellStyle name="Normal 2 2 11 2 2 4 2" xfId="41779"/>
    <cellStyle name="Normal 2 2 11 2 2 5" xfId="7920"/>
    <cellStyle name="Normal 2 2 11 2 2 5 2" xfId="4178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1"/>
    <cellStyle name="Normal 2 2 11 3" xfId="8225"/>
    <cellStyle name="Normal 2 2 11 3 2" xfId="41782"/>
    <cellStyle name="Normal 2 2 11 4" xfId="8226"/>
    <cellStyle name="Normal 2 2 11 4 2" xfId="41783"/>
    <cellStyle name="Normal 2 2 11 5" xfId="8227"/>
    <cellStyle name="Normal 2 2 11 5 2" xfId="41784"/>
    <cellStyle name="Normal 2 2 11 6" xfId="8228"/>
    <cellStyle name="Normal 2 2 11 6 2" xfId="41785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6"/>
    <cellStyle name="Normal 2 2 13" xfId="8292"/>
    <cellStyle name="Normal 2 2 13 2" xfId="41787"/>
    <cellStyle name="Normal 2 2 14" xfId="8293"/>
    <cellStyle name="Normal 2 2 14 2" xfId="41788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89"/>
    <cellStyle name="Normal 2 2 15 3" xfId="8311"/>
    <cellStyle name="Normal 2 2 15 3 2" xfId="41790"/>
    <cellStyle name="Normal 2 2 15 4" xfId="8312"/>
    <cellStyle name="Normal 2 2 15 4 2" xfId="41791"/>
    <cellStyle name="Normal 2 2 15 5" xfId="8313"/>
    <cellStyle name="Normal 2 2 15 5 2" xfId="41792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3"/>
    <cellStyle name="Normal 2 2 2 14" xfId="9181"/>
    <cellStyle name="Normal 2 2 2 14 2" xfId="41794"/>
    <cellStyle name="Normal 2 2 2 15" xfId="9182"/>
    <cellStyle name="Normal 2 2 2 15 2" xfId="41795"/>
    <cellStyle name="Normal 2 2 2 16" xfId="9183"/>
    <cellStyle name="Normal 2 2 2 16 2" xfId="41796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7"/>
    <cellStyle name="Normal 2 2 2 2 11" xfId="9266"/>
    <cellStyle name="Normal 2 2 2 2 11 2" xfId="41798"/>
    <cellStyle name="Normal 2 2 2 2 12" xfId="9267"/>
    <cellStyle name="Normal 2 2 2 2 12 2" xfId="41799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0"/>
    <cellStyle name="Normal 2 2 2 2 13 3" xfId="9285"/>
    <cellStyle name="Normal 2 2 2 2 13 3 2" xfId="41801"/>
    <cellStyle name="Normal 2 2 2 2 13 4" xfId="9286"/>
    <cellStyle name="Normal 2 2 2 2 13 4 2" xfId="41802"/>
    <cellStyle name="Normal 2 2 2 2 13 5" xfId="9287"/>
    <cellStyle name="Normal 2 2 2 2 13 5 2" xfId="41803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4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5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6"/>
    <cellStyle name="Normal 2 2 2 2 2 2 2 2 2 3" xfId="9706"/>
    <cellStyle name="Normal 2 2 2 2 2 2 2 2 2 3 2" xfId="41807"/>
    <cellStyle name="Normal 2 2 2 2 2 2 2 2 2 4" xfId="9707"/>
    <cellStyle name="Normal 2 2 2 2 2 2 2 2 2 4 2" xfId="41808"/>
    <cellStyle name="Normal 2 2 2 2 2 2 2 2 2 5" xfId="9708"/>
    <cellStyle name="Normal 2 2 2 2 2 2 2 2 2 5 2" xfId="41809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0"/>
    <cellStyle name="Normal 2 2 2 2 2 2 2 3" xfId="10013"/>
    <cellStyle name="Normal 2 2 2 2 2 2 2 3 2" xfId="41811"/>
    <cellStyle name="Normal 2 2 2 2 2 2 2 4" xfId="10014"/>
    <cellStyle name="Normal 2 2 2 2 2 2 2 4 2" xfId="41812"/>
    <cellStyle name="Normal 2 2 2 2 2 2 2 5" xfId="10015"/>
    <cellStyle name="Normal 2 2 2 2 2 2 2 5 2" xfId="41813"/>
    <cellStyle name="Normal 2 2 2 2 2 2 2 6" xfId="10016"/>
    <cellStyle name="Normal 2 2 2 2 2 2 2 6 2" xfId="41814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5"/>
    <cellStyle name="Normal 2 2 2 2 2 2 4" xfId="10080"/>
    <cellStyle name="Normal 2 2 2 2 2 2 4 2" xfId="41816"/>
    <cellStyle name="Normal 2 2 2 2 2 2 5" xfId="10081"/>
    <cellStyle name="Normal 2 2 2 2 2 2 5 2" xfId="41817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18"/>
    <cellStyle name="Normal 2 2 2 2 2 2 6 3" xfId="10099"/>
    <cellStyle name="Normal 2 2 2 2 2 2 6 3 2" xfId="41819"/>
    <cellStyle name="Normal 2 2 2 2 2 2 6 4" xfId="10100"/>
    <cellStyle name="Normal 2 2 2 2 2 2 6 4 2" xfId="41820"/>
    <cellStyle name="Normal 2 2 2 2 2 2 6 5" xfId="10101"/>
    <cellStyle name="Normal 2 2 2 2 2 2 6 5 2" xfId="4182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2"/>
    <cellStyle name="Normal 2 2 2 2 2 3 2 3" xfId="10747"/>
    <cellStyle name="Normal 2 2 2 2 2 3 2 3 2" xfId="41823"/>
    <cellStyle name="Normal 2 2 2 2 2 3 2 4" xfId="10748"/>
    <cellStyle name="Normal 2 2 2 2 2 3 2 4 2" xfId="41824"/>
    <cellStyle name="Normal 2 2 2 2 2 3 2 5" xfId="10749"/>
    <cellStyle name="Normal 2 2 2 2 2 3 2 5 2" xfId="41825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6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7"/>
    <cellStyle name="Normal 2 2 2 2 2 7" xfId="11615"/>
    <cellStyle name="Normal 2 2 2 2 2 7 2" xfId="41828"/>
    <cellStyle name="Normal 2 2 2 2 2 8" xfId="11616"/>
    <cellStyle name="Normal 2 2 2 2 2 8 2" xfId="41829"/>
    <cellStyle name="Normal 2 2 2 2 2 9" xfId="11617"/>
    <cellStyle name="Normal 2 2 2 2 2 9 2" xfId="41830"/>
    <cellStyle name="Normal 2 2 2 2 3" xfId="11618"/>
    <cellStyle name="Normal 2 2 2 2 3 2" xfId="41831"/>
    <cellStyle name="Normal 2 2 2 2 4" xfId="11619"/>
    <cellStyle name="Normal 2 2 2 2 4 2" xfId="41832"/>
    <cellStyle name="Normal 2 2 2 2 5" xfId="11620"/>
    <cellStyle name="Normal 2 2 2 2 5 2" xfId="41833"/>
    <cellStyle name="Normal 2 2 2 2 6" xfId="11621"/>
    <cellStyle name="Normal 2 2 2 2 6 2" xfId="41834"/>
    <cellStyle name="Normal 2 2 2 2 7" xfId="11622"/>
    <cellStyle name="Normal 2 2 2 2 7 2" xfId="41835"/>
    <cellStyle name="Normal 2 2 2 2 8" xfId="11623"/>
    <cellStyle name="Normal 2 2 2 2 8 2" xfId="41836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7"/>
    <cellStyle name="Normal 2 2 2 2 9 2 2 3" xfId="11660"/>
    <cellStyle name="Normal 2 2 2 2 9 2 2 3 2" xfId="41838"/>
    <cellStyle name="Normal 2 2 2 2 9 2 2 4" xfId="11661"/>
    <cellStyle name="Normal 2 2 2 2 9 2 2 4 2" xfId="41839"/>
    <cellStyle name="Normal 2 2 2 2 9 2 2 5" xfId="11662"/>
    <cellStyle name="Normal 2 2 2 2 9 2 2 5 2" xfId="41840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1"/>
    <cellStyle name="Normal 2 2 2 2 9 3" xfId="11967"/>
    <cellStyle name="Normal 2 2 2 2 9 3 2" xfId="41842"/>
    <cellStyle name="Normal 2 2 2 2 9 4" xfId="11968"/>
    <cellStyle name="Normal 2 2 2 2 9 4 2" xfId="41843"/>
    <cellStyle name="Normal 2 2 2 2 9 5" xfId="11969"/>
    <cellStyle name="Normal 2 2 2 2 9 5 2" xfId="41844"/>
    <cellStyle name="Normal 2 2 2 2 9 6" xfId="11970"/>
    <cellStyle name="Normal 2 2 2 2 9 6 2" xfId="41845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6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7"/>
    <cellStyle name="Normal 2 2 2 3 2 2 2 3" xfId="12449"/>
    <cellStyle name="Normal 2 2 2 3 2 2 2 3 2" xfId="41848"/>
    <cellStyle name="Normal 2 2 2 3 2 2 2 4" xfId="12450"/>
    <cellStyle name="Normal 2 2 2 3 2 2 2 4 2" xfId="41849"/>
    <cellStyle name="Normal 2 2 2 3 2 2 2 5" xfId="12451"/>
    <cellStyle name="Normal 2 2 2 3 2 2 2 5 2" xfId="41850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1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2"/>
    <cellStyle name="Normal 2 2 2 3 2 7" xfId="13400"/>
    <cellStyle name="Normal 2 2 2 3 2 7 2" xfId="41853"/>
    <cellStyle name="Normal 2 2 2 3 2 8" xfId="13401"/>
    <cellStyle name="Normal 2 2 2 3 2 8 2" xfId="41854"/>
    <cellStyle name="Normal 2 2 2 3 2 9" xfId="13402"/>
    <cellStyle name="Normal 2 2 2 3 2 9 2" xfId="41855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6"/>
    <cellStyle name="Normal 2 2 2 3 3 2 2 3" xfId="13439"/>
    <cellStyle name="Normal 2 2 2 3 3 2 2 3 2" xfId="41857"/>
    <cellStyle name="Normal 2 2 2 3 3 2 2 4" xfId="13440"/>
    <cellStyle name="Normal 2 2 2 3 3 2 2 4 2" xfId="41858"/>
    <cellStyle name="Normal 2 2 2 3 3 2 2 5" xfId="13441"/>
    <cellStyle name="Normal 2 2 2 3 3 2 2 5 2" xfId="41859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0"/>
    <cellStyle name="Normal 2 2 2 3 3 3" xfId="13746"/>
    <cellStyle name="Normal 2 2 2 3 3 3 2" xfId="41861"/>
    <cellStyle name="Normal 2 2 2 3 3 4" xfId="13747"/>
    <cellStyle name="Normal 2 2 2 3 3 4 2" xfId="41862"/>
    <cellStyle name="Normal 2 2 2 3 3 5" xfId="13748"/>
    <cellStyle name="Normal 2 2 2 3 3 5 2" xfId="41863"/>
    <cellStyle name="Normal 2 2 2 3 3 6" xfId="13749"/>
    <cellStyle name="Normal 2 2 2 3 3 6 2" xfId="41864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5"/>
    <cellStyle name="Normal 2 2 2 3 5" xfId="13813"/>
    <cellStyle name="Normal 2 2 2 3 5 2" xfId="41866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7"/>
    <cellStyle name="Normal 2 2 2 3 6 3" xfId="13831"/>
    <cellStyle name="Normal 2 2 2 3 6 3 2" xfId="41868"/>
    <cellStyle name="Normal 2 2 2 3 6 4" xfId="13832"/>
    <cellStyle name="Normal 2 2 2 3 6 4 2" xfId="41869"/>
    <cellStyle name="Normal 2 2 2 3 6 5" xfId="13833"/>
    <cellStyle name="Normal 2 2 2 3 6 5 2" xfId="41870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1"/>
    <cellStyle name="Normal 2 2 2 9 2 3" xfId="14876"/>
    <cellStyle name="Normal 2 2 2 9 2 3 2" xfId="41872"/>
    <cellStyle name="Normal 2 2 2 9 2 4" xfId="14877"/>
    <cellStyle name="Normal 2 2 2 9 2 4 2" xfId="41873"/>
    <cellStyle name="Normal 2 2 2 9 2 5" xfId="14878"/>
    <cellStyle name="Normal 2 2 2 9 2 5 2" xfId="41874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5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6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7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78"/>
    <cellStyle name="Normal 2 2 4 2 2 2 2 3" xfId="15390"/>
    <cellStyle name="Normal 2 2 4 2 2 2 2 3 2" xfId="41879"/>
    <cellStyle name="Normal 2 2 4 2 2 2 2 4" xfId="15391"/>
    <cellStyle name="Normal 2 2 4 2 2 2 2 4 2" xfId="41880"/>
    <cellStyle name="Normal 2 2 4 2 2 2 2 5" xfId="15392"/>
    <cellStyle name="Normal 2 2 4 2 2 2 2 5 2" xfId="41881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2"/>
    <cellStyle name="Normal 2 2 4 2 2 3" xfId="15697"/>
    <cellStyle name="Normal 2 2 4 2 2 3 2" xfId="41883"/>
    <cellStyle name="Normal 2 2 4 2 2 4" xfId="15698"/>
    <cellStyle name="Normal 2 2 4 2 2 4 2" xfId="41884"/>
    <cellStyle name="Normal 2 2 4 2 2 5" xfId="15699"/>
    <cellStyle name="Normal 2 2 4 2 2 5 2" xfId="41885"/>
    <cellStyle name="Normal 2 2 4 2 2 6" xfId="15700"/>
    <cellStyle name="Normal 2 2 4 2 2 6 2" xfId="41886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7"/>
    <cellStyle name="Normal 2 2 4 2 4" xfId="15764"/>
    <cellStyle name="Normal 2 2 4 2 4 2" xfId="41888"/>
    <cellStyle name="Normal 2 2 4 2 5" xfId="15765"/>
    <cellStyle name="Normal 2 2 4 2 5 2" xfId="41889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0"/>
    <cellStyle name="Normal 2 2 4 2 6 3" xfId="15783"/>
    <cellStyle name="Normal 2 2 4 2 6 3 2" xfId="41891"/>
    <cellStyle name="Normal 2 2 4 2 6 4" xfId="15784"/>
    <cellStyle name="Normal 2 2 4 2 6 4 2" xfId="41892"/>
    <cellStyle name="Normal 2 2 4 2 6 5" xfId="15785"/>
    <cellStyle name="Normal 2 2 4 2 6 5 2" xfId="41893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4"/>
    <cellStyle name="Normal 2 2 4 3 2 3" xfId="16431"/>
    <cellStyle name="Normal 2 2 4 3 2 3 2" xfId="41895"/>
    <cellStyle name="Normal 2 2 4 3 2 4" xfId="16432"/>
    <cellStyle name="Normal 2 2 4 3 2 4 2" xfId="41896"/>
    <cellStyle name="Normal 2 2 4 3 2 5" xfId="16433"/>
    <cellStyle name="Normal 2 2 4 3 2 5 2" xfId="41897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898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899"/>
    <cellStyle name="Normal 2 2 4 7" xfId="17299"/>
    <cellStyle name="Normal 2 2 4 7 2" xfId="41900"/>
    <cellStyle name="Normal 2 2 4 8" xfId="17300"/>
    <cellStyle name="Normal 2 2 4 8 2" xfId="41901"/>
    <cellStyle name="Normal 2 2 4 9" xfId="17301"/>
    <cellStyle name="Normal 2 2 4 9 2" xfId="41902"/>
    <cellStyle name="Normal 2 2 5" xfId="17302"/>
    <cellStyle name="Normal 2 2 5 2" xfId="41903"/>
    <cellStyle name="Normal 2 2 6" xfId="17303"/>
    <cellStyle name="Normal 2 2 6 2" xfId="41904"/>
    <cellStyle name="Normal 2 2 7" xfId="17304"/>
    <cellStyle name="Normal 2 2 7 2" xfId="41905"/>
    <cellStyle name="Normal 2 2 8" xfId="17305"/>
    <cellStyle name="Normal 2 2 8 2" xfId="41906"/>
    <cellStyle name="Normal 2 2 9" xfId="17306"/>
    <cellStyle name="Normal 2 2 9 2" xfId="41907"/>
    <cellStyle name="Normal 2 20" xfId="17307"/>
    <cellStyle name="Normal 2 20 2" xfId="41908"/>
    <cellStyle name="Normal 2 21" xfId="17308"/>
    <cellStyle name="Normal 2 22" xfId="17309"/>
    <cellStyle name="Normal 2 22 2" xfId="41909"/>
    <cellStyle name="Normal 2 23" xfId="41710"/>
    <cellStyle name="Normal 2 3" xfId="17310"/>
    <cellStyle name="Normal 2 3 10" xfId="17311"/>
    <cellStyle name="Normal 2 3 10 2" xfId="41910"/>
    <cellStyle name="Normal 2 3 11" xfId="17312"/>
    <cellStyle name="Normal 2 3 11 2" xfId="41911"/>
    <cellStyle name="Normal 2 3 12" xfId="17313"/>
    <cellStyle name="Normal 2 3 12 2" xfId="41912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3"/>
    <cellStyle name="Normal 2 3 13 3" xfId="17331"/>
    <cellStyle name="Normal 2 3 13 3 2" xfId="41914"/>
    <cellStyle name="Normal 2 3 13 4" xfId="17332"/>
    <cellStyle name="Normal 2 3 13 4 2" xfId="41915"/>
    <cellStyle name="Normal 2 3 13 5" xfId="17333"/>
    <cellStyle name="Normal 2 3 13 5 2" xfId="41916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7"/>
    <cellStyle name="Normal 2 3 2 14" xfId="18203"/>
    <cellStyle name="Normal 2 3 2 14 2" xfId="41918"/>
    <cellStyle name="Normal 2 3 2 15" xfId="18204"/>
    <cellStyle name="Normal 2 3 2 15 2" xfId="41919"/>
    <cellStyle name="Normal 2 3 2 16" xfId="18205"/>
    <cellStyle name="Normal 2 3 2 16 2" xfId="41920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1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2"/>
    <cellStyle name="Normal 2 3 2 2 2 2 2 3" xfId="18704"/>
    <cellStyle name="Normal 2 3 2 2 2 2 2 3 2" xfId="41923"/>
    <cellStyle name="Normal 2 3 2 2 2 2 2 4" xfId="18705"/>
    <cellStyle name="Normal 2 3 2 2 2 2 2 4 2" xfId="41924"/>
    <cellStyle name="Normal 2 3 2 2 2 2 2 5" xfId="18706"/>
    <cellStyle name="Normal 2 3 2 2 2 2 2 5 2" xfId="41925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6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7"/>
    <cellStyle name="Normal 2 3 2 2 2 7" xfId="19655"/>
    <cellStyle name="Normal 2 3 2 2 2 7 2" xfId="41928"/>
    <cellStyle name="Normal 2 3 2 2 2 8" xfId="19656"/>
    <cellStyle name="Normal 2 3 2 2 2 8 2" xfId="41929"/>
    <cellStyle name="Normal 2 3 2 2 2 9" xfId="19657"/>
    <cellStyle name="Normal 2 3 2 2 2 9 2" xfId="41930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1"/>
    <cellStyle name="Normal 2 3 2 2 3 2 2 3" xfId="19694"/>
    <cellStyle name="Normal 2 3 2 2 3 2 2 3 2" xfId="41932"/>
    <cellStyle name="Normal 2 3 2 2 3 2 2 4" xfId="19695"/>
    <cellStyle name="Normal 2 3 2 2 3 2 2 4 2" xfId="41933"/>
    <cellStyle name="Normal 2 3 2 2 3 2 2 5" xfId="19696"/>
    <cellStyle name="Normal 2 3 2 2 3 2 2 5 2" xfId="41934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5"/>
    <cellStyle name="Normal 2 3 2 2 3 3" xfId="20001"/>
    <cellStyle name="Normal 2 3 2 2 3 3 2" xfId="41936"/>
    <cellStyle name="Normal 2 3 2 2 3 4" xfId="20002"/>
    <cellStyle name="Normal 2 3 2 2 3 4 2" xfId="41937"/>
    <cellStyle name="Normal 2 3 2 2 3 5" xfId="20003"/>
    <cellStyle name="Normal 2 3 2 2 3 5 2" xfId="41938"/>
    <cellStyle name="Normal 2 3 2 2 3 6" xfId="20004"/>
    <cellStyle name="Normal 2 3 2 2 3 6 2" xfId="41939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0"/>
    <cellStyle name="Normal 2 3 2 2 5" xfId="20068"/>
    <cellStyle name="Normal 2 3 2 2 5 2" xfId="41941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2"/>
    <cellStyle name="Normal 2 3 2 2 6 3" xfId="20086"/>
    <cellStyle name="Normal 2 3 2 2 6 3 2" xfId="41943"/>
    <cellStyle name="Normal 2 3 2 2 6 4" xfId="20087"/>
    <cellStyle name="Normal 2 3 2 2 6 4 2" xfId="41944"/>
    <cellStyle name="Normal 2 3 2 2 6 5" xfId="20088"/>
    <cellStyle name="Normal 2 3 2 2 6 5 2" xfId="41945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6"/>
    <cellStyle name="Normal 2 3 2 9 2 3" xfId="21221"/>
    <cellStyle name="Normal 2 3 2 9 2 3 2" xfId="41947"/>
    <cellStyle name="Normal 2 3 2 9 2 4" xfId="21222"/>
    <cellStyle name="Normal 2 3 2 9 2 4 2" xfId="41948"/>
    <cellStyle name="Normal 2 3 2 9 2 5" xfId="21223"/>
    <cellStyle name="Normal 2 3 2 9 2 5 2" xfId="41949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0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1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2"/>
    <cellStyle name="Normal 2 3 3 2 2 2 2 3" xfId="21736"/>
    <cellStyle name="Normal 2 3 3 2 2 2 2 3 2" xfId="41953"/>
    <cellStyle name="Normal 2 3 3 2 2 2 2 4" xfId="21737"/>
    <cellStyle name="Normal 2 3 3 2 2 2 2 4 2" xfId="41954"/>
    <cellStyle name="Normal 2 3 3 2 2 2 2 5" xfId="21738"/>
    <cellStyle name="Normal 2 3 3 2 2 2 2 5 2" xfId="41955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6"/>
    <cellStyle name="Normal 2 3 3 2 2 3" xfId="22043"/>
    <cellStyle name="Normal 2 3 3 2 2 3 2" xfId="41957"/>
    <cellStyle name="Normal 2 3 3 2 2 4" xfId="22044"/>
    <cellStyle name="Normal 2 3 3 2 2 4 2" xfId="41958"/>
    <cellStyle name="Normal 2 3 3 2 2 5" xfId="22045"/>
    <cellStyle name="Normal 2 3 3 2 2 5 2" xfId="41959"/>
    <cellStyle name="Normal 2 3 3 2 2 6" xfId="22046"/>
    <cellStyle name="Normal 2 3 3 2 2 6 2" xfId="41960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1"/>
    <cellStyle name="Normal 2 3 3 2 4" xfId="22110"/>
    <cellStyle name="Normal 2 3 3 2 4 2" xfId="41962"/>
    <cellStyle name="Normal 2 3 3 2 5" xfId="22111"/>
    <cellStyle name="Normal 2 3 3 2 5 2" xfId="41963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4"/>
    <cellStyle name="Normal 2 3 3 2 6 3" xfId="22129"/>
    <cellStyle name="Normal 2 3 3 2 6 3 2" xfId="41965"/>
    <cellStyle name="Normal 2 3 3 2 6 4" xfId="22130"/>
    <cellStyle name="Normal 2 3 3 2 6 4 2" xfId="41966"/>
    <cellStyle name="Normal 2 3 3 2 6 5" xfId="22131"/>
    <cellStyle name="Normal 2 3 3 2 6 5 2" xfId="41967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68"/>
    <cellStyle name="Normal 2 3 3 3 2 3" xfId="22774"/>
    <cellStyle name="Normal 2 3 3 3 2 3 2" xfId="41969"/>
    <cellStyle name="Normal 2 3 3 3 2 4" xfId="22775"/>
    <cellStyle name="Normal 2 3 3 3 2 4 2" xfId="41970"/>
    <cellStyle name="Normal 2 3 3 3 2 5" xfId="22776"/>
    <cellStyle name="Normal 2 3 3 3 2 5 2" xfId="41971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2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3"/>
    <cellStyle name="Normal 2 3 3 7" xfId="23642"/>
    <cellStyle name="Normal 2 3 3 7 2" xfId="41974"/>
    <cellStyle name="Normal 2 3 3 8" xfId="23643"/>
    <cellStyle name="Normal 2 3 3 8 2" xfId="41975"/>
    <cellStyle name="Normal 2 3 3 9" xfId="23644"/>
    <cellStyle name="Normal 2 3 3 9 2" xfId="41976"/>
    <cellStyle name="Normal 2 3 4" xfId="23645"/>
    <cellStyle name="Normal 2 3 4 2" xfId="41977"/>
    <cellStyle name="Normal 2 3 5" xfId="23646"/>
    <cellStyle name="Normal 2 3 5 2" xfId="41978"/>
    <cellStyle name="Normal 2 3 6" xfId="23647"/>
    <cellStyle name="Normal 2 3 6 2" xfId="41979"/>
    <cellStyle name="Normal 2 3 7" xfId="23648"/>
    <cellStyle name="Normal 2 3 7 2" xfId="41980"/>
    <cellStyle name="Normal 2 3 8" xfId="23649"/>
    <cellStyle name="Normal 2 3 8 2" xfId="41981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2"/>
    <cellStyle name="Normal 2 3 9 2 2 3" xfId="23686"/>
    <cellStyle name="Normal 2 3 9 2 2 3 2" xfId="41983"/>
    <cellStyle name="Normal 2 3 9 2 2 4" xfId="23687"/>
    <cellStyle name="Normal 2 3 9 2 2 4 2" xfId="41984"/>
    <cellStyle name="Normal 2 3 9 2 2 5" xfId="23688"/>
    <cellStyle name="Normal 2 3 9 2 2 5 2" xfId="41985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6"/>
    <cellStyle name="Normal 2 3 9 3" xfId="23993"/>
    <cellStyle name="Normal 2 3 9 3 2" xfId="41987"/>
    <cellStyle name="Normal 2 3 9 4" xfId="23994"/>
    <cellStyle name="Normal 2 3 9 4 2" xfId="41988"/>
    <cellStyle name="Normal 2 3 9 5" xfId="23995"/>
    <cellStyle name="Normal 2 3 9 5 2" xfId="41989"/>
    <cellStyle name="Normal 2 3 9 6" xfId="23996"/>
    <cellStyle name="Normal 2 3 9 6 2" xfId="41990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1"/>
    <cellStyle name="Normal 2 4 2 2 2 3" xfId="24489"/>
    <cellStyle name="Normal 2 4 2 2 2 3 2" xfId="41992"/>
    <cellStyle name="Normal 2 4 2 2 2 4" xfId="24490"/>
    <cellStyle name="Normal 2 4 2 2 2 4 2" xfId="41993"/>
    <cellStyle name="Normal 2 4 2 2 2 5" xfId="24491"/>
    <cellStyle name="Normal 2 4 2 2 2 5 2" xfId="41994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6"/>
    <cellStyle name="Normal 2 4 2 7" xfId="25437"/>
    <cellStyle name="Normal 2 4 2 7 2" xfId="41997"/>
    <cellStyle name="Normal 2 4 2 8" xfId="25438"/>
    <cellStyle name="Normal 2 4 2 8 2" xfId="41998"/>
    <cellStyle name="Normal 2 4 2 9" xfId="25439"/>
    <cellStyle name="Normal 2 4 2 9 2" xfId="4199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0"/>
    <cellStyle name="Normal 2 4 3 2 2 3" xfId="25478"/>
    <cellStyle name="Normal 2 4 3 2 2 3 2" xfId="42001"/>
    <cellStyle name="Normal 2 4 3 2 2 4" xfId="25479"/>
    <cellStyle name="Normal 2 4 3 2 2 4 2" xfId="42002"/>
    <cellStyle name="Normal 2 4 3 2 2 5" xfId="25480"/>
    <cellStyle name="Normal 2 4 3 2 2 5 2" xfId="42003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4"/>
    <cellStyle name="Normal 2 4 3 3" xfId="25785"/>
    <cellStyle name="Normal 2 4 3 3 2" xfId="42005"/>
    <cellStyle name="Normal 2 4 3 4" xfId="25786"/>
    <cellStyle name="Normal 2 4 3 4 2" xfId="42006"/>
    <cellStyle name="Normal 2 4 3 5" xfId="25787"/>
    <cellStyle name="Normal 2 4 3 5 2" xfId="42007"/>
    <cellStyle name="Normal 2 4 3 6" xfId="25788"/>
    <cellStyle name="Normal 2 4 3 6 2" xfId="4200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09"/>
    <cellStyle name="Normal 2 4 5" xfId="25852"/>
    <cellStyle name="Normal 2 4 5 2" xfId="42010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1"/>
    <cellStyle name="Normal 2 4 6 3" xfId="25870"/>
    <cellStyle name="Normal 2 4 6 3 2" xfId="42012"/>
    <cellStyle name="Normal 2 4 6 4" xfId="25871"/>
    <cellStyle name="Normal 2 4 6 4 2" xfId="42013"/>
    <cellStyle name="Normal 2 4 6 5" xfId="25872"/>
    <cellStyle name="Normal 2 4 6 5 2" xfId="42014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5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6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18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19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1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2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3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5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6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7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28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29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0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1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2"/>
    <cellStyle name="Normal 3 4" xfId="27293"/>
    <cellStyle name="Normal 3 4 2" xfId="42033"/>
    <cellStyle name="Normal 3 5" xfId="27294"/>
    <cellStyle name="Normal 3 5 2" xfId="42034"/>
    <cellStyle name="Normal 3 6" xfId="27295"/>
    <cellStyle name="Normal 3 6 2" xfId="42035"/>
    <cellStyle name="Normal 3 7" xfId="27296"/>
    <cellStyle name="Normal 3 7 2" xfId="42036"/>
    <cellStyle name="Normal 3 8" xfId="27297"/>
    <cellStyle name="Normal 3 8 2" xfId="42037"/>
    <cellStyle name="Normal 3 9" xfId="42038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9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0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1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2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3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4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5"/>
    <cellStyle name="Normal 33 2" xfId="27544"/>
    <cellStyle name="Normal 33 2 10" xfId="27545"/>
    <cellStyle name="Normal 33 2 10 2" xfId="27546"/>
    <cellStyle name="Normal 33 2 11" xfId="27547"/>
    <cellStyle name="Normal 33 2 12" xfId="42046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7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8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9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0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1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2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3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4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5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6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7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8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9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Control Cuota Licitada V-VIII " xfId="42097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FC8E"/>
      <color rgb="FFFFFF00"/>
      <color rgb="FF8AE3EA"/>
      <color rgb="FFFFFF99"/>
      <color rgb="FFFFFFCC"/>
      <color rgb="FFD2AF1C"/>
      <color rgb="FFCCFFCC"/>
      <color rgb="FF66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21772</xdr:rowOff>
    </xdr:from>
    <xdr:to>
      <xdr:col>1</xdr:col>
      <xdr:colOff>1038225</xdr:colOff>
      <xdr:row>4</xdr:row>
      <xdr:rowOff>80963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374" y="212272"/>
          <a:ext cx="974726" cy="625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496658</xdr:colOff>
      <xdr:row>15</xdr:row>
      <xdr:rowOff>28575</xdr:rowOff>
    </xdr:from>
    <xdr:to>
      <xdr:col>1</xdr:col>
      <xdr:colOff>895351</xdr:colOff>
      <xdr:row>17</xdr:row>
      <xdr:rowOff>51185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658" y="3333750"/>
          <a:ext cx="922568" cy="572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152402</xdr:rowOff>
    </xdr:from>
    <xdr:to>
      <xdr:col>2</xdr:col>
      <xdr:colOff>471713</xdr:colOff>
      <xdr:row>2</xdr:row>
      <xdr:rowOff>141516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269" y="152402"/>
          <a:ext cx="1714501" cy="57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87082</xdr:colOff>
      <xdr:row>17</xdr:row>
      <xdr:rowOff>38100</xdr:rowOff>
    </xdr:from>
    <xdr:to>
      <xdr:col>2</xdr:col>
      <xdr:colOff>459013</xdr:colOff>
      <xdr:row>20</xdr:row>
      <xdr:rowOff>41727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482" y="4749800"/>
          <a:ext cx="1665517" cy="662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326199</xdr:colOff>
      <xdr:row>2</xdr:row>
      <xdr:rowOff>241904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95" y="193525"/>
          <a:ext cx="1596199" cy="64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2</xdr:col>
      <xdr:colOff>1270891</xdr:colOff>
      <xdr:row>3</xdr:row>
      <xdr:rowOff>1335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59" y="194930"/>
          <a:ext cx="2152951" cy="83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182880</xdr:rowOff>
    </xdr:from>
    <xdr:to>
      <xdr:col>2</xdr:col>
      <xdr:colOff>1027802</xdr:colOff>
      <xdr:row>3</xdr:row>
      <xdr:rowOff>20478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6440" y="182880"/>
          <a:ext cx="2225187" cy="67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_Cuota_Camaron%20Naylon_II-V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Transferencias%20Crustaceos%20Ltp-Pep_2019/00_Transferencias_Ltp_Langoamarillo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_Transferencias%20Ltp-Pep/00_Transferencias_Ltp_Langoamarill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_Transferencias%20Crustaceos%20Ltp-Pep_2019/00_Transferencias_PEP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_"/>
      <sheetName val="Resumen periodo"/>
      <sheetName val="Control Cuota Artesanal"/>
      <sheetName val="Control Cuota LTP"/>
      <sheetName val="Coeficientes"/>
      <sheetName val="Compras-Ventas"/>
      <sheetName val="Hoja2"/>
      <sheetName val="Hoja1"/>
    </sheetNames>
    <sheetDataSet>
      <sheetData sheetId="0"/>
      <sheetData sheetId="1">
        <row r="21">
          <cell r="F21">
            <v>0</v>
          </cell>
        </row>
        <row r="22">
          <cell r="F2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Transa_Ltp_Langamarillo"/>
      <sheetName val="ANTARTIC SEAFOOD S.A."/>
      <sheetName val="BRACPESCA S.A."/>
      <sheetName val="RUBIO Y MAUAD LTDA."/>
      <sheetName val="GRIMAR S.A. PESQ."/>
      <sheetName val="ISLADAMAS S.A. PESQ."/>
      <sheetName val="ALIMENTOS ALSAN LTDA"/>
      <sheetName val="SOC. DISTRIMAR LTDA"/>
      <sheetName val="DA VENEZIA"/>
      <sheetName val="ENFEMAR LTDA. SOC. PESQ."/>
      <sheetName val="NICANOR GONZALEZ VEGA"/>
      <sheetName val="MOROZIN BAYCIC MARIA ANA"/>
      <sheetName val="LANDES S.A. SOC. PESQ."/>
      <sheetName val="BAYCIC BAYCIC MARIA"/>
      <sheetName val="MOROZIN YURECIC MARIO"/>
      <sheetName val="QUINTERO S.A. PESQ."/>
    </sheetNames>
    <sheetDataSet>
      <sheetData sheetId="0">
        <row r="22">
          <cell r="C22">
            <v>90</v>
          </cell>
          <cell r="D22">
            <v>692</v>
          </cell>
        </row>
        <row r="23">
          <cell r="C23">
            <v>10</v>
          </cell>
          <cell r="D23">
            <v>77</v>
          </cell>
        </row>
      </sheetData>
      <sheetData sheetId="1">
        <row r="9">
          <cell r="E9">
            <v>0.35143999999999997</v>
          </cell>
        </row>
        <row r="11">
          <cell r="E11">
            <v>3.0000000000000001E-5</v>
          </cell>
        </row>
        <row r="13">
          <cell r="E13">
            <v>0.38292619999999994</v>
          </cell>
        </row>
        <row r="15">
          <cell r="E15">
            <v>1.7310000000000001E-4</v>
          </cell>
        </row>
        <row r="17">
          <cell r="E17">
            <v>0.13162230000000003</v>
          </cell>
        </row>
        <row r="19">
          <cell r="E19">
            <v>1.0009999999999999E-4</v>
          </cell>
        </row>
        <row r="21">
          <cell r="E21">
            <v>2.0100000000000001E-5</v>
          </cell>
        </row>
        <row r="23">
          <cell r="E23">
            <v>6.6637100000000005E-2</v>
          </cell>
        </row>
        <row r="25">
          <cell r="E25">
            <v>4.9240600000000002E-2</v>
          </cell>
        </row>
        <row r="27">
          <cell r="E27">
            <v>0</v>
          </cell>
        </row>
        <row r="29">
          <cell r="E29">
            <v>8.1010000000000001E-4</v>
          </cell>
        </row>
        <row r="31">
          <cell r="E31">
            <v>2.1000000000000001E-4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1.6790300000000001E-2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Transa_Ltp_Langamarillo"/>
      <sheetName val="ANTARTIC SEAFOOD S.A."/>
      <sheetName val="BRACPESCA S.A."/>
      <sheetName val="RUBIO Y MAUAD LTDA."/>
      <sheetName val="GRIMAR S.A. PESQ."/>
      <sheetName val="ISLADAMAS S.A. PESQ."/>
      <sheetName val="ALIMENTOS ALSAN LTDA"/>
      <sheetName val="SOC. DISTRIMAR LTDA"/>
      <sheetName val="DA VENEZIA"/>
      <sheetName val="ENFEMAR LTDA. SOC. PESQ."/>
      <sheetName val="NICANOR GONZALEZ VEGA"/>
      <sheetName val="MOROZIN BAYCIC MARIA ANA"/>
      <sheetName val="LANDES S.A. SOC. PESQ."/>
      <sheetName val="BAYCIC BAYCIC MARIA"/>
      <sheetName val="MOROZIN YURECIC MARIO"/>
      <sheetName val="QUINTERO S.A. PESQ."/>
    </sheetNames>
    <sheetDataSet>
      <sheetData sheetId="0"/>
      <sheetData sheetId="1">
        <row r="9">
          <cell r="I9">
            <v>243.19647999999998</v>
          </cell>
          <cell r="J9">
            <v>0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  <row r="13">
          <cell r="J13">
            <v>0</v>
          </cell>
          <cell r="K13">
            <v>0</v>
          </cell>
        </row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0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a_Pep_Langamarillo"/>
      <sheetName val="Transa_Pep_Langocolorado"/>
      <sheetName val="%adjudicadoSSP"/>
      <sheetName val="Historico_langcolorado pep"/>
      <sheetName val="Historico_langamarillo pep"/>
    </sheetNames>
    <sheetDataSet>
      <sheetData sheetId="0">
        <row r="10">
          <cell r="B10" t="str">
            <v>CAMANCHACA PESCA SUR</v>
          </cell>
          <cell r="C10">
            <v>0.30851095900000003</v>
          </cell>
          <cell r="D10">
            <v>604.68147964000002</v>
          </cell>
          <cell r="H10">
            <v>-152.55852720919998</v>
          </cell>
          <cell r="I10">
            <v>334.05620639999995</v>
          </cell>
        </row>
        <row r="11">
          <cell r="H11">
            <v>0</v>
          </cell>
          <cell r="I11">
            <v>0</v>
          </cell>
        </row>
        <row r="12">
          <cell r="B12" t="str">
            <v>QUINTERO S.A. PESQ.</v>
          </cell>
          <cell r="C12">
            <v>2.1082E-2</v>
          </cell>
          <cell r="D12">
            <v>41.320720000000001</v>
          </cell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B14" t="str">
            <v>BRACPESCA S.A.</v>
          </cell>
          <cell r="C14">
            <v>0.25926339999999998</v>
          </cell>
          <cell r="D14">
            <v>508.15626399999996</v>
          </cell>
          <cell r="H14">
            <v>200.00000719999997</v>
          </cell>
          <cell r="I14">
            <v>-225.58588640000002</v>
          </cell>
        </row>
        <row r="15">
          <cell r="H15">
            <v>0</v>
          </cell>
          <cell r="I15">
            <v>0</v>
          </cell>
        </row>
        <row r="16">
          <cell r="B16" t="str">
            <v>ISLADAMAS S.A. PESQ.</v>
          </cell>
          <cell r="C16">
            <v>0.15214620000000001</v>
          </cell>
          <cell r="D16">
            <v>298.20655200000004</v>
          </cell>
          <cell r="H16">
            <v>29.547000000000001</v>
          </cell>
          <cell r="I16">
            <v>36.113</v>
          </cell>
        </row>
        <row r="17">
          <cell r="H17">
            <v>0</v>
          </cell>
          <cell r="I17">
            <v>0</v>
          </cell>
        </row>
        <row r="18">
          <cell r="B18" t="str">
            <v>ANTARTIC SEAFOOD S.A.</v>
          </cell>
          <cell r="C18">
            <v>8.7300000000000003E-2</v>
          </cell>
          <cell r="D18">
            <v>171.108</v>
          </cell>
          <cell r="H18">
            <v>40.000000009199994</v>
          </cell>
          <cell r="I18">
            <v>-83.329399999999993</v>
          </cell>
        </row>
        <row r="19">
          <cell r="H19">
            <v>0</v>
          </cell>
          <cell r="I19">
            <v>0</v>
          </cell>
        </row>
        <row r="20">
          <cell r="B20" t="str">
            <v>ANTONIO CRUZ CORDOVA NAKOUZI E.I.R.L</v>
          </cell>
          <cell r="C20">
            <v>1.3669999999999999E-4</v>
          </cell>
          <cell r="D20">
            <v>0.267932</v>
          </cell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B22" t="str">
            <v>ENFEMAR LTDA. SOC. PESQ.</v>
          </cell>
          <cell r="C22">
            <v>5.4599999999999999E-5</v>
          </cell>
          <cell r="D22">
            <v>0.107016</v>
          </cell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B24" t="str">
            <v>PACIFICBLU SpA.</v>
          </cell>
          <cell r="C24">
            <v>0.17048904000000001</v>
          </cell>
          <cell r="D24">
            <v>334.15851839999999</v>
          </cell>
          <cell r="H24">
            <v>-116.98847999999998</v>
          </cell>
          <cell r="I24">
            <v>-142.98591999999996</v>
          </cell>
        </row>
        <row r="25">
          <cell r="H25">
            <v>0</v>
          </cell>
          <cell r="I25">
            <v>0</v>
          </cell>
        </row>
        <row r="26">
          <cell r="B26" t="str">
            <v xml:space="preserve">ANTONIO DA VENEZIA RETAMALES </v>
          </cell>
          <cell r="C26">
            <v>2.0100000000000001E-5</v>
          </cell>
          <cell r="D26">
            <v>3.9396E-2</v>
          </cell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B28" t="str">
            <v>LANDES S.A. SOC. PESQ.</v>
          </cell>
          <cell r="C28">
            <v>1E-3</v>
          </cell>
          <cell r="D28">
            <v>1.96</v>
          </cell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B30" t="str">
            <v>JORGE COFRE REYES</v>
          </cell>
          <cell r="C30">
            <v>0</v>
          </cell>
          <cell r="D30">
            <v>0</v>
          </cell>
          <cell r="H30">
            <v>0</v>
          </cell>
          <cell r="I30">
            <v>81.731999999999999</v>
          </cell>
        </row>
        <row r="31">
          <cell r="H31">
            <v>0</v>
          </cell>
          <cell r="I31">
            <v>0</v>
          </cell>
        </row>
        <row r="32">
          <cell r="B32" t="str">
            <v>CRISTIAN RODRIGO ANTONIO MARDONES PANTOJA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B34" t="str">
            <v>PESQUERA CMK LTDA.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B36" t="str">
            <v>RUBIO Y MAUAD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7FC8E"/>
  </sheetPr>
  <dimension ref="A1:BUH284"/>
  <sheetViews>
    <sheetView topLeftCell="A10" zoomScale="80" zoomScaleNormal="80" workbookViewId="0">
      <selection activeCell="G31" sqref="G31:H31"/>
    </sheetView>
  </sheetViews>
  <sheetFormatPr baseColWidth="10" defaultRowHeight="14.4"/>
  <cols>
    <col min="1" max="1" width="7.5546875" style="272" customWidth="1"/>
    <col min="2" max="2" width="21.88671875" customWidth="1"/>
    <col min="3" max="3" width="28.33203125" customWidth="1"/>
    <col min="4" max="4" width="14.33203125" customWidth="1"/>
    <col min="5" max="5" width="17" customWidth="1"/>
    <col min="6" max="6" width="16.6640625" customWidth="1"/>
    <col min="7" max="7" width="10.33203125" customWidth="1"/>
    <col min="8" max="8" width="14.33203125" customWidth="1"/>
    <col min="9" max="9" width="10.6640625" customWidth="1"/>
    <col min="10" max="10" width="12.6640625" style="1" hidden="1" customWidth="1"/>
    <col min="11" max="1906" width="11.5546875" style="1"/>
  </cols>
  <sheetData>
    <row r="1" spans="1:1906" s="1" customFormat="1" ht="15" thickBot="1">
      <c r="A1" s="272"/>
    </row>
    <row r="2" spans="1:1906" ht="15.6" customHeight="1">
      <c r="B2" s="487" t="s">
        <v>132</v>
      </c>
      <c r="C2" s="488"/>
      <c r="D2" s="488"/>
      <c r="E2" s="488"/>
      <c r="F2" s="488"/>
      <c r="G2" s="488"/>
      <c r="H2" s="488"/>
      <c r="I2" s="489"/>
    </row>
    <row r="3" spans="1:1906" ht="12" customHeight="1">
      <c r="B3" s="490" t="s">
        <v>152</v>
      </c>
      <c r="C3" s="491"/>
      <c r="D3" s="491"/>
      <c r="E3" s="491"/>
      <c r="F3" s="491"/>
      <c r="G3" s="491"/>
      <c r="H3" s="491"/>
      <c r="I3" s="492"/>
    </row>
    <row r="4" spans="1:1906" ht="15.6" customHeight="1" thickBot="1">
      <c r="B4" s="484">
        <v>43558</v>
      </c>
      <c r="C4" s="485"/>
      <c r="D4" s="485"/>
      <c r="E4" s="485"/>
      <c r="F4" s="485"/>
      <c r="G4" s="485"/>
      <c r="H4" s="485"/>
      <c r="I4" s="486"/>
    </row>
    <row r="5" spans="1:1906" s="1" customFormat="1" ht="15" thickBot="1">
      <c r="A5" s="272"/>
    </row>
    <row r="6" spans="1:1906" ht="31.8" thickBot="1">
      <c r="B6" s="44" t="s">
        <v>37</v>
      </c>
      <c r="C6" s="45" t="s">
        <v>38</v>
      </c>
      <c r="D6" s="46" t="s">
        <v>13</v>
      </c>
      <c r="E6" s="47" t="s">
        <v>3</v>
      </c>
      <c r="F6" s="47" t="s">
        <v>4</v>
      </c>
      <c r="G6" s="47" t="s">
        <v>5</v>
      </c>
      <c r="H6" s="47" t="s">
        <v>6</v>
      </c>
      <c r="I6" s="48" t="s">
        <v>23</v>
      </c>
      <c r="J6" s="402" t="s">
        <v>8</v>
      </c>
    </row>
    <row r="7" spans="1:1906">
      <c r="B7" s="499" t="s">
        <v>70</v>
      </c>
      <c r="C7" s="412" t="s">
        <v>18</v>
      </c>
      <c r="D7" s="393">
        <f>'Resumen periodo'!E6+'Resumen periodo'!E7</f>
        <v>30</v>
      </c>
      <c r="E7" s="238">
        <f>'Resumen periodo'!F6+'Resumen periodo'!F7</f>
        <v>0</v>
      </c>
      <c r="F7" s="238">
        <f t="shared" ref="F7:F13" si="0">D7+E7</f>
        <v>30</v>
      </c>
      <c r="G7" s="238">
        <f>'Resumen periodo'!$H$6+'Resumen periodo'!$H$7</f>
        <v>0</v>
      </c>
      <c r="H7" s="238">
        <f t="shared" ref="H7:H13" si="1">F7-G7</f>
        <v>30</v>
      </c>
      <c r="I7" s="407">
        <f t="shared" ref="I7:I12" si="2">G7/F7</f>
        <v>0</v>
      </c>
      <c r="J7" s="403"/>
    </row>
    <row r="8" spans="1:1906" ht="15" thickBot="1">
      <c r="B8" s="500"/>
      <c r="C8" s="413" t="s">
        <v>75</v>
      </c>
      <c r="D8" s="394">
        <f>'Resumen periodo'!E8+'Resumen periodo'!E9</f>
        <v>623</v>
      </c>
      <c r="E8" s="239">
        <f>'Resumen periodo'!F8+'Resumen periodo'!F9</f>
        <v>-83.843000000000004</v>
      </c>
      <c r="F8" s="239">
        <f t="shared" si="0"/>
        <v>539.15700000000004</v>
      </c>
      <c r="G8" s="239">
        <f>'Resumen periodo'!$H$8+'Resumen periodo'!$H$9</f>
        <v>56.564</v>
      </c>
      <c r="H8" s="239">
        <f t="shared" si="1"/>
        <v>482.59300000000002</v>
      </c>
      <c r="I8" s="408">
        <f t="shared" si="2"/>
        <v>0.10491192732358107</v>
      </c>
      <c r="J8" s="404"/>
    </row>
    <row r="9" spans="1:1906" ht="15" thickBot="1">
      <c r="B9" s="500"/>
      <c r="C9" s="414" t="s">
        <v>35</v>
      </c>
      <c r="D9" s="395">
        <v>14</v>
      </c>
      <c r="E9" s="396">
        <f>'Resumen periodo'!F10</f>
        <v>0</v>
      </c>
      <c r="F9" s="396">
        <f t="shared" si="0"/>
        <v>14</v>
      </c>
      <c r="G9" s="397">
        <f>+'Control Cuota Artesanal III-IV'!H23</f>
        <v>0.55499999999999994</v>
      </c>
      <c r="H9" s="396">
        <f t="shared" si="1"/>
        <v>13.445</v>
      </c>
      <c r="I9" s="409">
        <f t="shared" si="2"/>
        <v>3.9642857142857139E-2</v>
      </c>
      <c r="J9" s="405"/>
    </row>
    <row r="10" spans="1:1906">
      <c r="B10" s="500"/>
      <c r="C10" s="50" t="s">
        <v>55</v>
      </c>
      <c r="D10" s="398">
        <f>+'Resumen periodo'!E11+'Resumen periodo'!E12</f>
        <v>99.999989999999983</v>
      </c>
      <c r="E10" s="399">
        <f>+'Resumen periodo'!F11+'Resumen periodo'!F12</f>
        <v>0</v>
      </c>
      <c r="F10" s="238">
        <f t="shared" si="0"/>
        <v>99.999989999999983</v>
      </c>
      <c r="G10" s="238">
        <f>+'Resumen periodo'!H11+'Resumen periodo'!H12</f>
        <v>0</v>
      </c>
      <c r="H10" s="238">
        <f t="shared" si="1"/>
        <v>99.999989999999983</v>
      </c>
      <c r="I10" s="407">
        <f t="shared" si="2"/>
        <v>0</v>
      </c>
      <c r="J10" s="403"/>
    </row>
    <row r="11" spans="1:1906" ht="15" thickBot="1">
      <c r="B11" s="500"/>
      <c r="C11" s="410" t="s">
        <v>56</v>
      </c>
      <c r="D11" s="400">
        <f>+'Resumen periodo'!E13+'Resumen periodo'!E14</f>
        <v>768.99992309999982</v>
      </c>
      <c r="E11" s="401">
        <f>+'Resumen periodo'!F13+'Resumen periodo'!F14</f>
        <v>87.843000000000004</v>
      </c>
      <c r="F11" s="239">
        <f t="shared" si="0"/>
        <v>856.84292309999978</v>
      </c>
      <c r="G11" s="239">
        <f>+'Resumen periodo'!H13+'Resumen periodo'!H14</f>
        <v>116.084</v>
      </c>
      <c r="H11" s="239">
        <f t="shared" si="1"/>
        <v>740.75892309999972</v>
      </c>
      <c r="I11" s="408">
        <f t="shared" si="2"/>
        <v>0.13547874046740788</v>
      </c>
      <c r="J11" s="404"/>
      <c r="K11" s="37"/>
      <c r="L11" s="37"/>
      <c r="M11" s="37"/>
      <c r="N11" s="37"/>
      <c r="O11" s="37"/>
      <c r="P11" s="37"/>
      <c r="Q11" s="37"/>
    </row>
    <row r="12" spans="1:1906">
      <c r="B12" s="500"/>
      <c r="C12" s="392" t="s">
        <v>123</v>
      </c>
      <c r="D12" s="398">
        <v>31</v>
      </c>
      <c r="E12" s="399">
        <v>0</v>
      </c>
      <c r="F12" s="238">
        <f>D12+E12</f>
        <v>31</v>
      </c>
      <c r="G12" s="238">
        <v>0</v>
      </c>
      <c r="H12" s="238">
        <f t="shared" si="1"/>
        <v>31</v>
      </c>
      <c r="I12" s="411">
        <f t="shared" si="2"/>
        <v>0</v>
      </c>
      <c r="J12" s="406"/>
    </row>
    <row r="13" spans="1:1906" ht="15" thickBot="1">
      <c r="B13" s="500"/>
      <c r="C13" s="51" t="s">
        <v>19</v>
      </c>
      <c r="D13" s="394">
        <v>0</v>
      </c>
      <c r="E13" s="239">
        <f>+'[1]Resumen periodo'!F21+'[1]Resumen periodo'!F22</f>
        <v>0</v>
      </c>
      <c r="F13" s="239">
        <f t="shared" si="0"/>
        <v>0</v>
      </c>
      <c r="G13" s="239">
        <v>0</v>
      </c>
      <c r="H13" s="239">
        <f t="shared" si="1"/>
        <v>0</v>
      </c>
      <c r="I13" s="408">
        <v>0</v>
      </c>
      <c r="J13" s="404"/>
    </row>
    <row r="14" spans="1:1906" s="4" customFormat="1" ht="30.6" customHeight="1" thickBot="1">
      <c r="A14" s="272"/>
      <c r="B14" s="501"/>
      <c r="C14" s="49" t="s">
        <v>81</v>
      </c>
      <c r="D14" s="240">
        <f>SUM(D7:D13)</f>
        <v>1566.9999131</v>
      </c>
      <c r="E14" s="241">
        <f>SUM(E7:E13)</f>
        <v>4</v>
      </c>
      <c r="F14" s="241">
        <f>+D14+E14</f>
        <v>1570.9999131</v>
      </c>
      <c r="G14" s="241">
        <f>SUM(G7:G13)</f>
        <v>173.203</v>
      </c>
      <c r="H14" s="241">
        <f>+F14-G14</f>
        <v>1397.7969131</v>
      </c>
      <c r="I14" s="242">
        <f>+G14/F14</f>
        <v>0.11025016523280673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</row>
    <row r="15" spans="1:1906" s="1" customFormat="1" ht="14.4" customHeight="1" thickBot="1">
      <c r="A15" s="272"/>
    </row>
    <row r="16" spans="1:1906" s="4" customFormat="1" ht="30" customHeight="1">
      <c r="A16" s="272"/>
      <c r="B16" s="493" t="s">
        <v>76</v>
      </c>
      <c r="C16" s="494"/>
      <c r="D16" s="494"/>
      <c r="E16" s="494"/>
      <c r="F16" s="494"/>
      <c r="G16" s="494"/>
      <c r="H16" s="494"/>
      <c r="I16" s="49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</row>
    <row r="17" spans="1:1906" s="4" customFormat="1" ht="15" customHeight="1">
      <c r="A17" s="272"/>
      <c r="B17" s="496"/>
      <c r="C17" s="497"/>
      <c r="D17" s="497"/>
      <c r="E17" s="497"/>
      <c r="F17" s="497"/>
      <c r="G17" s="497"/>
      <c r="H17" s="497"/>
      <c r="I17" s="49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</row>
    <row r="18" spans="1:1906" s="4" customFormat="1" ht="15" thickBot="1">
      <c r="A18" s="272"/>
      <c r="B18" s="479">
        <f>+B4</f>
        <v>43558</v>
      </c>
      <c r="C18" s="480"/>
      <c r="D18" s="480"/>
      <c r="E18" s="480"/>
      <c r="F18" s="480"/>
      <c r="G18" s="480"/>
      <c r="H18" s="480"/>
      <c r="I18" s="48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</row>
    <row r="19" spans="1:1906" s="1" customFormat="1" ht="15" thickBot="1">
      <c r="A19" s="272"/>
    </row>
    <row r="20" spans="1:1906" s="4" customFormat="1" ht="31.8" thickBot="1">
      <c r="A20" s="272"/>
      <c r="B20" s="149" t="s">
        <v>37</v>
      </c>
      <c r="C20" s="150" t="s">
        <v>38</v>
      </c>
      <c r="D20" s="151" t="s">
        <v>13</v>
      </c>
      <c r="E20" s="151" t="s">
        <v>3</v>
      </c>
      <c r="F20" s="151" t="s">
        <v>4</v>
      </c>
      <c r="G20" s="151" t="s">
        <v>5</v>
      </c>
      <c r="H20" s="151" t="s">
        <v>6</v>
      </c>
      <c r="I20" s="152" t="s">
        <v>23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</row>
    <row r="21" spans="1:1906">
      <c r="B21" s="482" t="s">
        <v>69</v>
      </c>
      <c r="C21" s="144" t="s">
        <v>72</v>
      </c>
      <c r="D21" s="145">
        <f>+'Resumen periodo'!E22+'Resumen periodo'!E23</f>
        <v>882.00264511800003</v>
      </c>
      <c r="E21" s="189">
        <f>+'Resumen periodo'!F22+'Resumen periodo'!F23</f>
        <v>0</v>
      </c>
      <c r="F21" s="145">
        <f t="shared" ref="F21:F24" si="3">D21+E21</f>
        <v>882.00264511800003</v>
      </c>
      <c r="G21" s="146">
        <f>+'Resumen periodo'!H22+'Resumen periodo'!H23</f>
        <v>92.800999999999974</v>
      </c>
      <c r="H21" s="147">
        <f t="shared" ref="H21:H24" si="4">F21-G21</f>
        <v>789.2016451180001</v>
      </c>
      <c r="I21" s="148">
        <f t="shared" ref="I21:I24" si="5">G21/F21</f>
        <v>0.10521623774448483</v>
      </c>
    </row>
    <row r="22" spans="1:1906">
      <c r="B22" s="482"/>
      <c r="C22" s="38" t="s">
        <v>71</v>
      </c>
      <c r="D22" s="132">
        <f>+'Resumen periodo'!E24+'Resumen periodo'!E25</f>
        <v>1078.0032329220003</v>
      </c>
      <c r="E22" s="190">
        <f>+'Resumen periodo'!F24+'Resumen periodo'!F25</f>
        <v>-2.8421709430404007E-14</v>
      </c>
      <c r="F22" s="132">
        <f t="shared" si="3"/>
        <v>1078.0032329220003</v>
      </c>
      <c r="G22" s="39">
        <f>+'Resumen periodo'!H24+'Resumen periodo'!H25</f>
        <v>61.225999999999999</v>
      </c>
      <c r="H22" s="133">
        <f t="shared" si="4"/>
        <v>1016.7772329220003</v>
      </c>
      <c r="I22" s="52">
        <f t="shared" si="5"/>
        <v>5.6795748036898561E-2</v>
      </c>
    </row>
    <row r="23" spans="1:1906">
      <c r="B23" s="482"/>
      <c r="C23" s="53" t="s">
        <v>124</v>
      </c>
      <c r="D23" s="132">
        <v>25</v>
      </c>
      <c r="E23" s="191">
        <v>0</v>
      </c>
      <c r="F23" s="132">
        <f t="shared" ref="F23" si="6">D23+E23</f>
        <v>25</v>
      </c>
      <c r="G23" s="177">
        <v>0</v>
      </c>
      <c r="H23" s="133">
        <f t="shared" ref="H23" si="7">F23-G23</f>
        <v>25</v>
      </c>
      <c r="I23" s="52">
        <f t="shared" ref="I23" si="8">G23/F23</f>
        <v>0</v>
      </c>
    </row>
    <row r="24" spans="1:1906" ht="15" thickBot="1">
      <c r="B24" s="482"/>
      <c r="C24" s="53" t="s">
        <v>122</v>
      </c>
      <c r="D24" s="132">
        <v>39</v>
      </c>
      <c r="E24" s="191">
        <v>0</v>
      </c>
      <c r="F24" s="132">
        <f t="shared" si="3"/>
        <v>39</v>
      </c>
      <c r="G24" s="133">
        <v>0</v>
      </c>
      <c r="H24" s="133">
        <f t="shared" si="4"/>
        <v>39</v>
      </c>
      <c r="I24" s="52">
        <f t="shared" si="5"/>
        <v>0</v>
      </c>
    </row>
    <row r="25" spans="1:1906" s="1" customFormat="1" ht="29.4" thickBot="1">
      <c r="A25" s="272"/>
      <c r="B25" s="483"/>
      <c r="C25" s="40" t="s">
        <v>82</v>
      </c>
      <c r="D25" s="41">
        <f>SUM(D21:D24)</f>
        <v>2024.0058780400004</v>
      </c>
      <c r="E25" s="42">
        <f>SUM(E21:E24)</f>
        <v>-2.8421709430404007E-14</v>
      </c>
      <c r="F25" s="42">
        <f>+D25+E25</f>
        <v>2024.0058780400004</v>
      </c>
      <c r="G25" s="42">
        <f>SUM(G21:G24)</f>
        <v>154.02699999999999</v>
      </c>
      <c r="H25" s="42">
        <f>+F25-G25</f>
        <v>1869.9788780400004</v>
      </c>
      <c r="I25" s="43">
        <f>+G25/F25</f>
        <v>7.6100075435134654E-2</v>
      </c>
    </row>
    <row r="26" spans="1:1906" s="1" customFormat="1">
      <c r="A26" s="272"/>
      <c r="G26" s="137"/>
    </row>
    <row r="27" spans="1:1906" s="1" customFormat="1" ht="7.95" customHeight="1">
      <c r="A27" s="272"/>
      <c r="G27" s="136"/>
    </row>
    <row r="28" spans="1:1906" s="1" customFormat="1">
      <c r="A28" s="272"/>
      <c r="D28" s="136"/>
      <c r="G28" s="136"/>
    </row>
    <row r="29" spans="1:1906" s="1" customFormat="1">
      <c r="A29" s="272"/>
      <c r="D29" s="137"/>
      <c r="G29" s="137"/>
    </row>
    <row r="30" spans="1:1906" s="1" customFormat="1">
      <c r="A30" s="272"/>
      <c r="D30" s="137"/>
      <c r="G30" s="233"/>
    </row>
    <row r="31" spans="1:1906" s="1" customFormat="1">
      <c r="A31" s="272"/>
    </row>
    <row r="32" spans="1:1906" s="1" customFormat="1">
      <c r="A32" s="272"/>
    </row>
    <row r="33" spans="1:1" s="1" customFormat="1">
      <c r="A33" s="272"/>
    </row>
    <row r="34" spans="1:1" s="1" customFormat="1">
      <c r="A34" s="272"/>
    </row>
    <row r="35" spans="1:1" s="1" customFormat="1">
      <c r="A35" s="272"/>
    </row>
    <row r="36" spans="1:1" s="1" customFormat="1">
      <c r="A36" s="272"/>
    </row>
    <row r="37" spans="1:1" s="1" customFormat="1">
      <c r="A37" s="272"/>
    </row>
    <row r="38" spans="1:1" s="1" customFormat="1">
      <c r="A38" s="272"/>
    </row>
    <row r="39" spans="1:1" s="1" customFormat="1">
      <c r="A39" s="272"/>
    </row>
    <row r="40" spans="1:1" s="1" customFormat="1">
      <c r="A40" s="272"/>
    </row>
    <row r="41" spans="1:1" s="1" customFormat="1">
      <c r="A41" s="272"/>
    </row>
    <row r="42" spans="1:1" s="1" customFormat="1">
      <c r="A42" s="272"/>
    </row>
    <row r="43" spans="1:1" s="1" customFormat="1">
      <c r="A43" s="272"/>
    </row>
    <row r="44" spans="1:1" s="1" customFormat="1">
      <c r="A44" s="272"/>
    </row>
    <row r="45" spans="1:1" s="1" customFormat="1">
      <c r="A45" s="272"/>
    </row>
    <row r="46" spans="1:1" s="1" customFormat="1">
      <c r="A46" s="272"/>
    </row>
    <row r="47" spans="1:1" s="1" customFormat="1">
      <c r="A47" s="272"/>
    </row>
    <row r="48" spans="1:1" s="1" customFormat="1">
      <c r="A48" s="272"/>
    </row>
    <row r="49" spans="1:1" s="1" customFormat="1">
      <c r="A49" s="272"/>
    </row>
    <row r="50" spans="1:1" s="1" customFormat="1">
      <c r="A50" s="272"/>
    </row>
    <row r="51" spans="1:1" s="1" customFormat="1">
      <c r="A51" s="272"/>
    </row>
    <row r="52" spans="1:1" s="1" customFormat="1">
      <c r="A52" s="272"/>
    </row>
    <row r="53" spans="1:1" s="1" customFormat="1">
      <c r="A53" s="272"/>
    </row>
    <row r="54" spans="1:1" s="1" customFormat="1">
      <c r="A54" s="272"/>
    </row>
    <row r="55" spans="1:1" s="1" customFormat="1">
      <c r="A55" s="272"/>
    </row>
    <row r="56" spans="1:1" s="1" customFormat="1">
      <c r="A56" s="272"/>
    </row>
    <row r="57" spans="1:1" s="1" customFormat="1">
      <c r="A57" s="272"/>
    </row>
    <row r="58" spans="1:1" s="1" customFormat="1">
      <c r="A58" s="272"/>
    </row>
    <row r="59" spans="1:1" s="1" customFormat="1">
      <c r="A59" s="272"/>
    </row>
    <row r="60" spans="1:1" s="1" customFormat="1">
      <c r="A60" s="272"/>
    </row>
    <row r="61" spans="1:1" s="1" customFormat="1">
      <c r="A61" s="272"/>
    </row>
    <row r="62" spans="1:1" s="1" customFormat="1">
      <c r="A62" s="272"/>
    </row>
    <row r="63" spans="1:1" s="1" customFormat="1">
      <c r="A63" s="272"/>
    </row>
    <row r="64" spans="1:1" s="1" customFormat="1">
      <c r="A64" s="272"/>
    </row>
    <row r="65" spans="1:1" s="1" customFormat="1">
      <c r="A65" s="272"/>
    </row>
    <row r="66" spans="1:1" s="1" customFormat="1">
      <c r="A66" s="272"/>
    </row>
    <row r="67" spans="1:1" s="1" customFormat="1">
      <c r="A67" s="272"/>
    </row>
    <row r="68" spans="1:1" s="1" customFormat="1">
      <c r="A68" s="272"/>
    </row>
    <row r="69" spans="1:1" s="1" customFormat="1">
      <c r="A69" s="272"/>
    </row>
    <row r="70" spans="1:1" s="1" customFormat="1">
      <c r="A70" s="272"/>
    </row>
    <row r="71" spans="1:1" s="1" customFormat="1">
      <c r="A71" s="272"/>
    </row>
    <row r="72" spans="1:1" s="1" customFormat="1">
      <c r="A72" s="272"/>
    </row>
    <row r="73" spans="1:1" s="1" customFormat="1">
      <c r="A73" s="272"/>
    </row>
    <row r="74" spans="1:1" s="1" customFormat="1">
      <c r="A74" s="272"/>
    </row>
    <row r="75" spans="1:1" s="1" customFormat="1">
      <c r="A75" s="272"/>
    </row>
    <row r="76" spans="1:1" s="1" customFormat="1">
      <c r="A76" s="272"/>
    </row>
    <row r="77" spans="1:1" s="1" customFormat="1">
      <c r="A77" s="272"/>
    </row>
    <row r="78" spans="1:1" s="1" customFormat="1">
      <c r="A78" s="272"/>
    </row>
    <row r="79" spans="1:1" s="1" customFormat="1">
      <c r="A79" s="272"/>
    </row>
    <row r="80" spans="1:1" s="1" customFormat="1">
      <c r="A80" s="272"/>
    </row>
    <row r="81" spans="1:1" s="1" customFormat="1">
      <c r="A81" s="272"/>
    </row>
    <row r="82" spans="1:1" s="1" customFormat="1">
      <c r="A82" s="272"/>
    </row>
    <row r="83" spans="1:1" s="1" customFormat="1">
      <c r="A83" s="272"/>
    </row>
    <row r="84" spans="1:1" s="1" customFormat="1">
      <c r="A84" s="272"/>
    </row>
    <row r="85" spans="1:1" s="1" customFormat="1">
      <c r="A85" s="272"/>
    </row>
    <row r="86" spans="1:1" s="1" customFormat="1">
      <c r="A86" s="272"/>
    </row>
    <row r="87" spans="1:1" s="1" customFormat="1">
      <c r="A87" s="272"/>
    </row>
    <row r="88" spans="1:1" s="1" customFormat="1">
      <c r="A88" s="272"/>
    </row>
    <row r="89" spans="1:1" s="1" customFormat="1">
      <c r="A89" s="272"/>
    </row>
    <row r="90" spans="1:1" s="1" customFormat="1">
      <c r="A90" s="272"/>
    </row>
    <row r="91" spans="1:1" s="1" customFormat="1">
      <c r="A91" s="272"/>
    </row>
    <row r="92" spans="1:1" s="1" customFormat="1">
      <c r="A92" s="272"/>
    </row>
    <row r="93" spans="1:1" s="1" customFormat="1">
      <c r="A93" s="272"/>
    </row>
    <row r="94" spans="1:1" s="1" customFormat="1">
      <c r="A94" s="272"/>
    </row>
    <row r="95" spans="1:1" s="1" customFormat="1">
      <c r="A95" s="272"/>
    </row>
    <row r="96" spans="1:1" s="1" customFormat="1">
      <c r="A96" s="272"/>
    </row>
    <row r="97" spans="1:1" s="1" customFormat="1">
      <c r="A97" s="272"/>
    </row>
    <row r="98" spans="1:1" s="1" customFormat="1">
      <c r="A98" s="272"/>
    </row>
    <row r="99" spans="1:1" s="1" customFormat="1">
      <c r="A99" s="272"/>
    </row>
    <row r="100" spans="1:1" s="1" customFormat="1">
      <c r="A100" s="272"/>
    </row>
    <row r="101" spans="1:1" s="1" customFormat="1">
      <c r="A101" s="272"/>
    </row>
    <row r="102" spans="1:1" s="1" customFormat="1">
      <c r="A102" s="272"/>
    </row>
    <row r="103" spans="1:1" s="1" customFormat="1">
      <c r="A103" s="272"/>
    </row>
    <row r="104" spans="1:1" s="1" customFormat="1">
      <c r="A104" s="272"/>
    </row>
    <row r="105" spans="1:1" s="1" customFormat="1">
      <c r="A105" s="272"/>
    </row>
    <row r="106" spans="1:1" s="1" customFormat="1">
      <c r="A106" s="272"/>
    </row>
    <row r="107" spans="1:1" s="1" customFormat="1">
      <c r="A107" s="272"/>
    </row>
    <row r="108" spans="1:1" s="1" customFormat="1">
      <c r="A108" s="272"/>
    </row>
    <row r="109" spans="1:1" s="1" customFormat="1">
      <c r="A109" s="272"/>
    </row>
    <row r="110" spans="1:1" s="1" customFormat="1">
      <c r="A110" s="272"/>
    </row>
    <row r="111" spans="1:1" s="1" customFormat="1">
      <c r="A111" s="272"/>
    </row>
    <row r="112" spans="1:1" s="1" customFormat="1">
      <c r="A112" s="272"/>
    </row>
    <row r="113" spans="1:1" s="1" customFormat="1">
      <c r="A113" s="272"/>
    </row>
    <row r="114" spans="1:1" s="1" customFormat="1">
      <c r="A114" s="272"/>
    </row>
    <row r="115" spans="1:1" s="1" customFormat="1">
      <c r="A115" s="272"/>
    </row>
    <row r="116" spans="1:1" s="1" customFormat="1">
      <c r="A116" s="272"/>
    </row>
    <row r="117" spans="1:1" s="1" customFormat="1">
      <c r="A117" s="272"/>
    </row>
    <row r="118" spans="1:1" s="1" customFormat="1">
      <c r="A118" s="272"/>
    </row>
    <row r="119" spans="1:1" s="1" customFormat="1">
      <c r="A119" s="272"/>
    </row>
    <row r="120" spans="1:1" s="1" customFormat="1">
      <c r="A120" s="272"/>
    </row>
    <row r="121" spans="1:1" s="1" customFormat="1">
      <c r="A121" s="272"/>
    </row>
    <row r="122" spans="1:1" s="1" customFormat="1">
      <c r="A122" s="272"/>
    </row>
    <row r="123" spans="1:1" s="1" customFormat="1">
      <c r="A123" s="272"/>
    </row>
    <row r="124" spans="1:1" s="1" customFormat="1">
      <c r="A124" s="272"/>
    </row>
    <row r="125" spans="1:1" s="1" customFormat="1">
      <c r="A125" s="272"/>
    </row>
    <row r="126" spans="1:1" s="1" customFormat="1">
      <c r="A126" s="272"/>
    </row>
    <row r="127" spans="1:1" s="1" customFormat="1">
      <c r="A127" s="272"/>
    </row>
    <row r="128" spans="1:1" s="1" customFormat="1">
      <c r="A128" s="272"/>
    </row>
    <row r="129" spans="1:1" s="1" customFormat="1">
      <c r="A129" s="272"/>
    </row>
    <row r="130" spans="1:1" s="1" customFormat="1">
      <c r="A130" s="272"/>
    </row>
    <row r="131" spans="1:1" s="1" customFormat="1">
      <c r="A131" s="272"/>
    </row>
    <row r="132" spans="1:1" s="1" customFormat="1">
      <c r="A132" s="272"/>
    </row>
    <row r="133" spans="1:1" s="1" customFormat="1">
      <c r="A133" s="272"/>
    </row>
    <row r="134" spans="1:1" s="1" customFormat="1">
      <c r="A134" s="272"/>
    </row>
    <row r="135" spans="1:1" s="1" customFormat="1">
      <c r="A135" s="272"/>
    </row>
    <row r="136" spans="1:1" s="1" customFormat="1">
      <c r="A136" s="272"/>
    </row>
    <row r="137" spans="1:1" s="1" customFormat="1">
      <c r="A137" s="272"/>
    </row>
    <row r="138" spans="1:1" s="1" customFormat="1">
      <c r="A138" s="272"/>
    </row>
    <row r="139" spans="1:1" s="1" customFormat="1">
      <c r="A139" s="272"/>
    </row>
    <row r="140" spans="1:1" s="1" customFormat="1">
      <c r="A140" s="272"/>
    </row>
    <row r="141" spans="1:1" s="1" customFormat="1">
      <c r="A141" s="272"/>
    </row>
    <row r="142" spans="1:1" s="1" customFormat="1">
      <c r="A142" s="272"/>
    </row>
    <row r="143" spans="1:1" s="1" customFormat="1">
      <c r="A143" s="272"/>
    </row>
    <row r="144" spans="1:1" s="1" customFormat="1">
      <c r="A144" s="272"/>
    </row>
    <row r="145" spans="1:1" s="1" customFormat="1">
      <c r="A145" s="272"/>
    </row>
    <row r="146" spans="1:1" s="1" customFormat="1">
      <c r="A146" s="272"/>
    </row>
    <row r="147" spans="1:1" s="1" customFormat="1">
      <c r="A147" s="272"/>
    </row>
    <row r="148" spans="1:1" s="1" customFormat="1">
      <c r="A148" s="272"/>
    </row>
    <row r="149" spans="1:1" s="1" customFormat="1">
      <c r="A149" s="272"/>
    </row>
    <row r="150" spans="1:1" s="1" customFormat="1">
      <c r="A150" s="272"/>
    </row>
    <row r="151" spans="1:1" s="1" customFormat="1">
      <c r="A151" s="272"/>
    </row>
    <row r="152" spans="1:1" s="1" customFormat="1">
      <c r="A152" s="272"/>
    </row>
    <row r="153" spans="1:1" s="1" customFormat="1">
      <c r="A153" s="272"/>
    </row>
    <row r="154" spans="1:1" s="1" customFormat="1">
      <c r="A154" s="272"/>
    </row>
    <row r="155" spans="1:1" s="1" customFormat="1">
      <c r="A155" s="272"/>
    </row>
    <row r="156" spans="1:1" s="1" customFormat="1">
      <c r="A156" s="272"/>
    </row>
    <row r="157" spans="1:1" s="1" customFormat="1">
      <c r="A157" s="272"/>
    </row>
    <row r="158" spans="1:1" s="1" customFormat="1">
      <c r="A158" s="272"/>
    </row>
    <row r="159" spans="1:1" s="1" customFormat="1">
      <c r="A159" s="272"/>
    </row>
    <row r="160" spans="1:1" s="1" customFormat="1">
      <c r="A160" s="272"/>
    </row>
    <row r="161" spans="1:1" s="1" customFormat="1">
      <c r="A161" s="272"/>
    </row>
    <row r="162" spans="1:1" s="1" customFormat="1">
      <c r="A162" s="272"/>
    </row>
    <row r="163" spans="1:1" s="1" customFormat="1">
      <c r="A163" s="272"/>
    </row>
    <row r="164" spans="1:1" s="1" customFormat="1">
      <c r="A164" s="272"/>
    </row>
    <row r="165" spans="1:1" s="1" customFormat="1">
      <c r="A165" s="272"/>
    </row>
    <row r="166" spans="1:1" s="1" customFormat="1">
      <c r="A166" s="272"/>
    </row>
    <row r="167" spans="1:1" s="1" customFormat="1">
      <c r="A167" s="272"/>
    </row>
    <row r="168" spans="1:1" s="1" customFormat="1">
      <c r="A168" s="272"/>
    </row>
    <row r="169" spans="1:1" s="1" customFormat="1">
      <c r="A169" s="272"/>
    </row>
    <row r="170" spans="1:1" s="1" customFormat="1">
      <c r="A170" s="272"/>
    </row>
    <row r="171" spans="1:1" s="1" customFormat="1">
      <c r="A171" s="272"/>
    </row>
    <row r="172" spans="1:1" s="1" customFormat="1">
      <c r="A172" s="272"/>
    </row>
    <row r="173" spans="1:1" s="1" customFormat="1">
      <c r="A173" s="272"/>
    </row>
    <row r="174" spans="1:1" s="1" customFormat="1">
      <c r="A174" s="272"/>
    </row>
    <row r="175" spans="1:1" s="1" customFormat="1">
      <c r="A175" s="272"/>
    </row>
    <row r="176" spans="1:1" s="1" customFormat="1">
      <c r="A176" s="272"/>
    </row>
    <row r="177" spans="1:1" s="1" customFormat="1">
      <c r="A177" s="272"/>
    </row>
    <row r="178" spans="1:1" s="1" customFormat="1">
      <c r="A178" s="272"/>
    </row>
    <row r="179" spans="1:1" s="1" customFormat="1">
      <c r="A179" s="272"/>
    </row>
    <row r="180" spans="1:1" s="1" customFormat="1">
      <c r="A180" s="272"/>
    </row>
    <row r="181" spans="1:1" s="1" customFormat="1">
      <c r="A181" s="272"/>
    </row>
    <row r="182" spans="1:1" s="1" customFormat="1">
      <c r="A182" s="272"/>
    </row>
    <row r="183" spans="1:1" s="1" customFormat="1">
      <c r="A183" s="272"/>
    </row>
    <row r="184" spans="1:1" s="1" customFormat="1">
      <c r="A184" s="272"/>
    </row>
    <row r="185" spans="1:1" s="1" customFormat="1">
      <c r="A185" s="272"/>
    </row>
    <row r="186" spans="1:1" s="1" customFormat="1">
      <c r="A186" s="272"/>
    </row>
    <row r="187" spans="1:1" s="1" customFormat="1">
      <c r="A187" s="272"/>
    </row>
    <row r="188" spans="1:1" s="1" customFormat="1">
      <c r="A188" s="272"/>
    </row>
    <row r="189" spans="1:1" s="1" customFormat="1">
      <c r="A189" s="272"/>
    </row>
    <row r="190" spans="1:1" s="1" customFormat="1">
      <c r="A190" s="272"/>
    </row>
    <row r="191" spans="1:1" s="1" customFormat="1">
      <c r="A191" s="272"/>
    </row>
    <row r="192" spans="1:1" s="1" customFormat="1">
      <c r="A192" s="272"/>
    </row>
    <row r="193" spans="1:1" s="1" customFormat="1">
      <c r="A193" s="272"/>
    </row>
    <row r="194" spans="1:1" s="1" customFormat="1">
      <c r="A194" s="272"/>
    </row>
    <row r="195" spans="1:1" s="1" customFormat="1">
      <c r="A195" s="272"/>
    </row>
    <row r="196" spans="1:1" s="1" customFormat="1">
      <c r="A196" s="272"/>
    </row>
    <row r="197" spans="1:1" s="1" customFormat="1">
      <c r="A197" s="272"/>
    </row>
    <row r="198" spans="1:1" s="1" customFormat="1">
      <c r="A198" s="272"/>
    </row>
    <row r="199" spans="1:1" s="1" customFormat="1">
      <c r="A199" s="272"/>
    </row>
    <row r="200" spans="1:1" s="1" customFormat="1">
      <c r="A200" s="272"/>
    </row>
    <row r="201" spans="1:1" s="1" customFormat="1">
      <c r="A201" s="272"/>
    </row>
    <row r="202" spans="1:1" s="1" customFormat="1">
      <c r="A202" s="272"/>
    </row>
    <row r="203" spans="1:1" s="1" customFormat="1">
      <c r="A203" s="272"/>
    </row>
    <row r="204" spans="1:1" s="1" customFormat="1">
      <c r="A204" s="272"/>
    </row>
    <row r="205" spans="1:1" s="1" customFormat="1">
      <c r="A205" s="272"/>
    </row>
    <row r="206" spans="1:1" s="1" customFormat="1">
      <c r="A206" s="272"/>
    </row>
    <row r="207" spans="1:1" s="1" customFormat="1">
      <c r="A207" s="272"/>
    </row>
    <row r="208" spans="1:1" s="1" customFormat="1">
      <c r="A208" s="272"/>
    </row>
    <row r="209" spans="1:1" s="1" customFormat="1">
      <c r="A209" s="272"/>
    </row>
    <row r="210" spans="1:1" s="1" customFormat="1">
      <c r="A210" s="272"/>
    </row>
    <row r="211" spans="1:1" s="1" customFormat="1">
      <c r="A211" s="272"/>
    </row>
    <row r="212" spans="1:1" s="1" customFormat="1">
      <c r="A212" s="272"/>
    </row>
    <row r="213" spans="1:1" s="1" customFormat="1">
      <c r="A213" s="272"/>
    </row>
    <row r="214" spans="1:1" s="1" customFormat="1">
      <c r="A214" s="272"/>
    </row>
    <row r="215" spans="1:1" s="1" customFormat="1">
      <c r="A215" s="272"/>
    </row>
    <row r="216" spans="1:1" s="1" customFormat="1">
      <c r="A216" s="272"/>
    </row>
    <row r="217" spans="1:1" s="1" customFormat="1">
      <c r="A217" s="272"/>
    </row>
    <row r="218" spans="1:1" s="1" customFormat="1">
      <c r="A218" s="272"/>
    </row>
    <row r="219" spans="1:1" s="1" customFormat="1">
      <c r="A219" s="272"/>
    </row>
    <row r="220" spans="1:1" s="1" customFormat="1">
      <c r="A220" s="272"/>
    </row>
    <row r="221" spans="1:1" s="1" customFormat="1">
      <c r="A221" s="272"/>
    </row>
    <row r="222" spans="1:1" s="1" customFormat="1">
      <c r="A222" s="272"/>
    </row>
    <row r="223" spans="1:1" s="1" customFormat="1">
      <c r="A223" s="272"/>
    </row>
    <row r="224" spans="1:1" s="1" customFormat="1">
      <c r="A224" s="272"/>
    </row>
    <row r="225" spans="1:1" s="1" customFormat="1">
      <c r="A225" s="272"/>
    </row>
    <row r="226" spans="1:1" s="1" customFormat="1">
      <c r="A226" s="272"/>
    </row>
    <row r="227" spans="1:1" s="1" customFormat="1">
      <c r="A227" s="272"/>
    </row>
    <row r="228" spans="1:1" s="1" customFormat="1">
      <c r="A228" s="272"/>
    </row>
    <row r="229" spans="1:1" s="1" customFormat="1">
      <c r="A229" s="272"/>
    </row>
    <row r="230" spans="1:1" s="1" customFormat="1">
      <c r="A230" s="272"/>
    </row>
    <row r="231" spans="1:1" s="1" customFormat="1">
      <c r="A231" s="272"/>
    </row>
    <row r="232" spans="1:1" s="1" customFormat="1">
      <c r="A232" s="272"/>
    </row>
    <row r="233" spans="1:1" s="1" customFormat="1">
      <c r="A233" s="272"/>
    </row>
    <row r="234" spans="1:1" s="1" customFormat="1">
      <c r="A234" s="272"/>
    </row>
    <row r="235" spans="1:1" s="1" customFormat="1">
      <c r="A235" s="272"/>
    </row>
    <row r="236" spans="1:1" s="1" customFormat="1">
      <c r="A236" s="272"/>
    </row>
    <row r="237" spans="1:1" s="1" customFormat="1">
      <c r="A237" s="272"/>
    </row>
    <row r="238" spans="1:1" s="1" customFormat="1">
      <c r="A238" s="272"/>
    </row>
    <row r="239" spans="1:1" s="1" customFormat="1">
      <c r="A239" s="272"/>
    </row>
    <row r="240" spans="1:1" s="1" customFormat="1">
      <c r="A240" s="272"/>
    </row>
    <row r="241" spans="1:1" s="1" customFormat="1">
      <c r="A241" s="272"/>
    </row>
    <row r="242" spans="1:1" s="1" customFormat="1">
      <c r="A242" s="272"/>
    </row>
    <row r="243" spans="1:1" s="1" customFormat="1">
      <c r="A243" s="272"/>
    </row>
    <row r="244" spans="1:1" s="1" customFormat="1">
      <c r="A244" s="272"/>
    </row>
    <row r="245" spans="1:1" s="1" customFormat="1">
      <c r="A245" s="272"/>
    </row>
    <row r="246" spans="1:1" s="1" customFormat="1">
      <c r="A246" s="272"/>
    </row>
    <row r="247" spans="1:1" s="1" customFormat="1">
      <c r="A247" s="272"/>
    </row>
    <row r="248" spans="1:1" s="1" customFormat="1">
      <c r="A248" s="272"/>
    </row>
    <row r="249" spans="1:1" s="1" customFormat="1">
      <c r="A249" s="272"/>
    </row>
    <row r="250" spans="1:1" s="1" customFormat="1">
      <c r="A250" s="272"/>
    </row>
    <row r="251" spans="1:1" s="1" customFormat="1">
      <c r="A251" s="272"/>
    </row>
    <row r="252" spans="1:1" s="1" customFormat="1">
      <c r="A252" s="272"/>
    </row>
    <row r="253" spans="1:1" s="1" customFormat="1">
      <c r="A253" s="272"/>
    </row>
    <row r="254" spans="1:1" s="1" customFormat="1">
      <c r="A254" s="272"/>
    </row>
    <row r="255" spans="1:1" s="1" customFormat="1">
      <c r="A255" s="272"/>
    </row>
    <row r="256" spans="1:1" s="1" customFormat="1">
      <c r="A256" s="272"/>
    </row>
    <row r="257" spans="1:1" s="1" customFormat="1">
      <c r="A257" s="272"/>
    </row>
    <row r="258" spans="1:1" s="1" customFormat="1">
      <c r="A258" s="272"/>
    </row>
    <row r="259" spans="1:1" s="1" customFormat="1">
      <c r="A259" s="272"/>
    </row>
    <row r="260" spans="1:1" s="1" customFormat="1">
      <c r="A260" s="272"/>
    </row>
    <row r="261" spans="1:1" s="1" customFormat="1">
      <c r="A261" s="272"/>
    </row>
    <row r="262" spans="1:1" s="1" customFormat="1">
      <c r="A262" s="272"/>
    </row>
    <row r="263" spans="1:1" s="1" customFormat="1">
      <c r="A263" s="272"/>
    </row>
    <row r="264" spans="1:1" s="1" customFormat="1">
      <c r="A264" s="272"/>
    </row>
    <row r="265" spans="1:1" s="1" customFormat="1">
      <c r="A265" s="272"/>
    </row>
    <row r="266" spans="1:1" s="1" customFormat="1">
      <c r="A266" s="272"/>
    </row>
    <row r="267" spans="1:1" s="1" customFormat="1">
      <c r="A267" s="272"/>
    </row>
    <row r="268" spans="1:1" s="1" customFormat="1">
      <c r="A268" s="272"/>
    </row>
    <row r="269" spans="1:1" s="1" customFormat="1">
      <c r="A269" s="272"/>
    </row>
    <row r="270" spans="1:1" s="1" customFormat="1">
      <c r="A270" s="272"/>
    </row>
    <row r="271" spans="1:1" s="1" customFormat="1">
      <c r="A271" s="272"/>
    </row>
    <row r="272" spans="1:1" s="1" customFormat="1">
      <c r="A272" s="272"/>
    </row>
    <row r="273" spans="1:1" s="1" customFormat="1">
      <c r="A273" s="272"/>
    </row>
    <row r="274" spans="1:1" s="1" customFormat="1">
      <c r="A274" s="272"/>
    </row>
    <row r="275" spans="1:1" s="1" customFormat="1">
      <c r="A275" s="272"/>
    </row>
    <row r="276" spans="1:1" s="1" customFormat="1">
      <c r="A276" s="272"/>
    </row>
    <row r="277" spans="1:1" s="1" customFormat="1">
      <c r="A277" s="272"/>
    </row>
    <row r="278" spans="1:1" s="1" customFormat="1">
      <c r="A278" s="272"/>
    </row>
    <row r="279" spans="1:1" s="1" customFormat="1">
      <c r="A279" s="272"/>
    </row>
    <row r="280" spans="1:1" s="1" customFormat="1">
      <c r="A280" s="272"/>
    </row>
    <row r="281" spans="1:1" s="1" customFormat="1">
      <c r="A281" s="272"/>
    </row>
    <row r="282" spans="1:1" s="1" customFormat="1">
      <c r="A282" s="272"/>
    </row>
    <row r="283" spans="1:1" s="1" customFormat="1">
      <c r="A283" s="272"/>
    </row>
    <row r="284" spans="1:1" s="1" customFormat="1">
      <c r="A284" s="272"/>
    </row>
  </sheetData>
  <mergeCells count="8">
    <mergeCell ref="B18:I18"/>
    <mergeCell ref="B21:B25"/>
    <mergeCell ref="B4:I4"/>
    <mergeCell ref="B2:I2"/>
    <mergeCell ref="B3:I3"/>
    <mergeCell ref="B16:I16"/>
    <mergeCell ref="B17:I17"/>
    <mergeCell ref="B7:B14"/>
  </mergeCells>
  <pageMargins left="0.7" right="0.7" top="0.75" bottom="0.75" header="0.3" footer="0.3"/>
  <pageSetup paperSize="177" scale="71" orientation="portrait" r:id="rId1"/>
  <colBreaks count="1" manualBreakCount="1">
    <brk id="9" max="1048575" man="1"/>
  </colBreaks>
  <ignoredErrors>
    <ignoredError sqref="F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"/>
  <sheetViews>
    <sheetView showGridLines="0" workbookViewId="0">
      <selection activeCell="F22" sqref="F22"/>
    </sheetView>
  </sheetViews>
  <sheetFormatPr baseColWidth="10" defaultColWidth="11.5546875" defaultRowHeight="12" customHeight="1"/>
  <cols>
    <col min="1" max="16384" width="11.5546875" style="424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</sheetPr>
  <dimension ref="A1:KW194"/>
  <sheetViews>
    <sheetView topLeftCell="B4" zoomScale="70" zoomScaleNormal="70" workbookViewId="0">
      <selection activeCell="H15" sqref="H15"/>
    </sheetView>
  </sheetViews>
  <sheetFormatPr baseColWidth="10" defaultRowHeight="14.4"/>
  <cols>
    <col min="1" max="1" width="5.88671875" style="7" customWidth="1"/>
    <col min="2" max="2" width="19" customWidth="1"/>
    <col min="3" max="3" width="29.88671875" customWidth="1"/>
    <col min="4" max="4" width="22.88671875" customWidth="1"/>
    <col min="5" max="5" width="17" customWidth="1"/>
    <col min="6" max="6" width="17.109375" style="3" customWidth="1"/>
    <col min="7" max="7" width="16" customWidth="1"/>
    <col min="8" max="8" width="16.109375" customWidth="1"/>
    <col min="9" max="9" width="18.44140625" customWidth="1"/>
    <col min="10" max="10" width="19.88671875" customWidth="1"/>
    <col min="11" max="11" width="13" style="7" customWidth="1"/>
    <col min="12" max="307" width="11.44140625" style="7"/>
    <col min="308" max="309" width="11.5546875" style="7"/>
  </cols>
  <sheetData>
    <row r="1" spans="1:309" s="7" customFormat="1" ht="15" thickBot="1">
      <c r="E1" s="8"/>
      <c r="F1" s="9"/>
    </row>
    <row r="2" spans="1:309" ht="31.2" customHeight="1">
      <c r="B2" s="487" t="s">
        <v>133</v>
      </c>
      <c r="C2" s="502"/>
      <c r="D2" s="502"/>
      <c r="E2" s="502"/>
      <c r="F2" s="502"/>
      <c r="G2" s="502"/>
      <c r="H2" s="502"/>
      <c r="I2" s="502"/>
      <c r="J2" s="503"/>
    </row>
    <row r="3" spans="1:309" ht="12.6" customHeight="1">
      <c r="B3" s="512" t="str">
        <f>+'Resumen anual'!B3</f>
        <v>Dec Ex N° 526 de 21-12-2018</v>
      </c>
      <c r="C3" s="513"/>
      <c r="D3" s="513"/>
      <c r="E3" s="513"/>
      <c r="F3" s="513"/>
      <c r="G3" s="513"/>
      <c r="H3" s="513"/>
      <c r="I3" s="513"/>
      <c r="J3" s="514"/>
    </row>
    <row r="4" spans="1:309" ht="21.75" customHeight="1">
      <c r="B4" s="526">
        <f>+'Resumen anual'!B4:I4</f>
        <v>43558</v>
      </c>
      <c r="C4" s="527"/>
      <c r="D4" s="527"/>
      <c r="E4" s="527"/>
      <c r="F4" s="527"/>
      <c r="G4" s="527"/>
      <c r="H4" s="527"/>
      <c r="I4" s="527"/>
      <c r="J4" s="528"/>
    </row>
    <row r="5" spans="1:309" ht="25.2" customHeight="1">
      <c r="B5" s="114" t="s">
        <v>37</v>
      </c>
      <c r="C5" s="101" t="s">
        <v>83</v>
      </c>
      <c r="D5" s="101" t="s">
        <v>1</v>
      </c>
      <c r="E5" s="101" t="s">
        <v>13</v>
      </c>
      <c r="F5" s="101" t="s">
        <v>3</v>
      </c>
      <c r="G5" s="101" t="s">
        <v>4</v>
      </c>
      <c r="H5" s="101" t="s">
        <v>5</v>
      </c>
      <c r="I5" s="101" t="s">
        <v>6</v>
      </c>
      <c r="J5" s="115" t="s">
        <v>23</v>
      </c>
    </row>
    <row r="6" spans="1:309" ht="15" customHeight="1">
      <c r="B6" s="524" t="s">
        <v>150</v>
      </c>
      <c r="C6" s="504" t="s">
        <v>33</v>
      </c>
      <c r="D6" s="107" t="s">
        <v>31</v>
      </c>
      <c r="E6" s="102">
        <f>'Control Cuota Artesanal III-IV'!E7</f>
        <v>27</v>
      </c>
      <c r="F6" s="25">
        <f>'Control Cuota Artesanal III-IV'!F7</f>
        <v>0</v>
      </c>
      <c r="G6" s="100">
        <f>E6+F6</f>
        <v>27</v>
      </c>
      <c r="H6" s="27">
        <f>+'Control Cuota Artesanal III-IV'!H7+'Control Cuota Artesanal III-IV'!H8</f>
        <v>0</v>
      </c>
      <c r="I6" s="29">
        <f t="shared" ref="I6:I10" si="0">G6-H6</f>
        <v>27</v>
      </c>
      <c r="J6" s="21">
        <f t="shared" ref="J6:J10" si="1">H6/G6</f>
        <v>0</v>
      </c>
    </row>
    <row r="7" spans="1:309" ht="15" customHeight="1">
      <c r="B7" s="524"/>
      <c r="C7" s="505"/>
      <c r="D7" s="108" t="s">
        <v>32</v>
      </c>
      <c r="E7" s="103">
        <f>'Control Cuota Artesanal III-IV'!E8</f>
        <v>3</v>
      </c>
      <c r="F7" s="24">
        <f>'Control Cuota Artesanal III-IV'!F8</f>
        <v>0</v>
      </c>
      <c r="G7" s="30">
        <f>E7+I6+F7</f>
        <v>30</v>
      </c>
      <c r="H7" s="26">
        <f>'Control Cuota Artesanal III-IV'!H8</f>
        <v>0</v>
      </c>
      <c r="I7" s="28">
        <f t="shared" si="0"/>
        <v>30</v>
      </c>
      <c r="J7" s="22">
        <f t="shared" si="1"/>
        <v>0</v>
      </c>
    </row>
    <row r="8" spans="1:309" ht="15" customHeight="1">
      <c r="B8" s="524"/>
      <c r="C8" s="504" t="s">
        <v>34</v>
      </c>
      <c r="D8" s="107" t="s">
        <v>31</v>
      </c>
      <c r="E8" s="104">
        <f>'Control Cuota Artesanal III-IV'!E13+'Control Cuota Artesanal III-IV'!E15+'Control Cuota Artesanal III-IV'!E9+'Control Cuota Artesanal III-IV'!E11+'Control Cuota Artesanal III-IV'!E17</f>
        <v>561</v>
      </c>
      <c r="F8" s="116">
        <f>'Control Cuota Artesanal III-IV'!F13+'Control Cuota Artesanal III-IV'!F15+'Control Cuota Artesanal III-IV'!F9+'Control Cuota Artesanal III-IV'!F11+'Control Cuota Artesanal III-IV'!F17</f>
        <v>-83.843000000000004</v>
      </c>
      <c r="G8" s="117">
        <f>E8+F8</f>
        <v>477.15699999999998</v>
      </c>
      <c r="H8" s="118">
        <f>+'Control Cuota Artesanal III-IV'!H13+'Control Cuota Artesanal III-IV'!H15+'Control Cuota Artesanal III-IV'!H9+'Control Cuota Artesanal III-IV'!H11+'Control Cuota Artesanal III-IV'!H17</f>
        <v>56.564</v>
      </c>
      <c r="I8" s="119">
        <f t="shared" si="0"/>
        <v>420.59299999999996</v>
      </c>
      <c r="J8" s="120">
        <f t="shared" si="1"/>
        <v>0.11854379166605541</v>
      </c>
    </row>
    <row r="9" spans="1:309" ht="15" customHeight="1">
      <c r="B9" s="524"/>
      <c r="C9" s="506"/>
      <c r="D9" s="109" t="s">
        <v>32</v>
      </c>
      <c r="E9" s="102">
        <f>'Control Cuota Artesanal III-IV'!E14+'Control Cuota Artesanal III-IV'!E16+'Control Cuota Artesanal III-IV'!E10+'Control Cuota Artesanal III-IV'!E12+'Control Cuota Artesanal III-IV'!E18</f>
        <v>62</v>
      </c>
      <c r="F9" s="25">
        <f>'Control Cuota Artesanal III-IV'!F14+'Control Cuota Artesanal III-IV'!F16+'Control Cuota Artesanal III-IV'!F10+'Control Cuota Artesanal III-IV'!F12+'Control Cuota Artesanal III-IV'!F18</f>
        <v>0</v>
      </c>
      <c r="G9" s="100">
        <f>E9+I8+F9</f>
        <v>482.59299999999996</v>
      </c>
      <c r="H9" s="27">
        <f>+'Control Cuota Artesanal III-IV'!H14+'Control Cuota Artesanal III-IV'!H16+'Control Cuota Artesanal III-IV'!H10+'Control Cuota Artesanal III-IV'!H12+'Control Cuota Artesanal III-IV'!H18</f>
        <v>0</v>
      </c>
      <c r="I9" s="29">
        <f>G9-H9</f>
        <v>482.59299999999996</v>
      </c>
      <c r="J9" s="21">
        <f t="shared" si="1"/>
        <v>0</v>
      </c>
    </row>
    <row r="10" spans="1:309" ht="15" customHeight="1">
      <c r="B10" s="524"/>
      <c r="C10" s="157" t="s">
        <v>36</v>
      </c>
      <c r="D10" s="157" t="s">
        <v>12</v>
      </c>
      <c r="E10" s="158">
        <v>16</v>
      </c>
      <c r="F10" s="159">
        <v>0</v>
      </c>
      <c r="G10" s="160">
        <f>E10+I9+F10</f>
        <v>498.59299999999996</v>
      </c>
      <c r="H10" s="234">
        <f>+'Control Cuota Artesanal III-IV'!H23</f>
        <v>0.55499999999999994</v>
      </c>
      <c r="I10" s="188">
        <f t="shared" si="0"/>
        <v>498.03799999999995</v>
      </c>
      <c r="J10" s="161">
        <f t="shared" si="1"/>
        <v>1.1131323544454094E-3</v>
      </c>
    </row>
    <row r="11" spans="1:309" s="2" customFormat="1" ht="15" customHeight="1">
      <c r="A11" s="7"/>
      <c r="B11" s="524"/>
      <c r="C11" s="520" t="s">
        <v>57</v>
      </c>
      <c r="D11" s="111" t="s">
        <v>31</v>
      </c>
      <c r="E11" s="129">
        <f>+'Control Cuota LTP III-IV'!E37</f>
        <v>89.99999099999998</v>
      </c>
      <c r="F11" s="116">
        <f>+'Control Cuota LTP III-IV'!F37</f>
        <v>0</v>
      </c>
      <c r="G11" s="121">
        <f>E11+F11</f>
        <v>89.99999099999998</v>
      </c>
      <c r="H11" s="27">
        <f>+'Control Cuota LTP III-IV'!H37</f>
        <v>0</v>
      </c>
      <c r="I11" s="130">
        <f t="shared" ref="I11:I13" si="2">G11-H11</f>
        <v>89.99999099999998</v>
      </c>
      <c r="J11" s="123">
        <f t="shared" ref="J11:J14" si="3">H11/G11</f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</row>
    <row r="12" spans="1:309" s="2" customFormat="1" ht="15" customHeight="1">
      <c r="A12" s="7"/>
      <c r="B12" s="524"/>
      <c r="C12" s="521"/>
      <c r="D12" s="110" t="s">
        <v>32</v>
      </c>
      <c r="E12" s="131">
        <f>+'Control Cuota LTP III-IV'!E38</f>
        <v>9.9999990000000025</v>
      </c>
      <c r="F12" s="24">
        <f>+'Control Cuota LTP III-IV'!F38</f>
        <v>0</v>
      </c>
      <c r="G12" s="32">
        <f>E12+I11+F12</f>
        <v>99.999989999999983</v>
      </c>
      <c r="H12" s="26">
        <f>+'Control Cuota LTP III-IV'!H38</f>
        <v>0</v>
      </c>
      <c r="I12" s="34">
        <f t="shared" si="2"/>
        <v>99.999989999999983</v>
      </c>
      <c r="J12" s="35">
        <f t="shared" si="3"/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</row>
    <row r="13" spans="1:309" s="2" customFormat="1" ht="15" customHeight="1">
      <c r="A13" s="7"/>
      <c r="B13" s="524"/>
      <c r="C13" s="522" t="s">
        <v>58</v>
      </c>
      <c r="D13" s="111" t="s">
        <v>31</v>
      </c>
      <c r="E13" s="105">
        <f>+'Control Cuota LTP III-IV'!K37</f>
        <v>691.99993079999979</v>
      </c>
      <c r="F13" s="116">
        <f>+'Control Cuota LTP III-IV'!L37</f>
        <v>87.843000000000004</v>
      </c>
      <c r="G13" s="121">
        <f>E13+F13</f>
        <v>779.84293079999975</v>
      </c>
      <c r="H13" s="118">
        <f>+'Control Cuota LTP III-IV'!T37</f>
        <v>116.084</v>
      </c>
      <c r="I13" s="122">
        <f t="shared" si="2"/>
        <v>663.75893079999969</v>
      </c>
      <c r="J13" s="123">
        <f t="shared" si="3"/>
        <v>0.14885561619557869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</row>
    <row r="14" spans="1:309" s="2" customFormat="1" ht="15" customHeight="1">
      <c r="A14" s="7"/>
      <c r="B14" s="524"/>
      <c r="C14" s="523"/>
      <c r="D14" s="112" t="s">
        <v>32</v>
      </c>
      <c r="E14" s="106">
        <f>+'Control Cuota LTP III-IV'!K38</f>
        <v>76.999992300000002</v>
      </c>
      <c r="F14" s="25">
        <f>+'Control Cuota LTP III-IV'!L38</f>
        <v>0</v>
      </c>
      <c r="G14" s="33">
        <f>E14+I13+F14</f>
        <v>740.75892309999972</v>
      </c>
      <c r="H14" s="27">
        <f>+'Control Cuota LTP III-IV'!T38</f>
        <v>0</v>
      </c>
      <c r="I14" s="36">
        <f>G14-H14</f>
        <v>740.75892309999972</v>
      </c>
      <c r="J14" s="113">
        <f t="shared" si="3"/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</row>
    <row r="15" spans="1:309" s="2" customFormat="1" ht="29.4" customHeight="1" thickBot="1">
      <c r="A15" s="7"/>
      <c r="B15" s="525"/>
      <c r="C15" s="518" t="s">
        <v>39</v>
      </c>
      <c r="D15" s="519"/>
      <c r="E15" s="415">
        <f>SUM(E6:E14)</f>
        <v>1537.9999131</v>
      </c>
      <c r="F15" s="416">
        <f>SUM(F6:F14)</f>
        <v>4</v>
      </c>
      <c r="G15" s="417">
        <f>+E15+F15</f>
        <v>1541.9999131</v>
      </c>
      <c r="H15" s="416">
        <f>SUM(H6:H14)</f>
        <v>173.203</v>
      </c>
      <c r="I15" s="418">
        <f>+G15-H15</f>
        <v>1368.7969131</v>
      </c>
      <c r="J15" s="419">
        <f t="shared" ref="J15" si="4">H15/G15</f>
        <v>0.11232361203691432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</row>
    <row r="16" spans="1:309" s="7" customFormat="1" ht="15" customHeight="1"/>
    <row r="17" spans="1:309" s="7" customFormat="1" ht="15" thickBot="1"/>
    <row r="18" spans="1:309" s="2" customFormat="1" ht="22.35" customHeight="1">
      <c r="A18" s="7"/>
      <c r="B18" s="493" t="s">
        <v>134</v>
      </c>
      <c r="C18" s="494"/>
      <c r="D18" s="494"/>
      <c r="E18" s="494"/>
      <c r="F18" s="494"/>
      <c r="G18" s="494"/>
      <c r="H18" s="494"/>
      <c r="I18" s="494"/>
      <c r="J18" s="49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</row>
    <row r="19" spans="1:309" s="2" customFormat="1" ht="7.95" customHeight="1">
      <c r="A19" s="7"/>
      <c r="B19" s="515"/>
      <c r="C19" s="516"/>
      <c r="D19" s="516"/>
      <c r="E19" s="516"/>
      <c r="F19" s="516"/>
      <c r="G19" s="516"/>
      <c r="H19" s="516"/>
      <c r="I19" s="516"/>
      <c r="J19" s="51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</row>
    <row r="20" spans="1:309" s="2" customFormat="1" ht="22.35" customHeight="1">
      <c r="A20" s="7"/>
      <c r="B20" s="529">
        <f>+'Resumen anual'!B18:I18</f>
        <v>43558</v>
      </c>
      <c r="C20" s="530"/>
      <c r="D20" s="530"/>
      <c r="E20" s="530"/>
      <c r="F20" s="530"/>
      <c r="G20" s="530"/>
      <c r="H20" s="530"/>
      <c r="I20" s="530"/>
      <c r="J20" s="53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</row>
    <row r="21" spans="1:309" s="2" customFormat="1" ht="33.6" customHeight="1">
      <c r="A21" s="7"/>
      <c r="B21" s="88" t="s">
        <v>37</v>
      </c>
      <c r="C21" s="81" t="s">
        <v>83</v>
      </c>
      <c r="D21" s="85" t="s">
        <v>1</v>
      </c>
      <c r="E21" s="81" t="s">
        <v>68</v>
      </c>
      <c r="F21" s="81" t="s">
        <v>3</v>
      </c>
      <c r="G21" s="81" t="s">
        <v>4</v>
      </c>
      <c r="H21" s="81" t="s">
        <v>5</v>
      </c>
      <c r="I21" s="81" t="s">
        <v>6</v>
      </c>
      <c r="J21" s="89" t="s">
        <v>23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</row>
    <row r="22" spans="1:309" s="2" customFormat="1" ht="22.35" customHeight="1">
      <c r="A22" s="7"/>
      <c r="B22" s="509" t="s">
        <v>151</v>
      </c>
      <c r="C22" s="532" t="s">
        <v>59</v>
      </c>
      <c r="D22" s="82" t="s">
        <v>31</v>
      </c>
      <c r="E22" s="86">
        <f>+'Control Cuota Licitada V-VIII '!F36</f>
        <v>794.002381206</v>
      </c>
      <c r="F22" s="80">
        <f>+'Control Cuota Licitada V-VIII '!G36</f>
        <v>0</v>
      </c>
      <c r="G22" s="94">
        <f>+E22+F22</f>
        <v>794.002381206</v>
      </c>
      <c r="H22" s="62">
        <f>+'Control Cuota Licitada V-VIII '!I36</f>
        <v>92.800999999999974</v>
      </c>
      <c r="I22" s="70">
        <f>G22-H22</f>
        <v>701.20138120600006</v>
      </c>
      <c r="J22" s="95">
        <f t="shared" ref="J22:J26" si="5">H22/G22</f>
        <v>0.11687748323757635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</row>
    <row r="23" spans="1:309" s="2" customFormat="1" ht="22.35" customHeight="1">
      <c r="A23" s="7"/>
      <c r="B23" s="509"/>
      <c r="C23" s="532"/>
      <c r="D23" s="83" t="s">
        <v>32</v>
      </c>
      <c r="E23" s="86">
        <f>+'Control Cuota Licitada V-VIII '!F37</f>
        <v>88.000263911999994</v>
      </c>
      <c r="F23" s="80">
        <f>+'Control Cuota Licitada V-VIII '!G37</f>
        <v>0</v>
      </c>
      <c r="G23" s="94">
        <f>+E23+F23+I22</f>
        <v>789.2016451180001</v>
      </c>
      <c r="H23" s="62">
        <f>+'Control Cuota Licitada V-VIII '!I37</f>
        <v>0</v>
      </c>
      <c r="I23" s="70">
        <f t="shared" ref="I23:I24" si="6">G23-H23</f>
        <v>789.2016451180001</v>
      </c>
      <c r="J23" s="95">
        <f t="shared" si="5"/>
        <v>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</row>
    <row r="24" spans="1:309" s="2" customFormat="1" ht="22.35" customHeight="1">
      <c r="A24" s="7"/>
      <c r="B24" s="509"/>
      <c r="C24" s="532" t="s">
        <v>60</v>
      </c>
      <c r="D24" s="84" t="s">
        <v>31</v>
      </c>
      <c r="E24" s="87">
        <f>+'Control Cuota Licitada V-VIII '!L36</f>
        <v>970.00290903000018</v>
      </c>
      <c r="F24" s="90">
        <f>+'Control Cuota Licitada V-VIII '!M36</f>
        <v>-2.8421709430404007E-14</v>
      </c>
      <c r="G24" s="96">
        <f>+E24+F24</f>
        <v>970.00290903000018</v>
      </c>
      <c r="H24" s="97">
        <f>+'Control Cuota Licitada V-VIII '!O36</f>
        <v>61.225999999999999</v>
      </c>
      <c r="I24" s="98">
        <f t="shared" si="6"/>
        <v>908.77690903000018</v>
      </c>
      <c r="J24" s="99">
        <f t="shared" si="5"/>
        <v>6.3119398333790364E-2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</row>
    <row r="25" spans="1:309" s="2" customFormat="1" ht="22.35" customHeight="1">
      <c r="A25" s="7"/>
      <c r="B25" s="509"/>
      <c r="C25" s="533"/>
      <c r="D25" s="82" t="s">
        <v>32</v>
      </c>
      <c r="E25" s="86">
        <f>+'Control Cuota Licitada V-VIII '!L37</f>
        <v>108.000323892</v>
      </c>
      <c r="F25" s="80">
        <f>+'Control Cuota Licitada V-VIII '!M37</f>
        <v>0</v>
      </c>
      <c r="G25" s="94">
        <f>+E25+F25+I24</f>
        <v>1016.7772329220002</v>
      </c>
      <c r="H25" s="62">
        <f>+'Control Cuota Licitada V-VIII '!O37</f>
        <v>0</v>
      </c>
      <c r="I25" s="70">
        <f>G25-H25</f>
        <v>1016.7772329220002</v>
      </c>
      <c r="J25" s="95">
        <f t="shared" si="5"/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</row>
    <row r="26" spans="1:309" s="2" customFormat="1" ht="22.35" customHeight="1">
      <c r="A26" s="7"/>
      <c r="B26" s="510"/>
      <c r="C26" s="124" t="s">
        <v>85</v>
      </c>
      <c r="D26" s="124" t="s">
        <v>12</v>
      </c>
      <c r="E26" s="125">
        <v>25</v>
      </c>
      <c r="F26" s="116">
        <v>0</v>
      </c>
      <c r="G26" s="126">
        <f>E26+F26</f>
        <v>25</v>
      </c>
      <c r="H26" s="118">
        <v>1.3550000000000002</v>
      </c>
      <c r="I26" s="127">
        <f t="shared" ref="I26" si="7">G26-H26</f>
        <v>23.645</v>
      </c>
      <c r="J26" s="128">
        <f t="shared" si="5"/>
        <v>5.4200000000000005E-2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</row>
    <row r="27" spans="1:309" s="7" customFormat="1" ht="32.1" customHeight="1" thickBot="1">
      <c r="B27" s="511"/>
      <c r="C27" s="507" t="s">
        <v>40</v>
      </c>
      <c r="D27" s="508"/>
      <c r="E27" s="91">
        <f>SUM(E21:E25)</f>
        <v>1960.0058780400002</v>
      </c>
      <c r="F27" s="91">
        <f>SUM(F22:F25)</f>
        <v>-2.8421709430404007E-14</v>
      </c>
      <c r="G27" s="92">
        <f>+E27+F27</f>
        <v>1960.0058780400002</v>
      </c>
      <c r="H27" s="91">
        <f>SUM(H21:H25)</f>
        <v>154.02699999999999</v>
      </c>
      <c r="I27" s="91">
        <f>+G27-H27</f>
        <v>1805.9788780400002</v>
      </c>
      <c r="J27" s="93">
        <f t="shared" ref="J27" si="8">H27/G27</f>
        <v>7.8584968405312386E-2</v>
      </c>
    </row>
    <row r="28" spans="1:309" s="7" customFormat="1" ht="22.35" customHeight="1">
      <c r="F28" s="9"/>
    </row>
    <row r="29" spans="1:309" s="7" customFormat="1" ht="22.35" customHeight="1">
      <c r="A29" s="174"/>
      <c r="B29" s="174"/>
      <c r="C29" s="174"/>
      <c r="D29" s="174"/>
      <c r="E29" s="174"/>
      <c r="F29" s="175"/>
      <c r="G29" s="174"/>
      <c r="H29" s="174"/>
      <c r="I29" s="174"/>
      <c r="J29" s="174"/>
    </row>
    <row r="30" spans="1:309" s="7" customFormat="1" ht="22.35" customHeight="1">
      <c r="F30" s="9"/>
    </row>
    <row r="31" spans="1:309" s="7" customFormat="1" ht="22.35" customHeight="1">
      <c r="F31" s="9"/>
    </row>
    <row r="32" spans="1:309" s="7" customFormat="1" ht="22.35" customHeight="1">
      <c r="F32" s="9"/>
    </row>
    <row r="33" spans="6:6" s="7" customFormat="1" ht="22.35" customHeight="1">
      <c r="F33" s="9"/>
    </row>
    <row r="34" spans="6:6" s="7" customFormat="1" ht="22.35" customHeight="1">
      <c r="F34" s="9"/>
    </row>
    <row r="35" spans="6:6" s="7" customFormat="1" ht="22.35" customHeight="1">
      <c r="F35" s="9"/>
    </row>
    <row r="36" spans="6:6" s="7" customFormat="1" ht="22.35" customHeight="1">
      <c r="F36" s="9"/>
    </row>
    <row r="37" spans="6:6" s="7" customFormat="1" ht="22.35" customHeight="1">
      <c r="F37" s="9"/>
    </row>
    <row r="38" spans="6:6" s="7" customFormat="1" ht="22.35" customHeight="1">
      <c r="F38" s="9"/>
    </row>
    <row r="39" spans="6:6" s="7" customFormat="1">
      <c r="F39" s="9"/>
    </row>
    <row r="40" spans="6:6" s="7" customFormat="1">
      <c r="F40" s="9"/>
    </row>
    <row r="41" spans="6:6" s="7" customFormat="1">
      <c r="F41" s="9"/>
    </row>
    <row r="42" spans="6:6" s="7" customFormat="1">
      <c r="F42" s="9"/>
    </row>
    <row r="43" spans="6:6" s="7" customFormat="1">
      <c r="F43" s="9"/>
    </row>
    <row r="44" spans="6:6" s="7" customFormat="1">
      <c r="F44" s="9"/>
    </row>
    <row r="45" spans="6:6" s="7" customFormat="1">
      <c r="F45" s="9"/>
    </row>
    <row r="46" spans="6:6" s="7" customFormat="1">
      <c r="F46" s="9"/>
    </row>
    <row r="47" spans="6:6" s="7" customFormat="1">
      <c r="F47" s="9"/>
    </row>
    <row r="48" spans="6:6" s="7" customFormat="1">
      <c r="F48" s="9"/>
    </row>
    <row r="49" spans="6:6" s="7" customFormat="1">
      <c r="F49" s="9"/>
    </row>
    <row r="50" spans="6:6" s="7" customFormat="1">
      <c r="F50" s="9"/>
    </row>
    <row r="51" spans="6:6" s="7" customFormat="1">
      <c r="F51" s="9"/>
    </row>
    <row r="52" spans="6:6" s="7" customFormat="1">
      <c r="F52" s="9"/>
    </row>
    <row r="53" spans="6:6" s="7" customFormat="1">
      <c r="F53" s="9"/>
    </row>
    <row r="54" spans="6:6" s="7" customFormat="1">
      <c r="F54" s="9"/>
    </row>
    <row r="55" spans="6:6" s="7" customFormat="1">
      <c r="F55" s="9"/>
    </row>
    <row r="56" spans="6:6" s="7" customFormat="1">
      <c r="F56" s="9"/>
    </row>
    <row r="57" spans="6:6" s="7" customFormat="1">
      <c r="F57" s="9"/>
    </row>
    <row r="58" spans="6:6" s="7" customFormat="1">
      <c r="F58" s="9"/>
    </row>
    <row r="59" spans="6:6" s="7" customFormat="1">
      <c r="F59" s="9"/>
    </row>
    <row r="60" spans="6:6" s="7" customFormat="1">
      <c r="F60" s="9"/>
    </row>
    <row r="61" spans="6:6" s="7" customFormat="1">
      <c r="F61" s="9"/>
    </row>
    <row r="62" spans="6:6" s="7" customFormat="1">
      <c r="F62" s="9"/>
    </row>
    <row r="63" spans="6:6" s="7" customFormat="1">
      <c r="F63" s="9"/>
    </row>
    <row r="64" spans="6:6" s="7" customFormat="1">
      <c r="F64" s="9"/>
    </row>
    <row r="65" spans="6:6" s="7" customFormat="1">
      <c r="F65" s="9"/>
    </row>
    <row r="66" spans="6:6" s="7" customFormat="1">
      <c r="F66" s="9"/>
    </row>
    <row r="67" spans="6:6" s="7" customFormat="1">
      <c r="F67" s="9"/>
    </row>
    <row r="68" spans="6:6" s="7" customFormat="1">
      <c r="F68" s="9"/>
    </row>
    <row r="69" spans="6:6" s="7" customFormat="1">
      <c r="F69" s="9"/>
    </row>
    <row r="70" spans="6:6" s="7" customFormat="1">
      <c r="F70" s="9"/>
    </row>
    <row r="71" spans="6:6" s="7" customFormat="1">
      <c r="F71" s="9"/>
    </row>
    <row r="72" spans="6:6" s="7" customFormat="1">
      <c r="F72" s="9"/>
    </row>
    <row r="73" spans="6:6" s="7" customFormat="1">
      <c r="F73" s="9"/>
    </row>
    <row r="74" spans="6:6" s="7" customFormat="1">
      <c r="F74" s="9"/>
    </row>
    <row r="75" spans="6:6" s="7" customFormat="1">
      <c r="F75" s="9"/>
    </row>
    <row r="76" spans="6:6" s="7" customFormat="1">
      <c r="F76" s="9"/>
    </row>
    <row r="77" spans="6:6" s="7" customFormat="1">
      <c r="F77" s="9"/>
    </row>
    <row r="78" spans="6:6" s="7" customFormat="1">
      <c r="F78" s="9"/>
    </row>
    <row r="79" spans="6:6" s="7" customFormat="1">
      <c r="F79" s="9"/>
    </row>
    <row r="80" spans="6:6" s="7" customFormat="1">
      <c r="F80" s="9"/>
    </row>
    <row r="81" spans="6:6" s="7" customFormat="1">
      <c r="F81" s="9"/>
    </row>
    <row r="82" spans="6:6" s="7" customFormat="1">
      <c r="F82" s="9"/>
    </row>
    <row r="83" spans="6:6" s="7" customFormat="1">
      <c r="F83" s="9"/>
    </row>
    <row r="84" spans="6:6" s="7" customFormat="1">
      <c r="F84" s="9"/>
    </row>
    <row r="85" spans="6:6" s="7" customFormat="1">
      <c r="F85" s="9"/>
    </row>
    <row r="86" spans="6:6" s="7" customFormat="1">
      <c r="F86" s="9"/>
    </row>
    <row r="87" spans="6:6" s="7" customFormat="1">
      <c r="F87" s="9"/>
    </row>
    <row r="88" spans="6:6" s="7" customFormat="1">
      <c r="F88" s="9"/>
    </row>
    <row r="89" spans="6:6" s="7" customFormat="1">
      <c r="F89" s="9"/>
    </row>
    <row r="90" spans="6:6" s="7" customFormat="1">
      <c r="F90" s="9"/>
    </row>
    <row r="91" spans="6:6" s="7" customFormat="1">
      <c r="F91" s="9"/>
    </row>
    <row r="92" spans="6:6" s="7" customFormat="1">
      <c r="F92" s="9"/>
    </row>
    <row r="93" spans="6:6" s="7" customFormat="1">
      <c r="F93" s="9"/>
    </row>
    <row r="94" spans="6:6" s="7" customFormat="1">
      <c r="F94" s="9"/>
    </row>
    <row r="95" spans="6:6" s="7" customFormat="1">
      <c r="F95" s="9"/>
    </row>
    <row r="96" spans="6:6" s="7" customFormat="1">
      <c r="F96" s="9"/>
    </row>
    <row r="97" spans="6:6" s="7" customFormat="1">
      <c r="F97" s="9"/>
    </row>
    <row r="98" spans="6:6" s="7" customFormat="1">
      <c r="F98" s="9"/>
    </row>
    <row r="99" spans="6:6" s="7" customFormat="1">
      <c r="F99" s="9"/>
    </row>
    <row r="100" spans="6:6" s="7" customFormat="1">
      <c r="F100" s="9"/>
    </row>
    <row r="101" spans="6:6" s="7" customFormat="1">
      <c r="F101" s="9"/>
    </row>
    <row r="102" spans="6:6" s="7" customFormat="1">
      <c r="F102" s="9"/>
    </row>
    <row r="103" spans="6:6" s="7" customFormat="1">
      <c r="F103" s="9"/>
    </row>
    <row r="104" spans="6:6" s="7" customFormat="1">
      <c r="F104" s="9"/>
    </row>
    <row r="105" spans="6:6" s="7" customFormat="1">
      <c r="F105" s="9"/>
    </row>
    <row r="106" spans="6:6" s="7" customFormat="1">
      <c r="F106" s="9"/>
    </row>
    <row r="107" spans="6:6" s="7" customFormat="1">
      <c r="F107" s="9"/>
    </row>
    <row r="108" spans="6:6" s="7" customFormat="1">
      <c r="F108" s="9"/>
    </row>
    <row r="109" spans="6:6" s="7" customFormat="1">
      <c r="F109" s="9"/>
    </row>
    <row r="110" spans="6:6" s="7" customFormat="1">
      <c r="F110" s="9"/>
    </row>
    <row r="111" spans="6:6" s="7" customFormat="1">
      <c r="F111" s="9"/>
    </row>
    <row r="112" spans="6:6" s="7" customFormat="1">
      <c r="F112" s="9"/>
    </row>
    <row r="113" spans="6:6" s="7" customFormat="1">
      <c r="F113" s="9"/>
    </row>
    <row r="114" spans="6:6" s="7" customFormat="1">
      <c r="F114" s="9"/>
    </row>
    <row r="115" spans="6:6" s="7" customFormat="1">
      <c r="F115" s="9"/>
    </row>
    <row r="116" spans="6:6" s="7" customFormat="1">
      <c r="F116" s="9"/>
    </row>
    <row r="117" spans="6:6" s="7" customFormat="1">
      <c r="F117" s="9"/>
    </row>
    <row r="118" spans="6:6" s="7" customFormat="1">
      <c r="F118" s="9"/>
    </row>
    <row r="119" spans="6:6" s="7" customFormat="1">
      <c r="F119" s="9"/>
    </row>
    <row r="120" spans="6:6" s="7" customFormat="1">
      <c r="F120" s="9"/>
    </row>
    <row r="121" spans="6:6" s="7" customFormat="1">
      <c r="F121" s="9"/>
    </row>
    <row r="122" spans="6:6" s="7" customFormat="1">
      <c r="F122" s="9"/>
    </row>
    <row r="123" spans="6:6" s="7" customFormat="1">
      <c r="F123" s="9"/>
    </row>
    <row r="124" spans="6:6" s="7" customFormat="1">
      <c r="F124" s="9"/>
    </row>
    <row r="125" spans="6:6" s="7" customFormat="1">
      <c r="F125" s="9"/>
    </row>
    <row r="126" spans="6:6" s="7" customFormat="1">
      <c r="F126" s="9"/>
    </row>
    <row r="127" spans="6:6" s="7" customFormat="1">
      <c r="F127" s="9"/>
    </row>
    <row r="128" spans="6:6" s="7" customFormat="1">
      <c r="F128" s="9"/>
    </row>
    <row r="129" spans="6:6" s="7" customFormat="1">
      <c r="F129" s="9"/>
    </row>
    <row r="130" spans="6:6" s="7" customFormat="1">
      <c r="F130" s="9"/>
    </row>
    <row r="131" spans="6:6" s="7" customFormat="1">
      <c r="F131" s="9"/>
    </row>
    <row r="132" spans="6:6" s="7" customFormat="1">
      <c r="F132" s="9"/>
    </row>
    <row r="133" spans="6:6" s="7" customFormat="1">
      <c r="F133" s="9"/>
    </row>
    <row r="134" spans="6:6" s="7" customFormat="1">
      <c r="F134" s="9"/>
    </row>
    <row r="135" spans="6:6" s="7" customFormat="1">
      <c r="F135" s="9"/>
    </row>
    <row r="136" spans="6:6" s="7" customFormat="1">
      <c r="F136" s="9"/>
    </row>
    <row r="137" spans="6:6" s="7" customFormat="1">
      <c r="F137" s="9"/>
    </row>
    <row r="138" spans="6:6" s="7" customFormat="1">
      <c r="F138" s="9"/>
    </row>
    <row r="139" spans="6:6" s="7" customFormat="1">
      <c r="F139" s="9"/>
    </row>
    <row r="140" spans="6:6" s="7" customFormat="1">
      <c r="F140" s="9"/>
    </row>
    <row r="141" spans="6:6" s="7" customFormat="1">
      <c r="F141" s="9"/>
    </row>
    <row r="142" spans="6:6" s="7" customFormat="1">
      <c r="F142" s="9"/>
    </row>
    <row r="143" spans="6:6" s="7" customFormat="1">
      <c r="F143" s="9"/>
    </row>
    <row r="144" spans="6:6" s="7" customFormat="1">
      <c r="F144" s="9"/>
    </row>
    <row r="145" spans="6:6" s="7" customFormat="1">
      <c r="F145" s="9"/>
    </row>
    <row r="146" spans="6:6" s="7" customFormat="1">
      <c r="F146" s="9"/>
    </row>
    <row r="147" spans="6:6" s="7" customFormat="1">
      <c r="F147" s="9"/>
    </row>
    <row r="148" spans="6:6" s="7" customFormat="1">
      <c r="F148" s="9"/>
    </row>
    <row r="149" spans="6:6" s="7" customFormat="1">
      <c r="F149" s="9"/>
    </row>
    <row r="150" spans="6:6" s="7" customFormat="1">
      <c r="F150" s="9"/>
    </row>
    <row r="151" spans="6:6" s="7" customFormat="1">
      <c r="F151" s="9"/>
    </row>
    <row r="152" spans="6:6" s="7" customFormat="1">
      <c r="F152" s="9"/>
    </row>
    <row r="153" spans="6:6" s="7" customFormat="1">
      <c r="F153" s="9"/>
    </row>
    <row r="154" spans="6:6" s="7" customFormat="1">
      <c r="F154" s="9"/>
    </row>
    <row r="155" spans="6:6" s="7" customFormat="1">
      <c r="F155" s="9"/>
    </row>
    <row r="156" spans="6:6" s="7" customFormat="1">
      <c r="F156" s="9"/>
    </row>
    <row r="157" spans="6:6" s="7" customFormat="1">
      <c r="F157" s="9"/>
    </row>
    <row r="158" spans="6:6" s="7" customFormat="1">
      <c r="F158" s="9"/>
    </row>
    <row r="159" spans="6:6" s="7" customFormat="1">
      <c r="F159" s="9"/>
    </row>
    <row r="160" spans="6:6" s="7" customFormat="1">
      <c r="F160" s="9"/>
    </row>
    <row r="161" spans="6:6" s="7" customFormat="1">
      <c r="F161" s="9"/>
    </row>
    <row r="162" spans="6:6" s="7" customFormat="1">
      <c r="F162" s="9"/>
    </row>
    <row r="163" spans="6:6" s="7" customFormat="1">
      <c r="F163" s="9"/>
    </row>
    <row r="164" spans="6:6" s="7" customFormat="1">
      <c r="F164" s="9"/>
    </row>
    <row r="165" spans="6:6" s="7" customFormat="1">
      <c r="F165" s="9"/>
    </row>
    <row r="166" spans="6:6" s="7" customFormat="1">
      <c r="F166" s="9"/>
    </row>
    <row r="167" spans="6:6" s="7" customFormat="1">
      <c r="F167" s="9"/>
    </row>
    <row r="168" spans="6:6" s="7" customFormat="1">
      <c r="F168" s="9"/>
    </row>
    <row r="169" spans="6:6" s="7" customFormat="1">
      <c r="F169" s="9"/>
    </row>
    <row r="170" spans="6:6" s="7" customFormat="1">
      <c r="F170" s="9"/>
    </row>
    <row r="171" spans="6:6" s="7" customFormat="1">
      <c r="F171" s="9"/>
    </row>
    <row r="172" spans="6:6" s="7" customFormat="1">
      <c r="F172" s="9"/>
    </row>
    <row r="173" spans="6:6" s="7" customFormat="1">
      <c r="F173" s="9"/>
    </row>
    <row r="174" spans="6:6" s="7" customFormat="1">
      <c r="F174" s="9"/>
    </row>
    <row r="175" spans="6:6" s="7" customFormat="1">
      <c r="F175" s="9"/>
    </row>
    <row r="176" spans="6:6" s="7" customFormat="1">
      <c r="F176" s="9"/>
    </row>
    <row r="177" spans="6:6" s="7" customFormat="1">
      <c r="F177" s="9"/>
    </row>
    <row r="178" spans="6:6" s="7" customFormat="1">
      <c r="F178" s="9"/>
    </row>
    <row r="179" spans="6:6" s="7" customFormat="1">
      <c r="F179" s="9"/>
    </row>
    <row r="180" spans="6:6" s="7" customFormat="1">
      <c r="F180" s="9"/>
    </row>
    <row r="181" spans="6:6" s="7" customFormat="1">
      <c r="F181" s="9"/>
    </row>
    <row r="182" spans="6:6" s="7" customFormat="1">
      <c r="F182" s="9"/>
    </row>
    <row r="183" spans="6:6" s="7" customFormat="1">
      <c r="F183" s="9"/>
    </row>
    <row r="184" spans="6:6" s="7" customFormat="1">
      <c r="F184" s="9"/>
    </row>
    <row r="185" spans="6:6" s="7" customFormat="1">
      <c r="F185" s="9"/>
    </row>
    <row r="186" spans="6:6" s="7" customFormat="1">
      <c r="F186" s="9"/>
    </row>
    <row r="187" spans="6:6" s="7" customFormat="1">
      <c r="F187" s="9"/>
    </row>
    <row r="188" spans="6:6" s="7" customFormat="1">
      <c r="F188" s="9"/>
    </row>
    <row r="189" spans="6:6" s="7" customFormat="1">
      <c r="F189" s="9"/>
    </row>
    <row r="190" spans="6:6" s="7" customFormat="1">
      <c r="F190" s="9"/>
    </row>
    <row r="191" spans="6:6" s="7" customFormat="1">
      <c r="F191" s="9"/>
    </row>
    <row r="192" spans="6:6" s="7" customFormat="1">
      <c r="F192" s="9"/>
    </row>
    <row r="193" spans="6:6" s="7" customFormat="1">
      <c r="F193" s="9"/>
    </row>
    <row r="194" spans="6:6" s="7" customFormat="1">
      <c r="F194" s="9"/>
    </row>
  </sheetData>
  <mergeCells count="16">
    <mergeCell ref="B2:J2"/>
    <mergeCell ref="C6:C7"/>
    <mergeCell ref="C8:C9"/>
    <mergeCell ref="C27:D27"/>
    <mergeCell ref="B22:B27"/>
    <mergeCell ref="B3:J3"/>
    <mergeCell ref="B19:J19"/>
    <mergeCell ref="C15:D15"/>
    <mergeCell ref="C11:C12"/>
    <mergeCell ref="C13:C14"/>
    <mergeCell ref="B6:B15"/>
    <mergeCell ref="B4:J4"/>
    <mergeCell ref="B20:J20"/>
    <mergeCell ref="B18:J18"/>
    <mergeCell ref="C22:C23"/>
    <mergeCell ref="C24:C25"/>
  </mergeCells>
  <pageMargins left="0.7" right="0.7" top="0.75" bottom="0.75" header="0.3" footer="0.3"/>
  <pageSetup orientation="portrait" r:id="rId1"/>
  <ignoredErrors>
    <ignoredError sqref="G7:G9 G27 G23:G25 G11:G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R212"/>
  <sheetViews>
    <sheetView zoomScale="87" zoomScaleNormal="87" workbookViewId="0">
      <pane xSplit="4" ySplit="6" topLeftCell="E22" activePane="bottomRight" state="frozen"/>
      <selection pane="topRight" activeCell="E1" sqref="E1"/>
      <selection pane="bottomLeft" activeCell="A7" sqref="A7"/>
      <selection pane="bottomRight" activeCell="H23" sqref="H23:H24"/>
    </sheetView>
  </sheetViews>
  <sheetFormatPr baseColWidth="10" defaultRowHeight="14.4"/>
  <cols>
    <col min="1" max="1" width="7.5546875" style="1" customWidth="1"/>
    <col min="2" max="2" width="18.44140625" customWidth="1"/>
    <col min="3" max="3" width="19.5546875" customWidth="1"/>
    <col min="4" max="5" width="12" customWidth="1"/>
    <col min="6" max="6" width="10.6640625" customWidth="1"/>
    <col min="7" max="7" width="12.44140625" customWidth="1"/>
    <col min="8" max="8" width="13.5546875" customWidth="1"/>
    <col min="9" max="9" width="14" customWidth="1"/>
    <col min="10" max="10" width="14.109375" customWidth="1"/>
    <col min="11" max="11" width="13.33203125" customWidth="1"/>
    <col min="12" max="12" width="4.33203125" customWidth="1"/>
    <col min="13" max="13" width="14.109375" style="1" customWidth="1"/>
    <col min="14" max="14" width="12.5546875" style="1" customWidth="1"/>
    <col min="15" max="15" width="13.109375" style="1" customWidth="1"/>
    <col min="16" max="17" width="11.44140625" style="1"/>
    <col min="18" max="18" width="14.88671875" style="1" customWidth="1"/>
    <col min="19" max="21" width="11.44140625" style="1"/>
    <col min="22" max="22" width="2.5546875" style="1" customWidth="1"/>
    <col min="23" max="382" width="11.5546875" style="1"/>
  </cols>
  <sheetData>
    <row r="1" spans="1:20" s="1" customFormat="1" ht="15" thickBot="1"/>
    <row r="2" spans="1:20" ht="31.35" customHeight="1">
      <c r="B2" s="535" t="s">
        <v>135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7"/>
    </row>
    <row r="3" spans="1:20" ht="21" customHeight="1" thickBot="1">
      <c r="B3" s="558">
        <f>+'Resumen anual'!B4</f>
        <v>43558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60"/>
    </row>
    <row r="4" spans="1:20" s="1" customFormat="1" ht="15" thickBot="1"/>
    <row r="5" spans="1:20" s="1" customFormat="1" ht="20.100000000000001" customHeight="1" thickBot="1">
      <c r="A5" s="23"/>
      <c r="B5" s="556" t="s">
        <v>0</v>
      </c>
      <c r="C5" s="554" t="s">
        <v>53</v>
      </c>
      <c r="D5" s="551" t="s">
        <v>66</v>
      </c>
      <c r="E5" s="552"/>
      <c r="F5" s="552"/>
      <c r="G5" s="552"/>
      <c r="H5" s="552"/>
      <c r="I5" s="552"/>
      <c r="J5" s="552"/>
      <c r="K5" s="553"/>
      <c r="L5" s="23"/>
      <c r="M5" s="538" t="s">
        <v>67</v>
      </c>
      <c r="N5" s="539"/>
      <c r="O5" s="539"/>
      <c r="P5" s="539"/>
      <c r="Q5" s="539"/>
      <c r="R5" s="540"/>
      <c r="S5" s="23"/>
      <c r="T5" s="23"/>
    </row>
    <row r="6" spans="1:20" ht="29.4" thickBot="1">
      <c r="A6" s="23"/>
      <c r="B6" s="557"/>
      <c r="C6" s="555"/>
      <c r="D6" s="156" t="s">
        <v>1</v>
      </c>
      <c r="E6" s="57" t="s">
        <v>2</v>
      </c>
      <c r="F6" s="57" t="s">
        <v>74</v>
      </c>
      <c r="G6" s="57" t="s">
        <v>4</v>
      </c>
      <c r="H6" s="57" t="s">
        <v>5</v>
      </c>
      <c r="I6" s="57" t="s">
        <v>6</v>
      </c>
      <c r="J6" s="57" t="s">
        <v>25</v>
      </c>
      <c r="K6" s="58" t="s">
        <v>8</v>
      </c>
      <c r="L6" s="23"/>
      <c r="M6" s="55" t="s">
        <v>2</v>
      </c>
      <c r="N6" s="56" t="s">
        <v>74</v>
      </c>
      <c r="O6" s="56" t="s">
        <v>4</v>
      </c>
      <c r="P6" s="57" t="s">
        <v>5</v>
      </c>
      <c r="Q6" s="58" t="s">
        <v>6</v>
      </c>
      <c r="R6" s="54" t="s">
        <v>7</v>
      </c>
      <c r="S6" s="23"/>
      <c r="T6" s="23"/>
    </row>
    <row r="7" spans="1:20" ht="22.35" customHeight="1">
      <c r="A7" s="23"/>
      <c r="B7" s="541" t="s">
        <v>10</v>
      </c>
      <c r="C7" s="543" t="s">
        <v>109</v>
      </c>
      <c r="D7" s="378" t="s">
        <v>11</v>
      </c>
      <c r="E7" s="59">
        <v>27</v>
      </c>
      <c r="F7" s="60"/>
      <c r="G7" s="59">
        <f>E7+F7</f>
        <v>27</v>
      </c>
      <c r="H7" s="60"/>
      <c r="I7" s="59">
        <f t="shared" ref="I7:I13" si="0">G7-H7</f>
        <v>27</v>
      </c>
      <c r="J7" s="61">
        <f t="shared" ref="J7:J12" si="1">H7/G7</f>
        <v>0</v>
      </c>
      <c r="K7" s="164" t="s">
        <v>117</v>
      </c>
      <c r="L7" s="23"/>
      <c r="M7" s="545">
        <f>E7+E8</f>
        <v>30</v>
      </c>
      <c r="N7" s="547">
        <f>F7+F8</f>
        <v>0</v>
      </c>
      <c r="O7" s="547">
        <f>M7+N7</f>
        <v>30</v>
      </c>
      <c r="P7" s="547">
        <f>H7+H8</f>
        <v>0</v>
      </c>
      <c r="Q7" s="547">
        <f>O7-P7</f>
        <v>30</v>
      </c>
      <c r="R7" s="549">
        <f>P7/O7</f>
        <v>0</v>
      </c>
      <c r="S7" s="23"/>
      <c r="T7" s="23"/>
    </row>
    <row r="8" spans="1:20" ht="22.35" customHeight="1" thickBot="1">
      <c r="A8" s="23"/>
      <c r="B8" s="542"/>
      <c r="C8" s="544"/>
      <c r="D8" s="380" t="s">
        <v>9</v>
      </c>
      <c r="E8" s="381">
        <v>3</v>
      </c>
      <c r="F8" s="382"/>
      <c r="G8" s="381">
        <f>E8+F8+I7</f>
        <v>30</v>
      </c>
      <c r="H8" s="464"/>
      <c r="I8" s="381">
        <f t="shared" si="0"/>
        <v>30</v>
      </c>
      <c r="J8" s="383">
        <f t="shared" si="1"/>
        <v>0</v>
      </c>
      <c r="K8" s="165" t="s">
        <v>117</v>
      </c>
      <c r="L8" s="23"/>
      <c r="M8" s="546"/>
      <c r="N8" s="548"/>
      <c r="O8" s="548"/>
      <c r="P8" s="548"/>
      <c r="Q8" s="548"/>
      <c r="R8" s="550"/>
      <c r="S8" s="23"/>
      <c r="T8" s="23"/>
    </row>
    <row r="9" spans="1:20" ht="22.35" customHeight="1">
      <c r="A9" s="23"/>
      <c r="B9" s="534" t="s">
        <v>14</v>
      </c>
      <c r="C9" s="543" t="s">
        <v>112</v>
      </c>
      <c r="D9" s="378" t="s">
        <v>11</v>
      </c>
      <c r="E9" s="60">
        <v>113.883</v>
      </c>
      <c r="F9" s="60"/>
      <c r="G9" s="457">
        <f>E9+F9</f>
        <v>113.883</v>
      </c>
      <c r="H9" s="475">
        <v>25.612000000000002</v>
      </c>
      <c r="I9" s="458">
        <f t="shared" si="0"/>
        <v>88.270999999999987</v>
      </c>
      <c r="J9" s="61">
        <f t="shared" si="1"/>
        <v>0.2248974825039734</v>
      </c>
      <c r="K9" s="459" t="s">
        <v>117</v>
      </c>
      <c r="L9" s="23"/>
      <c r="M9" s="564">
        <f>E9+E10</f>
        <v>126.46899999999999</v>
      </c>
      <c r="N9" s="565">
        <f>F9+F10</f>
        <v>0</v>
      </c>
      <c r="O9" s="565">
        <f>M9+N9</f>
        <v>126.46899999999999</v>
      </c>
      <c r="P9" s="565">
        <f>H9+H10</f>
        <v>25.612000000000002</v>
      </c>
      <c r="Q9" s="565">
        <f>O9-P9</f>
        <v>100.857</v>
      </c>
      <c r="R9" s="566">
        <f>P9/O9</f>
        <v>0.20251603159667589</v>
      </c>
      <c r="S9" s="23"/>
      <c r="T9" s="23"/>
    </row>
    <row r="10" spans="1:20" ht="22.35" customHeight="1">
      <c r="A10" s="23"/>
      <c r="B10" s="534"/>
      <c r="C10" s="563" t="s">
        <v>112</v>
      </c>
      <c r="D10" s="452" t="s">
        <v>9</v>
      </c>
      <c r="E10" s="453">
        <v>12.586</v>
      </c>
      <c r="F10" s="453"/>
      <c r="G10" s="454">
        <f>E10+F10+I9</f>
        <v>100.85699999999999</v>
      </c>
      <c r="H10" s="472"/>
      <c r="I10" s="455">
        <f t="shared" si="0"/>
        <v>100.85699999999999</v>
      </c>
      <c r="J10" s="456">
        <f t="shared" si="1"/>
        <v>0</v>
      </c>
      <c r="K10" s="460" t="s">
        <v>117</v>
      </c>
      <c r="L10" s="23"/>
      <c r="M10" s="564"/>
      <c r="N10" s="565"/>
      <c r="O10" s="565"/>
      <c r="P10" s="565"/>
      <c r="Q10" s="565"/>
      <c r="R10" s="567"/>
      <c r="S10" s="23"/>
      <c r="T10" s="23"/>
    </row>
    <row r="11" spans="1:20" ht="22.35" customHeight="1">
      <c r="A11" s="23"/>
      <c r="B11" s="534"/>
      <c r="C11" s="562" t="s">
        <v>121</v>
      </c>
      <c r="D11" s="452" t="s">
        <v>11</v>
      </c>
      <c r="E11" s="453">
        <v>107.712</v>
      </c>
      <c r="F11" s="453"/>
      <c r="G11" s="454">
        <f>E11+F11</f>
        <v>107.712</v>
      </c>
      <c r="H11" s="475">
        <v>9.5069999999999997</v>
      </c>
      <c r="I11" s="455">
        <f t="shared" si="0"/>
        <v>98.204999999999998</v>
      </c>
      <c r="J11" s="456">
        <f t="shared" si="1"/>
        <v>8.8263146167557927E-2</v>
      </c>
      <c r="K11" s="460" t="s">
        <v>117</v>
      </c>
      <c r="L11" s="23"/>
      <c r="M11" s="564">
        <f>E11+E12</f>
        <v>119.616</v>
      </c>
      <c r="N11" s="565">
        <f>F11+F12</f>
        <v>0</v>
      </c>
      <c r="O11" s="565">
        <f>M11+N11</f>
        <v>119.616</v>
      </c>
      <c r="P11" s="565">
        <f>H11+H12</f>
        <v>9.5069999999999997</v>
      </c>
      <c r="Q11" s="565">
        <f>O11-P11</f>
        <v>110.10899999999999</v>
      </c>
      <c r="R11" s="568">
        <f>P11/O11</f>
        <v>7.9479333868378813E-2</v>
      </c>
      <c r="S11" s="23"/>
      <c r="T11" s="23"/>
    </row>
    <row r="12" spans="1:20" ht="22.35" customHeight="1" thickBot="1">
      <c r="A12" s="23"/>
      <c r="B12" s="534"/>
      <c r="C12" s="562"/>
      <c r="D12" s="452" t="s">
        <v>9</v>
      </c>
      <c r="E12" s="453">
        <v>11.904</v>
      </c>
      <c r="F12" s="453"/>
      <c r="G12" s="454">
        <f>E12+F12+I11</f>
        <v>110.10899999999999</v>
      </c>
      <c r="H12" s="474"/>
      <c r="I12" s="455">
        <f t="shared" si="0"/>
        <v>110.10899999999999</v>
      </c>
      <c r="J12" s="456">
        <f t="shared" si="1"/>
        <v>0</v>
      </c>
      <c r="K12" s="460" t="s">
        <v>117</v>
      </c>
      <c r="L12" s="23"/>
      <c r="M12" s="564"/>
      <c r="N12" s="565"/>
      <c r="O12" s="565"/>
      <c r="P12" s="565"/>
      <c r="Q12" s="565"/>
      <c r="R12" s="568"/>
      <c r="S12" s="23"/>
      <c r="T12" s="23"/>
    </row>
    <row r="13" spans="1:20" ht="22.35" customHeight="1">
      <c r="A13" s="23"/>
      <c r="B13" s="534"/>
      <c r="C13" s="561" t="s">
        <v>110</v>
      </c>
      <c r="D13" s="379" t="s">
        <v>11</v>
      </c>
      <c r="E13" s="153">
        <v>158.202</v>
      </c>
      <c r="F13" s="153">
        <v>-83.843000000000004</v>
      </c>
      <c r="G13" s="154">
        <f>E13+F13</f>
        <v>74.358999999999995</v>
      </c>
      <c r="H13" s="475">
        <v>10.205</v>
      </c>
      <c r="I13" s="73">
        <f t="shared" si="0"/>
        <v>64.153999999999996</v>
      </c>
      <c r="J13" s="155">
        <f t="shared" ref="J13:J18" si="2">H13/G13</f>
        <v>0.1372396078484111</v>
      </c>
      <c r="K13" s="176" t="s">
        <v>117</v>
      </c>
      <c r="L13" s="23"/>
      <c r="M13" s="545">
        <f>E13+E14</f>
        <v>175.68600000000001</v>
      </c>
      <c r="N13" s="547">
        <f>F13+F14</f>
        <v>-83.843000000000004</v>
      </c>
      <c r="O13" s="547">
        <f>M13+N13</f>
        <v>91.843000000000004</v>
      </c>
      <c r="P13" s="547">
        <f>H13+H14</f>
        <v>10.205</v>
      </c>
      <c r="Q13" s="547">
        <f>O13-P13</f>
        <v>81.638000000000005</v>
      </c>
      <c r="R13" s="566">
        <f>P13/O13</f>
        <v>0.11111353069912785</v>
      </c>
      <c r="S13" s="23"/>
      <c r="T13" s="23"/>
    </row>
    <row r="14" spans="1:20" ht="22.35" customHeight="1">
      <c r="A14" s="23"/>
      <c r="B14" s="534"/>
      <c r="C14" s="562"/>
      <c r="D14" s="452" t="s">
        <v>9</v>
      </c>
      <c r="E14" s="453">
        <v>17.484000000000002</v>
      </c>
      <c r="F14" s="453"/>
      <c r="G14" s="454">
        <f>E14+F14+I13</f>
        <v>81.638000000000005</v>
      </c>
      <c r="H14" s="474"/>
      <c r="I14" s="455">
        <f t="shared" ref="I14:I18" si="3">G14-H14</f>
        <v>81.638000000000005</v>
      </c>
      <c r="J14" s="456">
        <f t="shared" si="2"/>
        <v>0</v>
      </c>
      <c r="K14" s="460" t="s">
        <v>117</v>
      </c>
      <c r="L14" s="23"/>
      <c r="M14" s="564"/>
      <c r="N14" s="565"/>
      <c r="O14" s="565"/>
      <c r="P14" s="565"/>
      <c r="Q14" s="565"/>
      <c r="R14" s="567"/>
      <c r="S14" s="23"/>
      <c r="T14" s="23"/>
    </row>
    <row r="15" spans="1:20" ht="22.35" customHeight="1">
      <c r="A15" s="23"/>
      <c r="B15" s="534"/>
      <c r="C15" s="562" t="s">
        <v>111</v>
      </c>
      <c r="D15" s="452" t="s">
        <v>11</v>
      </c>
      <c r="E15" s="453">
        <v>147.54300000000001</v>
      </c>
      <c r="F15" s="453"/>
      <c r="G15" s="454">
        <f>E15+F15</f>
        <v>147.54300000000001</v>
      </c>
      <c r="H15" s="475">
        <v>6.6949999999999994</v>
      </c>
      <c r="I15" s="455">
        <f t="shared" si="3"/>
        <v>140.84800000000001</v>
      </c>
      <c r="J15" s="456">
        <f t="shared" si="2"/>
        <v>4.5376602075327184E-2</v>
      </c>
      <c r="K15" s="460" t="s">
        <v>117</v>
      </c>
      <c r="L15" s="23"/>
      <c r="M15" s="564">
        <f>E15+E16</f>
        <v>163.84900000000002</v>
      </c>
      <c r="N15" s="565">
        <f>F15+F16</f>
        <v>0</v>
      </c>
      <c r="O15" s="565">
        <f>M15+N15</f>
        <v>163.84900000000002</v>
      </c>
      <c r="P15" s="565">
        <f>H15+H16</f>
        <v>6.6949999999999994</v>
      </c>
      <c r="Q15" s="565">
        <f>O15-P15</f>
        <v>157.15400000000002</v>
      </c>
      <c r="R15" s="566">
        <f>P15/O15</f>
        <v>4.086079255900249E-2</v>
      </c>
      <c r="S15" s="23"/>
      <c r="T15" s="23"/>
    </row>
    <row r="16" spans="1:20" ht="22.35" customHeight="1">
      <c r="A16" s="23"/>
      <c r="B16" s="534"/>
      <c r="C16" s="562" t="s">
        <v>111</v>
      </c>
      <c r="D16" s="452" t="s">
        <v>9</v>
      </c>
      <c r="E16" s="453">
        <v>16.306000000000001</v>
      </c>
      <c r="F16" s="453"/>
      <c r="G16" s="454">
        <f>E16+F16+I15</f>
        <v>157.15400000000002</v>
      </c>
      <c r="H16" s="474"/>
      <c r="I16" s="455">
        <f t="shared" si="3"/>
        <v>157.15400000000002</v>
      </c>
      <c r="J16" s="456">
        <f t="shared" si="2"/>
        <v>0</v>
      </c>
      <c r="K16" s="460" t="s">
        <v>117</v>
      </c>
      <c r="L16" s="23"/>
      <c r="M16" s="564"/>
      <c r="N16" s="565"/>
      <c r="O16" s="565"/>
      <c r="P16" s="565"/>
      <c r="Q16" s="565"/>
      <c r="R16" s="567"/>
      <c r="S16" s="23"/>
      <c r="T16" s="23"/>
    </row>
    <row r="17" spans="1:20" ht="22.35" customHeight="1">
      <c r="A17" s="23"/>
      <c r="B17" s="534"/>
      <c r="C17" s="562" t="s">
        <v>113</v>
      </c>
      <c r="D17" s="452" t="s">
        <v>11</v>
      </c>
      <c r="E17" s="453">
        <v>33.659999999999997</v>
      </c>
      <c r="F17" s="453"/>
      <c r="G17" s="454">
        <f>E17+F17</f>
        <v>33.659999999999997</v>
      </c>
      <c r="H17" s="475">
        <v>4.5450000000000008</v>
      </c>
      <c r="I17" s="455">
        <f>G17-H17</f>
        <v>29.114999999999995</v>
      </c>
      <c r="J17" s="456">
        <f t="shared" si="2"/>
        <v>0.13502673796791448</v>
      </c>
      <c r="K17" s="460" t="s">
        <v>117</v>
      </c>
      <c r="L17" s="23"/>
      <c r="M17" s="564">
        <f>E17+E18</f>
        <v>37.379999999999995</v>
      </c>
      <c r="N17" s="565">
        <f>F17+F18</f>
        <v>0</v>
      </c>
      <c r="O17" s="565">
        <f>M17+N17</f>
        <v>37.379999999999995</v>
      </c>
      <c r="P17" s="565">
        <f>H17+H18</f>
        <v>4.5450000000000008</v>
      </c>
      <c r="Q17" s="565">
        <f>O17-P17</f>
        <v>32.834999999999994</v>
      </c>
      <c r="R17" s="566">
        <f>P17/O17</f>
        <v>0.12158908507223118</v>
      </c>
      <c r="S17" s="23"/>
      <c r="T17" s="23"/>
    </row>
    <row r="18" spans="1:20" ht="22.35" customHeight="1" thickBot="1">
      <c r="A18" s="23"/>
      <c r="B18" s="534"/>
      <c r="C18" s="544" t="s">
        <v>113</v>
      </c>
      <c r="D18" s="461" t="s">
        <v>9</v>
      </c>
      <c r="E18" s="382">
        <v>3.72</v>
      </c>
      <c r="F18" s="382"/>
      <c r="G18" s="462">
        <f>E18+F18+I17</f>
        <v>32.834999999999994</v>
      </c>
      <c r="H18" s="472"/>
      <c r="I18" s="463">
        <f t="shared" si="3"/>
        <v>32.834999999999994</v>
      </c>
      <c r="J18" s="383">
        <f t="shared" si="2"/>
        <v>0</v>
      </c>
      <c r="K18" s="387" t="s">
        <v>117</v>
      </c>
      <c r="L18" s="23"/>
      <c r="M18" s="570"/>
      <c r="N18" s="571"/>
      <c r="O18" s="571"/>
      <c r="P18" s="571"/>
      <c r="Q18" s="571"/>
      <c r="R18" s="569"/>
      <c r="S18" s="23"/>
      <c r="T18" s="23"/>
    </row>
    <row r="19" spans="1:20" s="1" customFormat="1" ht="17.399999999999999" customHeight="1">
      <c r="A19" s="23"/>
      <c r="B19" s="582" t="s">
        <v>149</v>
      </c>
      <c r="C19" s="583"/>
      <c r="D19" s="384" t="s">
        <v>11</v>
      </c>
      <c r="E19" s="420">
        <f>+E7+E13+E15+E9+E11+E17</f>
        <v>588</v>
      </c>
      <c r="F19" s="420">
        <f>+F7+F13+F15+F9+F11+F17</f>
        <v>-83.843000000000004</v>
      </c>
      <c r="G19" s="388">
        <f>+F19+E19</f>
        <v>504.15699999999998</v>
      </c>
      <c r="H19" s="465">
        <f>+H7+H13+H15+H9+H11+H17</f>
        <v>56.564</v>
      </c>
      <c r="I19" s="389">
        <f>+G19-H19</f>
        <v>447.59299999999996</v>
      </c>
      <c r="J19" s="390">
        <f>H19/G19</f>
        <v>0.11219520903210707</v>
      </c>
      <c r="K19" s="391" t="s">
        <v>117</v>
      </c>
      <c r="L19" s="23"/>
      <c r="M19" s="576">
        <f>+E19+E20</f>
        <v>653</v>
      </c>
      <c r="N19" s="572">
        <f>+F19+F20</f>
        <v>-83.843000000000004</v>
      </c>
      <c r="O19" s="572">
        <f>+N19+M19</f>
        <v>569.15700000000004</v>
      </c>
      <c r="P19" s="572">
        <f>SUM(P7:P18)</f>
        <v>56.564</v>
      </c>
      <c r="Q19" s="572">
        <f>+O19-P19</f>
        <v>512.59300000000007</v>
      </c>
      <c r="R19" s="574">
        <f>+P19/O19</f>
        <v>9.938206856807523E-2</v>
      </c>
      <c r="S19" s="23"/>
      <c r="T19" s="23"/>
    </row>
    <row r="20" spans="1:20" s="1" customFormat="1" ht="15" thickBot="1">
      <c r="B20" s="584"/>
      <c r="C20" s="585"/>
      <c r="D20" s="385" t="s">
        <v>9</v>
      </c>
      <c r="E20" s="386">
        <f>+E8+E14+E16+E10+E12+E18</f>
        <v>65</v>
      </c>
      <c r="F20" s="386">
        <f>+F8+F14+F16+F10+F12+F18</f>
        <v>0</v>
      </c>
      <c r="G20" s="421">
        <f>E20+F20+I19</f>
        <v>512.59299999999996</v>
      </c>
      <c r="H20" s="386">
        <f>+H8+H14+H16+H10+H12+H18</f>
        <v>0</v>
      </c>
      <c r="I20" s="423">
        <f>+G20-H20</f>
        <v>512.59299999999996</v>
      </c>
      <c r="J20" s="422">
        <f>H20/G20</f>
        <v>0</v>
      </c>
      <c r="K20" s="387" t="s">
        <v>117</v>
      </c>
      <c r="M20" s="577"/>
      <c r="N20" s="573"/>
      <c r="O20" s="573"/>
      <c r="P20" s="573"/>
      <c r="Q20" s="573"/>
      <c r="R20" s="575"/>
    </row>
    <row r="21" spans="1:20" s="1" customFormat="1">
      <c r="H21" s="233"/>
    </row>
    <row r="22" spans="1:20" s="1" customFormat="1"/>
    <row r="23" spans="1:20" s="1" customFormat="1">
      <c r="B23" s="586" t="s">
        <v>153</v>
      </c>
      <c r="C23" s="587"/>
      <c r="D23" s="590" t="s">
        <v>154</v>
      </c>
      <c r="E23" s="578">
        <v>14</v>
      </c>
      <c r="F23" s="592" t="s">
        <v>155</v>
      </c>
      <c r="G23" s="578">
        <v>14</v>
      </c>
      <c r="H23" s="578">
        <v>0.55499999999999994</v>
      </c>
      <c r="I23" s="578">
        <f>+G23+H23</f>
        <v>14.555</v>
      </c>
      <c r="J23" s="580">
        <f>+H23/G23</f>
        <v>3.9642857142857139E-2</v>
      </c>
    </row>
    <row r="24" spans="1:20" s="1" customFormat="1" ht="15" thickBot="1">
      <c r="B24" s="588"/>
      <c r="C24" s="589"/>
      <c r="D24" s="591"/>
      <c r="E24" s="579"/>
      <c r="F24" s="593"/>
      <c r="G24" s="579"/>
      <c r="H24" s="579"/>
      <c r="I24" s="579"/>
      <c r="J24" s="581"/>
    </row>
    <row r="25" spans="1:20" s="1" customFormat="1"/>
    <row r="26" spans="1:20" s="1" customFormat="1">
      <c r="B26" s="5" t="s">
        <v>16</v>
      </c>
    </row>
    <row r="27" spans="1:20" s="1" customFormat="1">
      <c r="B27" s="6" t="s">
        <v>15</v>
      </c>
    </row>
    <row r="28" spans="1:20" s="1" customFormat="1">
      <c r="B28" s="6" t="s">
        <v>17</v>
      </c>
    </row>
    <row r="29" spans="1:20" s="1" customFormat="1"/>
    <row r="30" spans="1:20" s="1" customFormat="1"/>
    <row r="31" spans="1:20" s="1" customFormat="1"/>
    <row r="32" spans="1:20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</sheetData>
  <mergeCells count="65">
    <mergeCell ref="H23:H24"/>
    <mergeCell ref="I23:I24"/>
    <mergeCell ref="J23:J24"/>
    <mergeCell ref="B19:C20"/>
    <mergeCell ref="B23:C24"/>
    <mergeCell ref="D23:D24"/>
    <mergeCell ref="E23:E24"/>
    <mergeCell ref="F23:F24"/>
    <mergeCell ref="G23:G24"/>
    <mergeCell ref="O19:O20"/>
    <mergeCell ref="P19:P20"/>
    <mergeCell ref="Q19:Q20"/>
    <mergeCell ref="R19:R20"/>
    <mergeCell ref="M19:M20"/>
    <mergeCell ref="N19:N20"/>
    <mergeCell ref="R17:R18"/>
    <mergeCell ref="C17:C18"/>
    <mergeCell ref="M17:M18"/>
    <mergeCell ref="N17:N18"/>
    <mergeCell ref="O17:O18"/>
    <mergeCell ref="P17:P18"/>
    <mergeCell ref="Q17:Q18"/>
    <mergeCell ref="P9:P10"/>
    <mergeCell ref="Q9:Q10"/>
    <mergeCell ref="R9:R10"/>
    <mergeCell ref="O11:O12"/>
    <mergeCell ref="Q11:Q12"/>
    <mergeCell ref="R11:R12"/>
    <mergeCell ref="Q15:Q16"/>
    <mergeCell ref="R15:R16"/>
    <mergeCell ref="C11:C12"/>
    <mergeCell ref="M11:M12"/>
    <mergeCell ref="N11:N12"/>
    <mergeCell ref="P15:P16"/>
    <mergeCell ref="P11:P12"/>
    <mergeCell ref="M13:M14"/>
    <mergeCell ref="N13:N14"/>
    <mergeCell ref="O13:O14"/>
    <mergeCell ref="P13:P14"/>
    <mergeCell ref="Q13:Q14"/>
    <mergeCell ref="R13:R14"/>
    <mergeCell ref="C9:C10"/>
    <mergeCell ref="M9:M10"/>
    <mergeCell ref="N9:N10"/>
    <mergeCell ref="O9:O10"/>
    <mergeCell ref="C15:C16"/>
    <mergeCell ref="M15:M16"/>
    <mergeCell ref="N15:N16"/>
    <mergeCell ref="O15:O16"/>
    <mergeCell ref="B9:B18"/>
    <mergeCell ref="B2:R2"/>
    <mergeCell ref="M5:R5"/>
    <mergeCell ref="B7:B8"/>
    <mergeCell ref="C7:C8"/>
    <mergeCell ref="M7:M8"/>
    <mergeCell ref="N7:N8"/>
    <mergeCell ref="O7:O8"/>
    <mergeCell ref="P7:P8"/>
    <mergeCell ref="Q7:Q8"/>
    <mergeCell ref="R7:R8"/>
    <mergeCell ref="D5:K5"/>
    <mergeCell ref="C5:C6"/>
    <mergeCell ref="B5:B6"/>
    <mergeCell ref="B3:R3"/>
    <mergeCell ref="C13:C14"/>
  </mergeCells>
  <conditionalFormatting sqref="J9:J20">
    <cfRule type="cellIs" dxfId="36" priority="18" operator="greaterThan">
      <formula>0.9</formula>
    </cfRule>
    <cfRule type="cellIs" dxfId="35" priority="19" operator="greaterThan">
      <formula>0.95</formula>
    </cfRule>
  </conditionalFormatting>
  <conditionalFormatting sqref="M17:R19 R15:R16 M13:Q16 E7:I20 M7:R12 R13">
    <cfRule type="cellIs" dxfId="34" priority="17" operator="lessThan">
      <formula>0</formula>
    </cfRule>
  </conditionalFormatting>
  <conditionalFormatting sqref="R9:R10 R13:R18">
    <cfRule type="cellIs" dxfId="33" priority="14" operator="greaterThan">
      <formula>0.8</formula>
    </cfRule>
  </conditionalFormatting>
  <conditionalFormatting sqref="H7:H18">
    <cfRule type="dataBar" priority="35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G13:G16 G8 G17:G18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"/>
  <sheetViews>
    <sheetView workbookViewId="0">
      <selection activeCell="A2" sqref="A2:B2"/>
    </sheetView>
  </sheetViews>
  <sheetFormatPr baseColWidth="10" defaultRowHeight="14.4"/>
  <cols>
    <col min="1" max="1" width="19.109375" bestFit="1" customWidth="1"/>
  </cols>
  <sheetData>
    <row r="2" spans="1:2">
      <c r="A2" s="469" t="s">
        <v>156</v>
      </c>
      <c r="B2" s="468">
        <v>1.8879999999999999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AU40"/>
  <sheetViews>
    <sheetView zoomScale="70" zoomScaleNormal="70" workbookViewId="0">
      <pane xSplit="4" ySplit="6" topLeftCell="T28" activePane="bottomRight" state="frozen"/>
      <selection pane="topRight" activeCell="E1" sqref="E1"/>
      <selection pane="bottomLeft" activeCell="A7" sqref="A7"/>
      <selection pane="bottomRight" activeCell="Z37" sqref="Z37:Z38"/>
    </sheetView>
  </sheetViews>
  <sheetFormatPr baseColWidth="10" defaultColWidth="11.44140625" defaultRowHeight="14.4"/>
  <cols>
    <col min="1" max="1" width="2.5546875" style="425" customWidth="1"/>
    <col min="2" max="2" width="13.5546875" style="425" customWidth="1"/>
    <col min="3" max="3" width="33.5546875" style="426" customWidth="1"/>
    <col min="4" max="4" width="14" style="425" customWidth="1"/>
    <col min="5" max="5" width="13.5546875" style="425" customWidth="1"/>
    <col min="6" max="6" width="12.5546875" style="425" customWidth="1"/>
    <col min="7" max="7" width="14.109375" style="425" customWidth="1"/>
    <col min="8" max="11" width="11.44140625" style="425"/>
    <col min="12" max="12" width="13.5546875" style="425" bestFit="1" customWidth="1"/>
    <col min="13" max="16" width="11.44140625" style="425"/>
    <col min="17" max="17" width="12.44140625" style="425" customWidth="1"/>
    <col min="18" max="19" width="12.5546875" style="425" customWidth="1"/>
    <col min="20" max="20" width="13.5546875" style="425" customWidth="1"/>
    <col min="21" max="21" width="11.44140625" style="425"/>
    <col min="22" max="22" width="10.88671875" style="425" customWidth="1"/>
    <col min="23" max="23" width="15.5546875" style="425" customWidth="1"/>
    <col min="24" max="24" width="14.5546875" style="425" customWidth="1"/>
    <col min="25" max="25" width="12.5546875" style="425" bestFit="1" customWidth="1"/>
    <col min="26" max="26" width="11.5546875" style="425" bestFit="1" customWidth="1"/>
    <col min="27" max="27" width="12.5546875" style="425" bestFit="1" customWidth="1"/>
    <col min="28" max="28" width="18.5546875" style="425" customWidth="1"/>
    <col min="29" max="29" width="11.44140625" style="425"/>
    <col min="30" max="30" width="15" style="425" customWidth="1"/>
    <col min="31" max="32" width="11.44140625" style="425"/>
    <col min="33" max="33" width="11.44140625" style="427"/>
    <col min="34" max="55" width="11.44140625" style="425"/>
    <col min="56" max="56" width="17.44140625" style="425" bestFit="1" customWidth="1"/>
    <col min="57" max="57" width="11.44140625" style="425"/>
    <col min="58" max="58" width="20.5546875" style="425" bestFit="1" customWidth="1"/>
    <col min="59" max="16384" width="11.44140625" style="425"/>
  </cols>
  <sheetData>
    <row r="1" spans="2:47" ht="15" thickBot="1"/>
    <row r="2" spans="2:47" ht="26.4" customHeight="1">
      <c r="B2" s="634" t="s">
        <v>131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6"/>
    </row>
    <row r="3" spans="2:47" ht="38.4" customHeight="1" thickBot="1">
      <c r="B3" s="637">
        <f>+'Resumen anual'!B4:I4</f>
        <v>43558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9"/>
    </row>
    <row r="4" spans="2:47" ht="15" thickBot="1">
      <c r="B4" s="429"/>
      <c r="C4" s="430"/>
      <c r="D4" s="429"/>
    </row>
    <row r="5" spans="2:47" s="428" customFormat="1" ht="28.35" customHeight="1">
      <c r="B5" s="644" t="s">
        <v>27</v>
      </c>
      <c r="C5" s="642" t="s">
        <v>49</v>
      </c>
      <c r="D5" s="640" t="s">
        <v>26</v>
      </c>
      <c r="E5" s="613" t="s">
        <v>42</v>
      </c>
      <c r="F5" s="614"/>
      <c r="G5" s="614"/>
      <c r="H5" s="614"/>
      <c r="I5" s="614"/>
      <c r="J5" s="615"/>
      <c r="K5" s="616" t="s">
        <v>41</v>
      </c>
      <c r="L5" s="617"/>
      <c r="M5" s="617"/>
      <c r="N5" s="617"/>
      <c r="O5" s="617"/>
      <c r="P5" s="618"/>
      <c r="Q5" s="626" t="s">
        <v>43</v>
      </c>
      <c r="R5" s="627"/>
      <c r="S5" s="627"/>
      <c r="T5" s="627"/>
      <c r="U5" s="627"/>
      <c r="V5" s="628"/>
      <c r="W5" s="620" t="s">
        <v>44</v>
      </c>
      <c r="X5" s="621"/>
      <c r="Y5" s="621"/>
      <c r="Z5" s="621"/>
      <c r="AA5" s="621"/>
      <c r="AB5" s="622"/>
      <c r="AG5" s="432"/>
    </row>
    <row r="6" spans="2:47" s="428" customFormat="1" ht="43.8" thickBot="1">
      <c r="B6" s="645"/>
      <c r="C6" s="643"/>
      <c r="D6" s="641"/>
      <c r="E6" s="196" t="s">
        <v>50</v>
      </c>
      <c r="F6" s="197" t="s">
        <v>51</v>
      </c>
      <c r="G6" s="197" t="s">
        <v>4</v>
      </c>
      <c r="H6" s="466" t="s">
        <v>5</v>
      </c>
      <c r="I6" s="198" t="s">
        <v>22</v>
      </c>
      <c r="J6" s="199" t="s">
        <v>23</v>
      </c>
      <c r="K6" s="202" t="s">
        <v>24</v>
      </c>
      <c r="L6" s="203" t="s">
        <v>52</v>
      </c>
      <c r="M6" s="203" t="s">
        <v>4</v>
      </c>
      <c r="N6" s="204" t="s">
        <v>5</v>
      </c>
      <c r="O6" s="204" t="s">
        <v>22</v>
      </c>
      <c r="P6" s="205" t="s">
        <v>23</v>
      </c>
      <c r="Q6" s="212" t="s">
        <v>30</v>
      </c>
      <c r="R6" s="213" t="s">
        <v>52</v>
      </c>
      <c r="S6" s="213" t="s">
        <v>4</v>
      </c>
      <c r="T6" s="214" t="s">
        <v>45</v>
      </c>
      <c r="U6" s="214" t="s">
        <v>6</v>
      </c>
      <c r="V6" s="215" t="s">
        <v>23</v>
      </c>
      <c r="W6" s="178" t="s">
        <v>46</v>
      </c>
      <c r="X6" s="179" t="s">
        <v>48</v>
      </c>
      <c r="Y6" s="180" t="s">
        <v>4</v>
      </c>
      <c r="Z6" s="181" t="s">
        <v>47</v>
      </c>
      <c r="AA6" s="181" t="s">
        <v>6</v>
      </c>
      <c r="AB6" s="182" t="s">
        <v>23</v>
      </c>
      <c r="AG6" s="432"/>
    </row>
    <row r="7" spans="2:47" ht="15" customHeight="1">
      <c r="B7" s="630" t="s">
        <v>29</v>
      </c>
      <c r="C7" s="594" t="str">
        <f>+Transa_Ltp_pep_Langamarillo!B9</f>
        <v>ANTARTIC SEAFOOD S.A.</v>
      </c>
      <c r="D7" s="78" t="s">
        <v>11</v>
      </c>
      <c r="E7" s="12">
        <f>+Transa_Ltp_pep_Langamarillo!G9</f>
        <v>31.629599999999996</v>
      </c>
      <c r="F7" s="10">
        <f>+Transa_Ltp_pep_Langamarillo!I9</f>
        <v>0</v>
      </c>
      <c r="G7" s="13">
        <f>E7+F7</f>
        <v>31.629599999999996</v>
      </c>
      <c r="H7" s="467"/>
      <c r="I7" s="13">
        <f t="shared" ref="I7:I36" si="0">G7-H7</f>
        <v>31.629599999999996</v>
      </c>
      <c r="J7" s="266">
        <f t="shared" ref="J7:J37" si="1">H7/G7</f>
        <v>0</v>
      </c>
      <c r="K7" s="12">
        <f>+Transa_Ltp_pep_Langamarillo!H9</f>
        <v>243.19647999999998</v>
      </c>
      <c r="L7" s="10">
        <f>+Transa_Ltp_pep_Langamarillo!J9</f>
        <v>0</v>
      </c>
      <c r="M7" s="183">
        <f>K7+L7</f>
        <v>243.19647999999998</v>
      </c>
      <c r="N7" s="471">
        <v>91.01</v>
      </c>
      <c r="O7" s="183">
        <f t="shared" ref="O7:O36" si="2">M7-N7</f>
        <v>152.18647999999996</v>
      </c>
      <c r="P7" s="201">
        <f t="shared" ref="P7:P38" si="3">N7/M7</f>
        <v>0.37422416640240852</v>
      </c>
      <c r="Q7" s="184">
        <f t="shared" ref="Q7:Q36" si="4">+E7+K7</f>
        <v>274.82607999999999</v>
      </c>
      <c r="R7" s="185">
        <f t="shared" ref="R7:R36" si="5">F7+L7</f>
        <v>0</v>
      </c>
      <c r="S7" s="186">
        <f>Q7+R7</f>
        <v>274.82607999999999</v>
      </c>
      <c r="T7" s="185">
        <f t="shared" ref="T7:T36" si="6">H7+N7</f>
        <v>91.01</v>
      </c>
      <c r="U7" s="186">
        <f t="shared" ref="U7:U38" si="7">S7-T7</f>
        <v>183.81608</v>
      </c>
      <c r="V7" s="187">
        <f t="shared" ref="V7:V38" si="8">T7/S7</f>
        <v>0.33115488893921569</v>
      </c>
      <c r="W7" s="629">
        <f>Q7+Q8</f>
        <v>305.40136000000001</v>
      </c>
      <c r="X7" s="623">
        <f>R7+R8</f>
        <v>0</v>
      </c>
      <c r="Y7" s="624">
        <f>W7+X7</f>
        <v>305.40136000000001</v>
      </c>
      <c r="Z7" s="623">
        <f>T7+T8</f>
        <v>91.01</v>
      </c>
      <c r="AA7" s="624">
        <f>Y7-Z7</f>
        <v>214.39136000000002</v>
      </c>
      <c r="AB7" s="625">
        <f>Z7/Y7</f>
        <v>0.29800129246313767</v>
      </c>
      <c r="AU7" s="425" t="e">
        <f>#REF!+W31+#REF!</f>
        <v>#REF!</v>
      </c>
    </row>
    <row r="8" spans="2:47">
      <c r="B8" s="631"/>
      <c r="C8" s="594"/>
      <c r="D8" s="31" t="s">
        <v>9</v>
      </c>
      <c r="E8" s="12">
        <f>+Transa_Ltp_pep_Langamarillo!G10</f>
        <v>3.5143999999999997</v>
      </c>
      <c r="F8" s="10">
        <f>+Transa_Ltp_pep_Langamarillo!I10</f>
        <v>0</v>
      </c>
      <c r="G8" s="14">
        <f>E8+F8+I7</f>
        <v>35.143999999999998</v>
      </c>
      <c r="H8" s="11"/>
      <c r="I8" s="14">
        <f t="shared" si="0"/>
        <v>35.143999999999998</v>
      </c>
      <c r="J8" s="267">
        <f t="shared" si="1"/>
        <v>0</v>
      </c>
      <c r="K8" s="12">
        <f>+Transa_Ltp_pep_Langamarillo!H10</f>
        <v>27.060879999999997</v>
      </c>
      <c r="L8" s="10">
        <f>+Transa_Ltp_pep_Langamarillo!J10</f>
        <v>0</v>
      </c>
      <c r="M8" s="14">
        <f>O7+K8+L8</f>
        <v>179.24735999999996</v>
      </c>
      <c r="N8" s="11"/>
      <c r="O8" s="15">
        <f t="shared" si="2"/>
        <v>179.24735999999996</v>
      </c>
      <c r="P8" s="200">
        <f t="shared" si="3"/>
        <v>0</v>
      </c>
      <c r="Q8" s="18">
        <f t="shared" si="4"/>
        <v>30.575279999999996</v>
      </c>
      <c r="R8" s="72">
        <f t="shared" si="5"/>
        <v>0</v>
      </c>
      <c r="S8" s="19">
        <f>Q8+R8+U7</f>
        <v>214.39135999999999</v>
      </c>
      <c r="T8" s="72">
        <f t="shared" si="6"/>
        <v>0</v>
      </c>
      <c r="U8" s="73">
        <f t="shared" si="7"/>
        <v>214.39135999999999</v>
      </c>
      <c r="V8" s="20">
        <f t="shared" si="8"/>
        <v>0</v>
      </c>
      <c r="W8" s="596"/>
      <c r="X8" s="598"/>
      <c r="Y8" s="600"/>
      <c r="Z8" s="598"/>
      <c r="AA8" s="600"/>
      <c r="AB8" s="602"/>
    </row>
    <row r="9" spans="2:47">
      <c r="B9" s="631"/>
      <c r="C9" s="594" t="str">
        <f>+Transa_Ltp_pep_Langamarillo!B11</f>
        <v>BAYCIC BAYCIC MARIA</v>
      </c>
      <c r="D9" s="79" t="s">
        <v>11</v>
      </c>
      <c r="E9" s="12">
        <f>+Transa_Ltp_pep_Langamarillo!G11</f>
        <v>2.7000000000000001E-3</v>
      </c>
      <c r="F9" s="10">
        <f>+Transa_Ltp_pep_Langamarillo!I11</f>
        <v>0</v>
      </c>
      <c r="G9" s="193">
        <f>E9+F9</f>
        <v>2.7000000000000001E-3</v>
      </c>
      <c r="H9" s="192"/>
      <c r="I9" s="193">
        <f t="shared" ref="I9:I20" si="9">G9-H9</f>
        <v>2.7000000000000001E-3</v>
      </c>
      <c r="J9" s="268">
        <f t="shared" ref="J9:J20" si="10">H9/G9</f>
        <v>0</v>
      </c>
      <c r="K9" s="12">
        <f>+Transa_Ltp_pep_Langamarillo!H11</f>
        <v>2.0760000000000001E-2</v>
      </c>
      <c r="L9" s="10">
        <f>+Transa_Ltp_pep_Langamarillo!J11</f>
        <v>0</v>
      </c>
      <c r="M9" s="206">
        <f>K9+L9</f>
        <v>2.0760000000000001E-2</v>
      </c>
      <c r="N9" s="478"/>
      <c r="O9" s="476">
        <f t="shared" ref="O9:O20" si="11">M9-N9</f>
        <v>2.0760000000000001E-2</v>
      </c>
      <c r="P9" s="207">
        <f t="shared" ref="P9:P20" si="12">N9/M9</f>
        <v>0</v>
      </c>
      <c r="Q9" s="216">
        <f t="shared" ref="Q9:Q20" si="13">+E9+K9</f>
        <v>2.3460000000000002E-2</v>
      </c>
      <c r="R9" s="217">
        <f t="shared" ref="R9:R20" si="14">F9+L9</f>
        <v>0</v>
      </c>
      <c r="S9" s="218">
        <f>Q9+R9</f>
        <v>2.3460000000000002E-2</v>
      </c>
      <c r="T9" s="217">
        <f t="shared" ref="T9:T20" si="15">H9+N9</f>
        <v>0</v>
      </c>
      <c r="U9" s="218">
        <f t="shared" ref="U9:U20" si="16">S9-T9</f>
        <v>2.3460000000000002E-2</v>
      </c>
      <c r="V9" s="219">
        <f t="shared" ref="V9:V20" si="17">T9/S9</f>
        <v>0</v>
      </c>
      <c r="W9" s="595">
        <f>Q9+Q10</f>
        <v>2.6070000000000003E-2</v>
      </c>
      <c r="X9" s="597">
        <f>R9+R10</f>
        <v>0</v>
      </c>
      <c r="Y9" s="599">
        <f>W9+X9</f>
        <v>2.6070000000000003E-2</v>
      </c>
      <c r="Z9" s="597">
        <f>T9+T10</f>
        <v>0</v>
      </c>
      <c r="AA9" s="599">
        <f>Y9-Z9</f>
        <v>2.6070000000000003E-2</v>
      </c>
      <c r="AB9" s="601">
        <f>Z9/Y9</f>
        <v>0</v>
      </c>
    </row>
    <row r="10" spans="2:47">
      <c r="B10" s="631"/>
      <c r="C10" s="594"/>
      <c r="D10" s="31" t="s">
        <v>9</v>
      </c>
      <c r="E10" s="12">
        <f>+Transa_Ltp_pep_Langamarillo!G12</f>
        <v>3.0000000000000003E-4</v>
      </c>
      <c r="F10" s="10">
        <f>+Transa_Ltp_pep_Langamarillo!I12</f>
        <v>0</v>
      </c>
      <c r="G10" s="14">
        <f>E10+F10+I9</f>
        <v>3.0000000000000001E-3</v>
      </c>
      <c r="H10" s="11"/>
      <c r="I10" s="14">
        <f t="shared" si="9"/>
        <v>3.0000000000000001E-3</v>
      </c>
      <c r="J10" s="269">
        <f t="shared" si="10"/>
        <v>0</v>
      </c>
      <c r="K10" s="12">
        <f>+Transa_Ltp_pep_Langamarillo!H12</f>
        <v>2.31E-3</v>
      </c>
      <c r="L10" s="10">
        <f>+Transa_Ltp_pep_Langamarillo!J12</f>
        <v>0</v>
      </c>
      <c r="M10" s="14">
        <f>O9+K10+L10</f>
        <v>2.307E-2</v>
      </c>
      <c r="N10" s="11"/>
      <c r="O10" s="13">
        <f t="shared" si="11"/>
        <v>2.307E-2</v>
      </c>
      <c r="P10" s="200">
        <f t="shared" si="12"/>
        <v>0</v>
      </c>
      <c r="Q10" s="18">
        <f t="shared" si="13"/>
        <v>2.6099999999999999E-3</v>
      </c>
      <c r="R10" s="72">
        <f t="shared" si="14"/>
        <v>0</v>
      </c>
      <c r="S10" s="19">
        <f>Q10+R10+U9</f>
        <v>2.6070000000000003E-2</v>
      </c>
      <c r="T10" s="72">
        <f t="shared" si="15"/>
        <v>0</v>
      </c>
      <c r="U10" s="17">
        <f t="shared" si="16"/>
        <v>2.6070000000000003E-2</v>
      </c>
      <c r="V10" s="20">
        <f t="shared" si="17"/>
        <v>0</v>
      </c>
      <c r="W10" s="596"/>
      <c r="X10" s="598"/>
      <c r="Y10" s="600"/>
      <c r="Z10" s="598"/>
      <c r="AA10" s="600"/>
      <c r="AB10" s="602"/>
    </row>
    <row r="11" spans="2:47">
      <c r="B11" s="631"/>
      <c r="C11" s="594" t="str">
        <f>+Transa_Ltp_pep_Langamarillo!B13</f>
        <v>BRACPESCA S.A.</v>
      </c>
      <c r="D11" s="79" t="s">
        <v>11</v>
      </c>
      <c r="E11" s="12">
        <f>+Transa_Ltp_pep_Langamarillo!G13</f>
        <v>34.463357999999992</v>
      </c>
      <c r="F11" s="10">
        <f>+Transa_Ltp_pep_Langamarillo!I13</f>
        <v>0</v>
      </c>
      <c r="G11" s="193">
        <f>E11+F11</f>
        <v>34.463357999999992</v>
      </c>
      <c r="H11" s="192"/>
      <c r="I11" s="193">
        <f t="shared" si="9"/>
        <v>34.463357999999992</v>
      </c>
      <c r="J11" s="268">
        <f t="shared" si="10"/>
        <v>0</v>
      </c>
      <c r="K11" s="12">
        <f>+Transa_Ltp_pep_Langamarillo!H13</f>
        <v>264.98493039999994</v>
      </c>
      <c r="L11" s="10">
        <f>+Transa_Ltp_pep_Langamarillo!J13+87.843</f>
        <v>87.843000000000004</v>
      </c>
      <c r="M11" s="206">
        <f>K11+L11</f>
        <v>352.82793039999996</v>
      </c>
      <c r="N11" s="478"/>
      <c r="O11" s="476">
        <f t="shared" si="11"/>
        <v>352.82793039999996</v>
      </c>
      <c r="P11" s="207">
        <f t="shared" si="12"/>
        <v>0</v>
      </c>
      <c r="Q11" s="216">
        <f t="shared" si="13"/>
        <v>299.44828839999991</v>
      </c>
      <c r="R11" s="217">
        <f t="shared" si="14"/>
        <v>87.843000000000004</v>
      </c>
      <c r="S11" s="218">
        <f>Q11+R11</f>
        <v>387.29128839999993</v>
      </c>
      <c r="T11" s="217">
        <f t="shared" si="15"/>
        <v>0</v>
      </c>
      <c r="U11" s="218">
        <f t="shared" si="16"/>
        <v>387.29128839999993</v>
      </c>
      <c r="V11" s="219">
        <f t="shared" si="17"/>
        <v>0</v>
      </c>
      <c r="W11" s="595">
        <f>Q11+Q12</f>
        <v>332.76286779999992</v>
      </c>
      <c r="X11" s="597">
        <f>R11+R12</f>
        <v>87.843000000000004</v>
      </c>
      <c r="Y11" s="599">
        <f>W11+X11</f>
        <v>420.60586779999994</v>
      </c>
      <c r="Z11" s="597">
        <f>T11+T12</f>
        <v>0</v>
      </c>
      <c r="AA11" s="599">
        <f>Y11-Z11</f>
        <v>420.60586779999994</v>
      </c>
      <c r="AB11" s="601">
        <f>Z11/Y11</f>
        <v>0</v>
      </c>
    </row>
    <row r="12" spans="2:47">
      <c r="B12" s="631"/>
      <c r="C12" s="594"/>
      <c r="D12" s="31" t="s">
        <v>9</v>
      </c>
      <c r="E12" s="12">
        <f>+Transa_Ltp_pep_Langamarillo!G14</f>
        <v>3.8292619999999995</v>
      </c>
      <c r="F12" s="10">
        <f>+Transa_Ltp_pep_Langamarillo!I14</f>
        <v>0</v>
      </c>
      <c r="G12" s="14">
        <f>E12+F12+I11</f>
        <v>38.292619999999992</v>
      </c>
      <c r="H12" s="11"/>
      <c r="I12" s="14">
        <f t="shared" si="9"/>
        <v>38.292619999999992</v>
      </c>
      <c r="J12" s="269">
        <f t="shared" si="10"/>
        <v>0</v>
      </c>
      <c r="K12" s="12">
        <f>+Transa_Ltp_pep_Langamarillo!H14</f>
        <v>29.485317399999996</v>
      </c>
      <c r="L12" s="10">
        <f>+Transa_Ltp_pep_Langamarillo!J14</f>
        <v>0</v>
      </c>
      <c r="M12" s="14">
        <f>O11+K12+L12</f>
        <v>382.31324779999994</v>
      </c>
      <c r="N12" s="11"/>
      <c r="O12" s="13">
        <f t="shared" si="11"/>
        <v>382.31324779999994</v>
      </c>
      <c r="P12" s="200">
        <f t="shared" si="12"/>
        <v>0</v>
      </c>
      <c r="Q12" s="18">
        <f t="shared" si="13"/>
        <v>33.314579399999992</v>
      </c>
      <c r="R12" s="72">
        <f t="shared" si="14"/>
        <v>0</v>
      </c>
      <c r="S12" s="19">
        <f>Q12+R12+U11</f>
        <v>420.60586779999994</v>
      </c>
      <c r="T12" s="72">
        <f t="shared" si="15"/>
        <v>0</v>
      </c>
      <c r="U12" s="17">
        <f t="shared" si="16"/>
        <v>420.60586779999994</v>
      </c>
      <c r="V12" s="20">
        <f t="shared" si="17"/>
        <v>0</v>
      </c>
      <c r="W12" s="596"/>
      <c r="X12" s="598"/>
      <c r="Y12" s="600"/>
      <c r="Z12" s="598"/>
      <c r="AA12" s="600"/>
      <c r="AB12" s="602"/>
    </row>
    <row r="13" spans="2:47">
      <c r="B13" s="631"/>
      <c r="C13" s="594" t="str">
        <f>+Transa_Ltp_pep_Langamarillo!B15</f>
        <v>GRIMAR S.A. PESQ.</v>
      </c>
      <c r="D13" s="79" t="s">
        <v>11</v>
      </c>
      <c r="E13" s="12">
        <f>+Transa_Ltp_pep_Langamarillo!G15</f>
        <v>1.5579000000000001E-2</v>
      </c>
      <c r="F13" s="10">
        <f>+Transa_Ltp_pep_Langamarillo!I15</f>
        <v>0</v>
      </c>
      <c r="G13" s="193">
        <f>E13+F13</f>
        <v>1.5579000000000001E-2</v>
      </c>
      <c r="H13" s="192"/>
      <c r="I13" s="193">
        <f t="shared" si="9"/>
        <v>1.5579000000000001E-2</v>
      </c>
      <c r="J13" s="268">
        <f t="shared" si="10"/>
        <v>0</v>
      </c>
      <c r="K13" s="12">
        <f>+Transa_Ltp_pep_Langamarillo!H15</f>
        <v>0.11978520000000001</v>
      </c>
      <c r="L13" s="10">
        <f>+Transa_Ltp_pep_Langamarillo!J15</f>
        <v>0</v>
      </c>
      <c r="M13" s="206">
        <f>K13+L13</f>
        <v>0.11978520000000001</v>
      </c>
      <c r="N13" s="478"/>
      <c r="O13" s="476">
        <f t="shared" si="11"/>
        <v>0.11978520000000001</v>
      </c>
      <c r="P13" s="207">
        <f t="shared" si="12"/>
        <v>0</v>
      </c>
      <c r="Q13" s="216">
        <f t="shared" si="13"/>
        <v>0.13536420000000002</v>
      </c>
      <c r="R13" s="217">
        <f t="shared" si="14"/>
        <v>0</v>
      </c>
      <c r="S13" s="218">
        <f>Q13+R13</f>
        <v>0.13536420000000002</v>
      </c>
      <c r="T13" s="217">
        <f t="shared" si="15"/>
        <v>0</v>
      </c>
      <c r="U13" s="218">
        <f t="shared" si="16"/>
        <v>0.13536420000000002</v>
      </c>
      <c r="V13" s="219">
        <f t="shared" si="17"/>
        <v>0</v>
      </c>
      <c r="W13" s="595">
        <f>Q13+Q14</f>
        <v>0.15042390000000003</v>
      </c>
      <c r="X13" s="597">
        <f>R13+R14</f>
        <v>0</v>
      </c>
      <c r="Y13" s="599">
        <f>W13+X13</f>
        <v>0.15042390000000003</v>
      </c>
      <c r="Z13" s="597">
        <f>T13+T14</f>
        <v>0</v>
      </c>
      <c r="AA13" s="599">
        <f>Y13-Z13</f>
        <v>0.15042390000000003</v>
      </c>
      <c r="AB13" s="601">
        <f>Z13/Y13</f>
        <v>0</v>
      </c>
    </row>
    <row r="14" spans="2:47">
      <c r="B14" s="631"/>
      <c r="C14" s="594"/>
      <c r="D14" s="31" t="s">
        <v>9</v>
      </c>
      <c r="E14" s="12">
        <f>+Transa_Ltp_pep_Langamarillo!G16</f>
        <v>1.7310000000000001E-3</v>
      </c>
      <c r="F14" s="10">
        <f>+Transa_Ltp_pep_Langamarillo!I16</f>
        <v>0</v>
      </c>
      <c r="G14" s="14">
        <f>E14+F14+I13</f>
        <v>1.7310000000000002E-2</v>
      </c>
      <c r="H14" s="11"/>
      <c r="I14" s="14">
        <f t="shared" si="9"/>
        <v>1.7310000000000002E-2</v>
      </c>
      <c r="J14" s="269">
        <f t="shared" si="10"/>
        <v>0</v>
      </c>
      <c r="K14" s="12">
        <f>+Transa_Ltp_pep_Langamarillo!H16</f>
        <v>1.3328700000000001E-2</v>
      </c>
      <c r="L14" s="10">
        <f>+Transa_Ltp_pep_Langamarillo!J16</f>
        <v>0</v>
      </c>
      <c r="M14" s="14">
        <f>O13+K14+L14</f>
        <v>0.13311390000000001</v>
      </c>
      <c r="N14" s="11"/>
      <c r="O14" s="13">
        <f t="shared" si="11"/>
        <v>0.13311390000000001</v>
      </c>
      <c r="P14" s="200">
        <f t="shared" si="12"/>
        <v>0</v>
      </c>
      <c r="Q14" s="18">
        <f t="shared" si="13"/>
        <v>1.5059700000000001E-2</v>
      </c>
      <c r="R14" s="72">
        <f t="shared" si="14"/>
        <v>0</v>
      </c>
      <c r="S14" s="19">
        <f>Q14+R14+U13</f>
        <v>0.15042390000000003</v>
      </c>
      <c r="T14" s="72">
        <f t="shared" si="15"/>
        <v>0</v>
      </c>
      <c r="U14" s="17">
        <f t="shared" si="16"/>
        <v>0.15042390000000003</v>
      </c>
      <c r="V14" s="20">
        <f t="shared" si="17"/>
        <v>0</v>
      </c>
      <c r="W14" s="596"/>
      <c r="X14" s="598"/>
      <c r="Y14" s="600"/>
      <c r="Z14" s="598"/>
      <c r="AA14" s="600"/>
      <c r="AB14" s="602"/>
    </row>
    <row r="15" spans="2:47">
      <c r="B15" s="631"/>
      <c r="C15" s="594" t="str">
        <f>+Transa_Ltp_pep_Langamarillo!B17</f>
        <v>ISLADAMAS S.A. PESQ.</v>
      </c>
      <c r="D15" s="79" t="s">
        <v>11</v>
      </c>
      <c r="E15" s="12">
        <f>+Transa_Ltp_pep_Langamarillo!G17</f>
        <v>11.846007000000002</v>
      </c>
      <c r="F15" s="10">
        <f>+Transa_Ltp_pep_Langamarillo!I17</f>
        <v>0</v>
      </c>
      <c r="G15" s="193">
        <f>E15+F15</f>
        <v>11.846007000000002</v>
      </c>
      <c r="H15" s="192"/>
      <c r="I15" s="193">
        <f t="shared" si="9"/>
        <v>11.846007000000002</v>
      </c>
      <c r="J15" s="268">
        <f t="shared" si="10"/>
        <v>0</v>
      </c>
      <c r="K15" s="12">
        <f>+Transa_Ltp_pep_Langamarillo!H17</f>
        <v>91.082631600000013</v>
      </c>
      <c r="L15" s="10">
        <f>+Transa_Ltp_pep_Langamarillo!J17</f>
        <v>0</v>
      </c>
      <c r="M15" s="206">
        <f>K15+L15</f>
        <v>91.082631600000013</v>
      </c>
      <c r="N15" s="473">
        <v>25.074000000000002</v>
      </c>
      <c r="O15" s="476">
        <f t="shared" si="11"/>
        <v>66.008631600000015</v>
      </c>
      <c r="P15" s="207">
        <f t="shared" si="12"/>
        <v>0.27528848870018813</v>
      </c>
      <c r="Q15" s="216">
        <f t="shared" si="13"/>
        <v>102.92863860000001</v>
      </c>
      <c r="R15" s="217">
        <f t="shared" si="14"/>
        <v>0</v>
      </c>
      <c r="S15" s="218">
        <f>Q15+R15</f>
        <v>102.92863860000001</v>
      </c>
      <c r="T15" s="217">
        <f t="shared" si="15"/>
        <v>25.074000000000002</v>
      </c>
      <c r="U15" s="218">
        <f t="shared" si="16"/>
        <v>77.854638600000015</v>
      </c>
      <c r="V15" s="219">
        <f t="shared" si="17"/>
        <v>0.24360567030758337</v>
      </c>
      <c r="W15" s="595">
        <f>Q15+Q16</f>
        <v>114.37977870000002</v>
      </c>
      <c r="X15" s="597">
        <f>R15+R16</f>
        <v>0</v>
      </c>
      <c r="Y15" s="599">
        <f>W15+X15</f>
        <v>114.37977870000002</v>
      </c>
      <c r="Z15" s="597">
        <f>T15+T16</f>
        <v>25.074000000000002</v>
      </c>
      <c r="AA15" s="599">
        <f>Y15-Z15</f>
        <v>89.305778700000019</v>
      </c>
      <c r="AB15" s="601">
        <f>Z15/Y15</f>
        <v>0.21921707040337191</v>
      </c>
    </row>
    <row r="16" spans="2:47">
      <c r="B16" s="631"/>
      <c r="C16" s="594"/>
      <c r="D16" s="31" t="s">
        <v>9</v>
      </c>
      <c r="E16" s="12">
        <f>+Transa_Ltp_pep_Langamarillo!G18</f>
        <v>1.3162230000000004</v>
      </c>
      <c r="F16" s="10">
        <f>+Transa_Ltp_pep_Langamarillo!I18</f>
        <v>0</v>
      </c>
      <c r="G16" s="14">
        <f>E16+F16+I15</f>
        <v>13.162230000000003</v>
      </c>
      <c r="H16" s="11"/>
      <c r="I16" s="14">
        <f t="shared" si="9"/>
        <v>13.162230000000003</v>
      </c>
      <c r="J16" s="269">
        <f t="shared" si="10"/>
        <v>0</v>
      </c>
      <c r="K16" s="12">
        <f>+Transa_Ltp_pep_Langamarillo!H18</f>
        <v>10.134917100000003</v>
      </c>
      <c r="L16" s="10">
        <f>+Transa_Ltp_pep_Langamarillo!J18</f>
        <v>0</v>
      </c>
      <c r="M16" s="14">
        <f>O15+K16+L16</f>
        <v>76.143548700000025</v>
      </c>
      <c r="N16" s="11"/>
      <c r="O16" s="13">
        <f t="shared" si="11"/>
        <v>76.143548700000025</v>
      </c>
      <c r="P16" s="200">
        <f t="shared" si="12"/>
        <v>0</v>
      </c>
      <c r="Q16" s="18">
        <f t="shared" si="13"/>
        <v>11.451140100000003</v>
      </c>
      <c r="R16" s="72">
        <f t="shared" si="14"/>
        <v>0</v>
      </c>
      <c r="S16" s="19">
        <f>Q16+R16+U15</f>
        <v>89.305778700000019</v>
      </c>
      <c r="T16" s="72">
        <f t="shared" si="15"/>
        <v>0</v>
      </c>
      <c r="U16" s="17">
        <f t="shared" si="16"/>
        <v>89.305778700000019</v>
      </c>
      <c r="V16" s="20">
        <f t="shared" si="17"/>
        <v>0</v>
      </c>
      <c r="W16" s="596"/>
      <c r="X16" s="598"/>
      <c r="Y16" s="600"/>
      <c r="Z16" s="598"/>
      <c r="AA16" s="600"/>
      <c r="AB16" s="602"/>
    </row>
    <row r="17" spans="2:28">
      <c r="B17" s="631"/>
      <c r="C17" s="594" t="str">
        <f>+Transa_Ltp_pep_Langamarillo!B19</f>
        <v>MOROZIN BAYCIC MARIA ANA</v>
      </c>
      <c r="D17" s="79" t="s">
        <v>11</v>
      </c>
      <c r="E17" s="12">
        <f>+Transa_Ltp_pep_Langamarillo!G19</f>
        <v>9.0089999999999996E-3</v>
      </c>
      <c r="F17" s="10">
        <f>+Transa_Ltp_pep_Langamarillo!I19</f>
        <v>0</v>
      </c>
      <c r="G17" s="193">
        <f>E17+F17</f>
        <v>9.0089999999999996E-3</v>
      </c>
      <c r="H17" s="192"/>
      <c r="I17" s="193">
        <f t="shared" si="9"/>
        <v>9.0089999999999996E-3</v>
      </c>
      <c r="J17" s="268">
        <f t="shared" si="10"/>
        <v>0</v>
      </c>
      <c r="K17" s="12">
        <f>+Transa_Ltp_pep_Langamarillo!H19</f>
        <v>6.9269199999999989E-2</v>
      </c>
      <c r="L17" s="10">
        <f>+Transa_Ltp_pep_Langamarillo!J19</f>
        <v>0</v>
      </c>
      <c r="M17" s="206">
        <f>K17+L17</f>
        <v>6.9269199999999989E-2</v>
      </c>
      <c r="N17" s="478"/>
      <c r="O17" s="476">
        <f t="shared" si="11"/>
        <v>6.9269199999999989E-2</v>
      </c>
      <c r="P17" s="207">
        <f t="shared" si="12"/>
        <v>0</v>
      </c>
      <c r="Q17" s="216">
        <f t="shared" si="13"/>
        <v>7.8278199999999992E-2</v>
      </c>
      <c r="R17" s="217">
        <f t="shared" si="14"/>
        <v>0</v>
      </c>
      <c r="S17" s="218">
        <f>Q17+R17</f>
        <v>7.8278199999999992E-2</v>
      </c>
      <c r="T17" s="217">
        <f t="shared" si="15"/>
        <v>0</v>
      </c>
      <c r="U17" s="218">
        <f t="shared" si="16"/>
        <v>7.8278199999999992E-2</v>
      </c>
      <c r="V17" s="219">
        <f t="shared" si="17"/>
        <v>0</v>
      </c>
      <c r="W17" s="595">
        <f>Q17+Q18</f>
        <v>8.6986899999999992E-2</v>
      </c>
      <c r="X17" s="597">
        <f>R17+R18</f>
        <v>0</v>
      </c>
      <c r="Y17" s="599">
        <f>W17+X17</f>
        <v>8.6986899999999992E-2</v>
      </c>
      <c r="Z17" s="597">
        <f>T17+T18</f>
        <v>0</v>
      </c>
      <c r="AA17" s="599">
        <f>Y17-Z17</f>
        <v>8.6986899999999992E-2</v>
      </c>
      <c r="AB17" s="601">
        <f>Z17/Y17</f>
        <v>0</v>
      </c>
    </row>
    <row r="18" spans="2:28">
      <c r="B18" s="631"/>
      <c r="C18" s="594"/>
      <c r="D18" s="31" t="s">
        <v>9</v>
      </c>
      <c r="E18" s="12">
        <f>+Transa_Ltp_pep_Langamarillo!G20</f>
        <v>1.0009999999999999E-3</v>
      </c>
      <c r="F18" s="10">
        <f>+Transa_Ltp_pep_Langamarillo!I20</f>
        <v>0</v>
      </c>
      <c r="G18" s="14">
        <f>E18+F18+I17</f>
        <v>1.001E-2</v>
      </c>
      <c r="H18" s="11"/>
      <c r="I18" s="14">
        <f t="shared" si="9"/>
        <v>1.001E-2</v>
      </c>
      <c r="J18" s="269">
        <f t="shared" si="10"/>
        <v>0</v>
      </c>
      <c r="K18" s="12">
        <f>+Transa_Ltp_pep_Langamarillo!H20</f>
        <v>7.7076999999999996E-3</v>
      </c>
      <c r="L18" s="10">
        <f>+Transa_Ltp_pep_Langamarillo!J20</f>
        <v>0</v>
      </c>
      <c r="M18" s="14">
        <f>O17+K18+L18</f>
        <v>7.6976899999999987E-2</v>
      </c>
      <c r="N18" s="11"/>
      <c r="O18" s="13">
        <f t="shared" si="11"/>
        <v>7.6976899999999987E-2</v>
      </c>
      <c r="P18" s="200">
        <f t="shared" si="12"/>
        <v>0</v>
      </c>
      <c r="Q18" s="18">
        <f t="shared" si="13"/>
        <v>8.7086999999999998E-3</v>
      </c>
      <c r="R18" s="72">
        <f t="shared" si="14"/>
        <v>0</v>
      </c>
      <c r="S18" s="19">
        <f>Q18+R18+U17</f>
        <v>8.6986899999999992E-2</v>
      </c>
      <c r="T18" s="72">
        <f t="shared" si="15"/>
        <v>0</v>
      </c>
      <c r="U18" s="17">
        <f t="shared" si="16"/>
        <v>8.6986899999999992E-2</v>
      </c>
      <c r="V18" s="20">
        <f t="shared" si="17"/>
        <v>0</v>
      </c>
      <c r="W18" s="596"/>
      <c r="X18" s="598"/>
      <c r="Y18" s="600"/>
      <c r="Z18" s="598"/>
      <c r="AA18" s="600"/>
      <c r="AB18" s="602"/>
    </row>
    <row r="19" spans="2:28">
      <c r="B19" s="631"/>
      <c r="C19" s="594" t="str">
        <f>+Transa_Ltp_pep_Langamarillo!B21</f>
        <v>MOROZIN YURECIC MARIO</v>
      </c>
      <c r="D19" s="79" t="s">
        <v>11</v>
      </c>
      <c r="E19" s="12">
        <f>+Transa_Ltp_pep_Langamarillo!G21</f>
        <v>1.8090000000000001E-3</v>
      </c>
      <c r="F19" s="10">
        <f>+Transa_Ltp_pep_Langamarillo!I21</f>
        <v>0</v>
      </c>
      <c r="G19" s="193">
        <f>E19+F19</f>
        <v>1.8090000000000001E-3</v>
      </c>
      <c r="H19" s="192"/>
      <c r="I19" s="193">
        <f t="shared" si="9"/>
        <v>1.8090000000000001E-3</v>
      </c>
      <c r="J19" s="268">
        <f t="shared" si="10"/>
        <v>0</v>
      </c>
      <c r="K19" s="12">
        <f>+Transa_Ltp_pep_Langamarillo!H21</f>
        <v>1.39092E-2</v>
      </c>
      <c r="L19" s="10">
        <f>+Transa_Ltp_pep_Langamarillo!J21</f>
        <v>0</v>
      </c>
      <c r="M19" s="206">
        <f>K19+L19</f>
        <v>1.39092E-2</v>
      </c>
      <c r="N19" s="478"/>
      <c r="O19" s="476">
        <f t="shared" si="11"/>
        <v>1.39092E-2</v>
      </c>
      <c r="P19" s="207">
        <f t="shared" si="12"/>
        <v>0</v>
      </c>
      <c r="Q19" s="216">
        <f t="shared" si="13"/>
        <v>1.5718200000000002E-2</v>
      </c>
      <c r="R19" s="217">
        <f t="shared" si="14"/>
        <v>0</v>
      </c>
      <c r="S19" s="218">
        <f>Q19+R19</f>
        <v>1.5718200000000002E-2</v>
      </c>
      <c r="T19" s="217">
        <f t="shared" si="15"/>
        <v>0</v>
      </c>
      <c r="U19" s="218">
        <f t="shared" si="16"/>
        <v>1.5718200000000002E-2</v>
      </c>
      <c r="V19" s="219">
        <f t="shared" si="17"/>
        <v>0</v>
      </c>
      <c r="W19" s="595">
        <f>Q19+Q20</f>
        <v>1.74669E-2</v>
      </c>
      <c r="X19" s="597">
        <f>R19+R20</f>
        <v>0</v>
      </c>
      <c r="Y19" s="599">
        <f>W19+X19</f>
        <v>1.74669E-2</v>
      </c>
      <c r="Z19" s="597">
        <f>T19+T20</f>
        <v>0</v>
      </c>
      <c r="AA19" s="599">
        <f>Y19-Z19</f>
        <v>1.74669E-2</v>
      </c>
      <c r="AB19" s="601">
        <f>Z19/Y19</f>
        <v>0</v>
      </c>
    </row>
    <row r="20" spans="2:28">
      <c r="B20" s="631"/>
      <c r="C20" s="594"/>
      <c r="D20" s="31" t="s">
        <v>9</v>
      </c>
      <c r="E20" s="12">
        <f>+Transa_Ltp_pep_Langamarillo!G22</f>
        <v>2.0100000000000001E-4</v>
      </c>
      <c r="F20" s="10">
        <f>+Transa_Ltp_pep_Langamarillo!I22</f>
        <v>0</v>
      </c>
      <c r="G20" s="14">
        <f>E20+F20+I19</f>
        <v>2.0100000000000001E-3</v>
      </c>
      <c r="H20" s="11"/>
      <c r="I20" s="14">
        <f t="shared" si="9"/>
        <v>2.0100000000000001E-3</v>
      </c>
      <c r="J20" s="269">
        <f t="shared" si="10"/>
        <v>0</v>
      </c>
      <c r="K20" s="12">
        <f>+Transa_Ltp_pep_Langamarillo!H22</f>
        <v>1.5476999999999999E-3</v>
      </c>
      <c r="L20" s="10">
        <f>+Transa_Ltp_pep_Langamarillo!J22</f>
        <v>0</v>
      </c>
      <c r="M20" s="14">
        <f>O19+K20+L20</f>
        <v>1.5456899999999999E-2</v>
      </c>
      <c r="N20" s="11"/>
      <c r="O20" s="13">
        <f t="shared" si="11"/>
        <v>1.5456899999999999E-2</v>
      </c>
      <c r="P20" s="200">
        <f t="shared" si="12"/>
        <v>0</v>
      </c>
      <c r="Q20" s="18">
        <f t="shared" si="13"/>
        <v>1.7487E-3</v>
      </c>
      <c r="R20" s="72">
        <f t="shared" si="14"/>
        <v>0</v>
      </c>
      <c r="S20" s="19">
        <f>Q20+R20+U19</f>
        <v>1.74669E-2</v>
      </c>
      <c r="T20" s="72">
        <f t="shared" si="15"/>
        <v>0</v>
      </c>
      <c r="U20" s="17">
        <f t="shared" si="16"/>
        <v>1.74669E-2</v>
      </c>
      <c r="V20" s="20">
        <f t="shared" si="17"/>
        <v>0</v>
      </c>
      <c r="W20" s="596"/>
      <c r="X20" s="598"/>
      <c r="Y20" s="600"/>
      <c r="Z20" s="598"/>
      <c r="AA20" s="600"/>
      <c r="AB20" s="602"/>
    </row>
    <row r="21" spans="2:28">
      <c r="B21" s="631"/>
      <c r="C21" s="594" t="str">
        <f>+Transa_Ltp_pep_Langamarillo!B23</f>
        <v>QUINTERO S.A. PESQ.</v>
      </c>
      <c r="D21" s="79" t="s">
        <v>11</v>
      </c>
      <c r="E21" s="12">
        <f>+Transa_Ltp_pep_Langamarillo!G23</f>
        <v>5.9973390000000002</v>
      </c>
      <c r="F21" s="10">
        <f>+Transa_Ltp_pep_Langamarillo!I23</f>
        <v>0</v>
      </c>
      <c r="G21" s="13">
        <f>E21+F21</f>
        <v>5.9973390000000002</v>
      </c>
      <c r="H21" s="10"/>
      <c r="I21" s="13">
        <f t="shared" si="0"/>
        <v>5.9973390000000002</v>
      </c>
      <c r="J21" s="268">
        <f t="shared" si="1"/>
        <v>0</v>
      </c>
      <c r="K21" s="12">
        <f>+Transa_Ltp_pep_Langamarillo!H23</f>
        <v>46.112873200000003</v>
      </c>
      <c r="L21" s="10">
        <f>+Transa_Ltp_pep_Langamarillo!J23</f>
        <v>0</v>
      </c>
      <c r="M21" s="13">
        <f>K21+L21</f>
        <v>46.112873200000003</v>
      </c>
      <c r="N21" s="10"/>
      <c r="O21" s="477">
        <f t="shared" si="2"/>
        <v>46.112873200000003</v>
      </c>
      <c r="P21" s="207">
        <f t="shared" si="3"/>
        <v>0</v>
      </c>
      <c r="Q21" s="16">
        <f t="shared" si="4"/>
        <v>52.110212200000007</v>
      </c>
      <c r="R21" s="71">
        <f t="shared" si="5"/>
        <v>0</v>
      </c>
      <c r="S21" s="17">
        <f>Q21+R21</f>
        <v>52.110212200000007</v>
      </c>
      <c r="T21" s="71">
        <f t="shared" si="6"/>
        <v>0</v>
      </c>
      <c r="U21" s="217">
        <f t="shared" si="7"/>
        <v>52.110212200000007</v>
      </c>
      <c r="V21" s="219">
        <f t="shared" si="8"/>
        <v>0</v>
      </c>
      <c r="W21" s="619">
        <f>Q21+Q22</f>
        <v>57.907639900000007</v>
      </c>
      <c r="X21" s="610">
        <f>R21+R22</f>
        <v>0</v>
      </c>
      <c r="Y21" s="609">
        <f>W21+X21</f>
        <v>57.907639900000007</v>
      </c>
      <c r="Z21" s="610">
        <f>T21+T22</f>
        <v>0</v>
      </c>
      <c r="AA21" s="609">
        <f>Y21-Z21</f>
        <v>57.907639900000007</v>
      </c>
      <c r="AB21" s="601">
        <f>Z21/Y21</f>
        <v>0</v>
      </c>
    </row>
    <row r="22" spans="2:28">
      <c r="B22" s="631"/>
      <c r="C22" s="594"/>
      <c r="D22" s="31" t="s">
        <v>9</v>
      </c>
      <c r="E22" s="12">
        <f>+Transa_Ltp_pep_Langamarillo!G24</f>
        <v>0.66637100000000005</v>
      </c>
      <c r="F22" s="10">
        <f>+Transa_Ltp_pep_Langamarillo!I24</f>
        <v>0</v>
      </c>
      <c r="G22" s="14">
        <f>E22+F22+I21</f>
        <v>6.66371</v>
      </c>
      <c r="H22" s="10"/>
      <c r="I22" s="13">
        <f t="shared" si="0"/>
        <v>6.66371</v>
      </c>
      <c r="J22" s="269">
        <f t="shared" si="1"/>
        <v>0</v>
      </c>
      <c r="K22" s="12">
        <f>+Transa_Ltp_pep_Langamarillo!H24</f>
        <v>5.1310567000000002</v>
      </c>
      <c r="L22" s="10">
        <f>+Transa_Ltp_pep_Langamarillo!J24</f>
        <v>0</v>
      </c>
      <c r="M22" s="14">
        <f>O21+K22+L22</f>
        <v>51.243929900000005</v>
      </c>
      <c r="N22" s="11"/>
      <c r="O22" s="15">
        <f t="shared" si="2"/>
        <v>51.243929900000005</v>
      </c>
      <c r="P22" s="200">
        <f t="shared" si="3"/>
        <v>0</v>
      </c>
      <c r="Q22" s="16">
        <f t="shared" si="4"/>
        <v>5.7974277000000001</v>
      </c>
      <c r="R22" s="71">
        <f t="shared" si="5"/>
        <v>0</v>
      </c>
      <c r="S22" s="19">
        <f>Q22+R22+U21</f>
        <v>57.907639900000007</v>
      </c>
      <c r="T22" s="71">
        <f t="shared" si="6"/>
        <v>0</v>
      </c>
      <c r="U22" s="72">
        <f t="shared" si="7"/>
        <v>57.907639900000007</v>
      </c>
      <c r="V22" s="20">
        <f t="shared" si="8"/>
        <v>0</v>
      </c>
      <c r="W22" s="596"/>
      <c r="X22" s="598"/>
      <c r="Y22" s="600"/>
      <c r="Z22" s="598"/>
      <c r="AA22" s="600"/>
      <c r="AB22" s="602"/>
    </row>
    <row r="23" spans="2:28">
      <c r="B23" s="631"/>
      <c r="C23" s="594" t="str">
        <f>+Transa_Ltp_pep_Langamarillo!B25</f>
        <v>RUBIO Y MAUAD LTDA.</v>
      </c>
      <c r="D23" s="79" t="s">
        <v>11</v>
      </c>
      <c r="E23" s="12">
        <f>+Transa_Ltp_pep_Langamarillo!G25</f>
        <v>4.431654</v>
      </c>
      <c r="F23" s="10">
        <f>+Transa_Ltp_pep_Langamarillo!I25</f>
        <v>0</v>
      </c>
      <c r="G23" s="193">
        <f>E23+F23</f>
        <v>4.431654</v>
      </c>
      <c r="H23" s="192"/>
      <c r="I23" s="193">
        <f t="shared" ref="I23:I24" si="18">G23-H23</f>
        <v>4.431654</v>
      </c>
      <c r="J23" s="268">
        <f t="shared" ref="J23:J24" si="19">H23/G23</f>
        <v>0</v>
      </c>
      <c r="K23" s="12">
        <f>+Transa_Ltp_pep_Langamarillo!H25</f>
        <v>34.074495200000001</v>
      </c>
      <c r="L23" s="10">
        <f>+Transa_Ltp_pep_Langamarillo!J25</f>
        <v>0</v>
      </c>
      <c r="M23" s="206">
        <f>K23+L23</f>
        <v>34.074495200000001</v>
      </c>
      <c r="N23" s="192"/>
      <c r="O23" s="206">
        <f t="shared" ref="O23:O24" si="20">M23-N23</f>
        <v>34.074495200000001</v>
      </c>
      <c r="P23" s="207">
        <f t="shared" ref="P23:P24" si="21">N23/M23</f>
        <v>0</v>
      </c>
      <c r="Q23" s="216">
        <f t="shared" ref="Q23:Q24" si="22">+E23+K23</f>
        <v>38.506149200000003</v>
      </c>
      <c r="R23" s="217">
        <f t="shared" ref="R23:R24" si="23">F23+L23</f>
        <v>0</v>
      </c>
      <c r="S23" s="218">
        <f>Q23+R23</f>
        <v>38.506149200000003</v>
      </c>
      <c r="T23" s="217">
        <f t="shared" ref="T23:T24" si="24">H23+N23</f>
        <v>0</v>
      </c>
      <c r="U23" s="218">
        <f t="shared" ref="U23:U24" si="25">S23-T23</f>
        <v>38.506149200000003</v>
      </c>
      <c r="V23" s="219">
        <f t="shared" ref="V23:V24" si="26">T23/S23</f>
        <v>0</v>
      </c>
      <c r="W23" s="595">
        <f>Q23+Q24</f>
        <v>42.790081400000005</v>
      </c>
      <c r="X23" s="597">
        <f>R23+R24</f>
        <v>0</v>
      </c>
      <c r="Y23" s="599">
        <f>W23+X23</f>
        <v>42.790081400000005</v>
      </c>
      <c r="Z23" s="597">
        <f>T23+T24</f>
        <v>0</v>
      </c>
      <c r="AA23" s="599">
        <f>Y23-Z23</f>
        <v>42.790081400000005</v>
      </c>
      <c r="AB23" s="601">
        <f>Z23/Y23</f>
        <v>0</v>
      </c>
    </row>
    <row r="24" spans="2:28" ht="18.75" customHeight="1">
      <c r="B24" s="631"/>
      <c r="C24" s="594"/>
      <c r="D24" s="31" t="s">
        <v>9</v>
      </c>
      <c r="E24" s="12">
        <f>+Transa_Ltp_pep_Langamarillo!G26</f>
        <v>0.49240600000000001</v>
      </c>
      <c r="F24" s="10">
        <f>+Transa_Ltp_pep_Langamarillo!I26</f>
        <v>0</v>
      </c>
      <c r="G24" s="14">
        <f>E24+F24+I23</f>
        <v>4.9240599999999999</v>
      </c>
      <c r="H24" s="11"/>
      <c r="I24" s="14">
        <f t="shared" si="18"/>
        <v>4.9240599999999999</v>
      </c>
      <c r="J24" s="269">
        <f t="shared" si="19"/>
        <v>0</v>
      </c>
      <c r="K24" s="12">
        <f>+Transa_Ltp_pep_Langamarillo!H26</f>
        <v>3.7915262000000003</v>
      </c>
      <c r="L24" s="10">
        <f>+Transa_Ltp_pep_Langamarillo!J26</f>
        <v>0</v>
      </c>
      <c r="M24" s="14">
        <f>O23+K24+L24</f>
        <v>37.866021400000001</v>
      </c>
      <c r="N24" s="11"/>
      <c r="O24" s="13">
        <f t="shared" si="20"/>
        <v>37.866021400000001</v>
      </c>
      <c r="P24" s="200">
        <f t="shared" si="21"/>
        <v>0</v>
      </c>
      <c r="Q24" s="18">
        <f t="shared" si="22"/>
        <v>4.2839322000000006</v>
      </c>
      <c r="R24" s="72">
        <f t="shared" si="23"/>
        <v>0</v>
      </c>
      <c r="S24" s="19">
        <f>Q24+R24+U23</f>
        <v>42.790081400000005</v>
      </c>
      <c r="T24" s="72">
        <f t="shared" si="24"/>
        <v>0</v>
      </c>
      <c r="U24" s="17">
        <f t="shared" si="25"/>
        <v>42.790081400000005</v>
      </c>
      <c r="V24" s="20">
        <f t="shared" si="26"/>
        <v>0</v>
      </c>
      <c r="W24" s="596"/>
      <c r="X24" s="598"/>
      <c r="Y24" s="600"/>
      <c r="Z24" s="598"/>
      <c r="AA24" s="600"/>
      <c r="AB24" s="602"/>
    </row>
    <row r="25" spans="2:28">
      <c r="B25" s="631"/>
      <c r="C25" s="594" t="str">
        <f>+Transa_Ltp_pep_Langamarillo!B27</f>
        <v>SUNRISE S.A. PESQ.</v>
      </c>
      <c r="D25" s="79" t="s">
        <v>11</v>
      </c>
      <c r="E25" s="12">
        <f>+Transa_Ltp_pep_Langamarillo!G27</f>
        <v>0</v>
      </c>
      <c r="F25" s="10">
        <f>+Transa_Ltp_pep_Langamarillo!I27</f>
        <v>0</v>
      </c>
      <c r="G25" s="194">
        <f>E25+F25</f>
        <v>0</v>
      </c>
      <c r="H25" s="192"/>
      <c r="I25" s="194">
        <f t="shared" si="0"/>
        <v>0</v>
      </c>
      <c r="J25" s="268" t="str">
        <f>IF(G25&gt;0,H25/G25,"0%")</f>
        <v>0%</v>
      </c>
      <c r="K25" s="12">
        <f>+Transa_Ltp_pep_Langamarillo!H27</f>
        <v>0</v>
      </c>
      <c r="L25" s="10">
        <f>+Transa_Ltp_pep_Langamarillo!J27</f>
        <v>0</v>
      </c>
      <c r="M25" s="209">
        <f>K25+L25</f>
        <v>0</v>
      </c>
      <c r="N25" s="192"/>
      <c r="O25" s="209">
        <f t="shared" si="2"/>
        <v>0</v>
      </c>
      <c r="P25" s="207" t="str">
        <f t="shared" ref="P25:P26" si="27">IF(M25&gt;0,N25/M25,"0%")</f>
        <v>0%</v>
      </c>
      <c r="Q25" s="208">
        <f t="shared" si="4"/>
        <v>0</v>
      </c>
      <c r="R25" s="210">
        <f t="shared" si="5"/>
        <v>0</v>
      </c>
      <c r="S25" s="209">
        <f>Q25+R25</f>
        <v>0</v>
      </c>
      <c r="T25" s="210">
        <f t="shared" si="6"/>
        <v>0</v>
      </c>
      <c r="U25" s="209">
        <f t="shared" si="7"/>
        <v>0</v>
      </c>
      <c r="V25" s="220" t="str">
        <f t="shared" ref="V25:V26" si="28">IF(S25&gt;0,T25/S25,"0%")</f>
        <v>0%</v>
      </c>
      <c r="W25" s="607">
        <f>Q25+Q26</f>
        <v>0</v>
      </c>
      <c r="X25" s="603">
        <f>R25+R26</f>
        <v>0</v>
      </c>
      <c r="Y25" s="603">
        <f>W25+X25</f>
        <v>0</v>
      </c>
      <c r="Z25" s="603">
        <f>T25+T26</f>
        <v>0</v>
      </c>
      <c r="AA25" s="603">
        <f>Y25-Z25</f>
        <v>0</v>
      </c>
      <c r="AB25" s="601" t="str">
        <f t="shared" ref="AB25" si="29">IF(Y25&gt;0,Z25/Y25,"0%")</f>
        <v>0%</v>
      </c>
    </row>
    <row r="26" spans="2:28">
      <c r="B26" s="631"/>
      <c r="C26" s="594"/>
      <c r="D26" s="31" t="s">
        <v>9</v>
      </c>
      <c r="E26" s="12">
        <f>+Transa_Ltp_pep_Langamarillo!G28</f>
        <v>0</v>
      </c>
      <c r="F26" s="10">
        <f>+Transa_Ltp_pep_Langamarillo!I28</f>
        <v>0</v>
      </c>
      <c r="G26" s="142">
        <f>E26+F26+I25</f>
        <v>0</v>
      </c>
      <c r="H26" s="11"/>
      <c r="I26" s="142">
        <f t="shared" si="0"/>
        <v>0</v>
      </c>
      <c r="J26" s="269" t="str">
        <f>IF(G26&gt;0,H26/G26,"0%")</f>
        <v>0%</v>
      </c>
      <c r="K26" s="12">
        <f>+Transa_Ltp_pep_Langamarillo!H28</f>
        <v>0</v>
      </c>
      <c r="L26" s="10">
        <f>+Transa_Ltp_pep_Langamarillo!J28</f>
        <v>0</v>
      </c>
      <c r="M26" s="142">
        <f>O25+K26+L26</f>
        <v>0</v>
      </c>
      <c r="N26" s="11"/>
      <c r="O26" s="143">
        <f t="shared" si="2"/>
        <v>0</v>
      </c>
      <c r="P26" s="200" t="str">
        <f t="shared" si="27"/>
        <v>0%</v>
      </c>
      <c r="Q26" s="140">
        <f t="shared" si="4"/>
        <v>0</v>
      </c>
      <c r="R26" s="141">
        <f t="shared" si="5"/>
        <v>0</v>
      </c>
      <c r="S26" s="142">
        <f>Q26+R26+U25</f>
        <v>0</v>
      </c>
      <c r="T26" s="141">
        <f t="shared" si="6"/>
        <v>0</v>
      </c>
      <c r="U26" s="143">
        <f t="shared" si="7"/>
        <v>0</v>
      </c>
      <c r="V26" s="221" t="str">
        <f t="shared" si="28"/>
        <v>0%</v>
      </c>
      <c r="W26" s="611"/>
      <c r="X26" s="612"/>
      <c r="Y26" s="612"/>
      <c r="Z26" s="612"/>
      <c r="AA26" s="612"/>
      <c r="AB26" s="602"/>
    </row>
    <row r="27" spans="2:28" ht="15.6" customHeight="1">
      <c r="B27" s="631"/>
      <c r="C27" s="594" t="str">
        <f>+Transa_Ltp_pep_Langamarillo!B29</f>
        <v>ENFEMAR LTDA. SOC. PESQ.</v>
      </c>
      <c r="D27" s="79" t="s">
        <v>11</v>
      </c>
      <c r="E27" s="12">
        <f>+Transa_Ltp_pep_Langamarillo!G29</f>
        <v>7.2909000000000002E-2</v>
      </c>
      <c r="F27" s="10">
        <f>+Transa_Ltp_pep_Langamarillo!I29</f>
        <v>0</v>
      </c>
      <c r="G27" s="193">
        <f>E27+F27</f>
        <v>7.2909000000000002E-2</v>
      </c>
      <c r="H27" s="192"/>
      <c r="I27" s="193">
        <f t="shared" ref="I27:I30" si="30">G27-H27</f>
        <v>7.2909000000000002E-2</v>
      </c>
      <c r="J27" s="268">
        <f t="shared" ref="J27:J30" si="31">H27/G27</f>
        <v>0</v>
      </c>
      <c r="K27" s="12">
        <f>+Transa_Ltp_pep_Langamarillo!H29</f>
        <v>0.56058920000000001</v>
      </c>
      <c r="L27" s="10">
        <f>+Transa_Ltp_pep_Langamarillo!J29</f>
        <v>0</v>
      </c>
      <c r="M27" s="206">
        <f>K27+L27</f>
        <v>0.56058920000000001</v>
      </c>
      <c r="N27" s="192"/>
      <c r="O27" s="206">
        <f t="shared" ref="O27:O30" si="32">M27-N27</f>
        <v>0.56058920000000001</v>
      </c>
      <c r="P27" s="207">
        <f t="shared" ref="P27:P30" si="33">N27/M27</f>
        <v>0</v>
      </c>
      <c r="Q27" s="216">
        <f t="shared" ref="Q27:Q30" si="34">+E27+K27</f>
        <v>0.63349820000000001</v>
      </c>
      <c r="R27" s="217">
        <f t="shared" ref="R27:R30" si="35">F27+L27</f>
        <v>0</v>
      </c>
      <c r="S27" s="218">
        <f>Q27+R27</f>
        <v>0.63349820000000001</v>
      </c>
      <c r="T27" s="217">
        <f t="shared" ref="T27:T30" si="36">H27+N27</f>
        <v>0</v>
      </c>
      <c r="U27" s="218">
        <f t="shared" ref="U27:U30" si="37">S27-T27</f>
        <v>0.63349820000000001</v>
      </c>
      <c r="V27" s="219">
        <f t="shared" ref="V27:V30" si="38">T27/S27</f>
        <v>0</v>
      </c>
      <c r="W27" s="595">
        <f>Q27+Q28</f>
        <v>0.70397690000000002</v>
      </c>
      <c r="X27" s="597">
        <f>R27+R28</f>
        <v>0</v>
      </c>
      <c r="Y27" s="599">
        <f>W27+X27</f>
        <v>0.70397690000000002</v>
      </c>
      <c r="Z27" s="597">
        <f>T27+T28</f>
        <v>0</v>
      </c>
      <c r="AA27" s="599">
        <f>Y27-Z27</f>
        <v>0.70397690000000002</v>
      </c>
      <c r="AB27" s="601">
        <f>Z27/Y27</f>
        <v>0</v>
      </c>
    </row>
    <row r="28" spans="2:28">
      <c r="B28" s="631"/>
      <c r="C28" s="594"/>
      <c r="D28" s="31" t="s">
        <v>9</v>
      </c>
      <c r="E28" s="12">
        <f>+Transa_Ltp_pep_Langamarillo!G30</f>
        <v>8.1010000000000006E-3</v>
      </c>
      <c r="F28" s="10">
        <f>+Transa_Ltp_pep_Langamarillo!I30</f>
        <v>0</v>
      </c>
      <c r="G28" s="14">
        <f>E28+F28+I27</f>
        <v>8.1009999999999999E-2</v>
      </c>
      <c r="H28" s="11"/>
      <c r="I28" s="14">
        <f t="shared" si="30"/>
        <v>8.1009999999999999E-2</v>
      </c>
      <c r="J28" s="269">
        <f t="shared" si="31"/>
        <v>0</v>
      </c>
      <c r="K28" s="12">
        <f>+Transa_Ltp_pep_Langamarillo!H30</f>
        <v>6.2377700000000001E-2</v>
      </c>
      <c r="L28" s="10">
        <f>+Transa_Ltp_pep_Langamarillo!J30</f>
        <v>0</v>
      </c>
      <c r="M28" s="14">
        <f>O27+K28+L28</f>
        <v>0.62296689999999999</v>
      </c>
      <c r="N28" s="11"/>
      <c r="O28" s="13">
        <f t="shared" si="32"/>
        <v>0.62296689999999999</v>
      </c>
      <c r="P28" s="200">
        <f t="shared" si="33"/>
        <v>0</v>
      </c>
      <c r="Q28" s="18">
        <f t="shared" si="34"/>
        <v>7.0478700000000005E-2</v>
      </c>
      <c r="R28" s="72">
        <f t="shared" si="35"/>
        <v>0</v>
      </c>
      <c r="S28" s="19">
        <f>Q28+R28+U27</f>
        <v>0.70397690000000002</v>
      </c>
      <c r="T28" s="72">
        <f t="shared" si="36"/>
        <v>0</v>
      </c>
      <c r="U28" s="17">
        <f t="shared" si="37"/>
        <v>0.70397690000000002</v>
      </c>
      <c r="V28" s="20">
        <f t="shared" si="38"/>
        <v>0</v>
      </c>
      <c r="W28" s="596"/>
      <c r="X28" s="598"/>
      <c r="Y28" s="600"/>
      <c r="Z28" s="598"/>
      <c r="AA28" s="600"/>
      <c r="AB28" s="602"/>
    </row>
    <row r="29" spans="2:28">
      <c r="B29" s="631"/>
      <c r="C29" s="594" t="str">
        <f>+Transa_Ltp_pep_Langamarillo!B31</f>
        <v>ALIMENTOS ALSAN LTDA</v>
      </c>
      <c r="D29" s="222" t="s">
        <v>11</v>
      </c>
      <c r="E29" s="12">
        <f>+Transa_Ltp_pep_Langamarillo!G31</f>
        <v>1.89E-2</v>
      </c>
      <c r="F29" s="10">
        <f>+Transa_Ltp_pep_Langamarillo!I31</f>
        <v>0</v>
      </c>
      <c r="G29" s="194">
        <f>E29+F29</f>
        <v>1.89E-2</v>
      </c>
      <c r="H29" s="192"/>
      <c r="I29" s="194">
        <f t="shared" si="30"/>
        <v>1.89E-2</v>
      </c>
      <c r="J29" s="268">
        <f t="shared" si="31"/>
        <v>0</v>
      </c>
      <c r="K29" s="12">
        <f>+Transa_Ltp_pep_Langamarillo!H31</f>
        <v>0.14532</v>
      </c>
      <c r="L29" s="10">
        <f>+Transa_Ltp_pep_Langamarillo!J31</f>
        <v>0</v>
      </c>
      <c r="M29" s="209">
        <f>K29+L29</f>
        <v>0.14532</v>
      </c>
      <c r="N29" s="192"/>
      <c r="O29" s="209">
        <f t="shared" si="32"/>
        <v>0.14532</v>
      </c>
      <c r="P29" s="224">
        <f t="shared" si="33"/>
        <v>0</v>
      </c>
      <c r="Q29" s="208">
        <f t="shared" si="34"/>
        <v>0.16422</v>
      </c>
      <c r="R29" s="210">
        <f t="shared" si="35"/>
        <v>0</v>
      </c>
      <c r="S29" s="209">
        <f>Q29+R29</f>
        <v>0.16422</v>
      </c>
      <c r="T29" s="210">
        <f t="shared" si="36"/>
        <v>0</v>
      </c>
      <c r="U29" s="209">
        <f t="shared" si="37"/>
        <v>0.16422</v>
      </c>
      <c r="V29" s="225">
        <f t="shared" si="38"/>
        <v>0</v>
      </c>
      <c r="W29" s="607">
        <f>Q29+Q30</f>
        <v>0.18249000000000001</v>
      </c>
      <c r="X29" s="603">
        <f>R29+R30</f>
        <v>0</v>
      </c>
      <c r="Y29" s="603">
        <f>W29+X29</f>
        <v>0.18249000000000001</v>
      </c>
      <c r="Z29" s="603">
        <f>T29+T30</f>
        <v>0</v>
      </c>
      <c r="AA29" s="603">
        <f>Y29-Z29</f>
        <v>0.18249000000000001</v>
      </c>
      <c r="AB29" s="605">
        <f>Z29/Y29</f>
        <v>0</v>
      </c>
    </row>
    <row r="30" spans="2:28">
      <c r="B30" s="631"/>
      <c r="C30" s="594"/>
      <c r="D30" s="226" t="s">
        <v>9</v>
      </c>
      <c r="E30" s="12">
        <f>+Transa_Ltp_pep_Langamarillo!G32</f>
        <v>2.1000000000000003E-3</v>
      </c>
      <c r="F30" s="10">
        <f>+Transa_Ltp_pep_Langamarillo!I32</f>
        <v>0</v>
      </c>
      <c r="G30" s="143">
        <f>E30+F30+I29</f>
        <v>2.1000000000000001E-2</v>
      </c>
      <c r="H30" s="10"/>
      <c r="I30" s="143">
        <f t="shared" si="30"/>
        <v>2.1000000000000001E-2</v>
      </c>
      <c r="J30" s="269">
        <f t="shared" si="31"/>
        <v>0</v>
      </c>
      <c r="K30" s="12">
        <f>+Transa_Ltp_pep_Langamarillo!H32</f>
        <v>1.617E-2</v>
      </c>
      <c r="L30" s="10">
        <f>+Transa_Ltp_pep_Langamarillo!J32</f>
        <v>0</v>
      </c>
      <c r="M30" s="143">
        <f>O29+K30+L30</f>
        <v>0.16148999999999999</v>
      </c>
      <c r="N30" s="10"/>
      <c r="O30" s="143">
        <f t="shared" si="32"/>
        <v>0.16148999999999999</v>
      </c>
      <c r="P30" s="228">
        <f t="shared" si="33"/>
        <v>0</v>
      </c>
      <c r="Q30" s="227">
        <f t="shared" si="34"/>
        <v>1.8270000000000002E-2</v>
      </c>
      <c r="R30" s="223">
        <f t="shared" si="35"/>
        <v>0</v>
      </c>
      <c r="S30" s="143">
        <f>Q30+R30+U29</f>
        <v>0.18249000000000001</v>
      </c>
      <c r="T30" s="223">
        <f t="shared" si="36"/>
        <v>0</v>
      </c>
      <c r="U30" s="143">
        <f t="shared" si="37"/>
        <v>0.18249000000000001</v>
      </c>
      <c r="V30" s="229">
        <f t="shared" si="38"/>
        <v>0</v>
      </c>
      <c r="W30" s="608"/>
      <c r="X30" s="604"/>
      <c r="Y30" s="604"/>
      <c r="Z30" s="604"/>
      <c r="AA30" s="604"/>
      <c r="AB30" s="606"/>
    </row>
    <row r="31" spans="2:28" ht="14.4" customHeight="1">
      <c r="B31" s="631"/>
      <c r="C31" s="594" t="str">
        <f>+Transa_Ltp_pep_Langamarillo!B33</f>
        <v>SOC. DISTRIBUIDORA DE PRODUCTOS DEL MAR LTDA.</v>
      </c>
      <c r="D31" s="79" t="s">
        <v>11</v>
      </c>
      <c r="E31" s="12">
        <f>+Transa_Ltp_pep_Langamarillo!G33</f>
        <v>0</v>
      </c>
      <c r="F31" s="10">
        <f>+Transa_Ltp_pep_Langamarillo!I33</f>
        <v>0</v>
      </c>
      <c r="G31" s="193">
        <f>E31+F31</f>
        <v>0</v>
      </c>
      <c r="H31" s="192"/>
      <c r="I31" s="193">
        <f t="shared" si="0"/>
        <v>0</v>
      </c>
      <c r="J31" s="268" t="str">
        <f>IF(G26&gt;0,H26/G26,"0%")</f>
        <v>0%</v>
      </c>
      <c r="K31" s="12">
        <f>+Transa_Ltp_pep_Langamarillo!H33</f>
        <v>0</v>
      </c>
      <c r="L31" s="10">
        <f>+Transa_Ltp_pep_Langamarillo!J33</f>
        <v>0</v>
      </c>
      <c r="M31" s="206">
        <f>K31+L31</f>
        <v>0</v>
      </c>
      <c r="N31" s="192"/>
      <c r="O31" s="206">
        <f t="shared" si="2"/>
        <v>0</v>
      </c>
      <c r="P31" s="207" t="str">
        <f t="shared" ref="P31:P32" si="39">IF(M31&gt;0,N31/M31,"0%")</f>
        <v>0%</v>
      </c>
      <c r="Q31" s="216">
        <f t="shared" si="4"/>
        <v>0</v>
      </c>
      <c r="R31" s="217">
        <f t="shared" si="5"/>
        <v>0</v>
      </c>
      <c r="S31" s="218">
        <f>Q31+R31</f>
        <v>0</v>
      </c>
      <c r="T31" s="217">
        <f t="shared" si="6"/>
        <v>0</v>
      </c>
      <c r="U31" s="218">
        <f t="shared" si="7"/>
        <v>0</v>
      </c>
      <c r="V31" s="219">
        <v>0</v>
      </c>
      <c r="W31" s="595">
        <f>Q31+Q32</f>
        <v>0</v>
      </c>
      <c r="X31" s="597">
        <f>R31+R32</f>
        <v>0</v>
      </c>
      <c r="Y31" s="599">
        <f>W31+X31</f>
        <v>0</v>
      </c>
      <c r="Z31" s="597">
        <f>T31+T32</f>
        <v>0</v>
      </c>
      <c r="AA31" s="599">
        <f>Y31-Z31</f>
        <v>0</v>
      </c>
      <c r="AB31" s="601" t="str">
        <f t="shared" ref="AB31" si="40">IF(Y31&gt;0,Z31/Y31,"0%")</f>
        <v>0%</v>
      </c>
    </row>
    <row r="32" spans="2:28" ht="18.75" customHeight="1">
      <c r="B32" s="631"/>
      <c r="C32" s="594"/>
      <c r="D32" s="31" t="s">
        <v>9</v>
      </c>
      <c r="E32" s="12">
        <f>+Transa_Ltp_pep_Langamarillo!G34</f>
        <v>0</v>
      </c>
      <c r="F32" s="10">
        <f>+Transa_Ltp_pep_Langamarillo!I34</f>
        <v>0</v>
      </c>
      <c r="G32" s="14">
        <f>E32+F32+I31</f>
        <v>0</v>
      </c>
      <c r="H32" s="11"/>
      <c r="I32" s="14">
        <f t="shared" si="0"/>
        <v>0</v>
      </c>
      <c r="J32" s="269" t="str">
        <f>IF(G32&gt;0,H32/G32,"0%")</f>
        <v>0%</v>
      </c>
      <c r="K32" s="12">
        <f>+Transa_Ltp_pep_Langamarillo!H34</f>
        <v>0</v>
      </c>
      <c r="L32" s="10">
        <f>+Transa_Ltp_pep_Langamarillo!J34</f>
        <v>0</v>
      </c>
      <c r="M32" s="14">
        <f>O31+K32+L32</f>
        <v>0</v>
      </c>
      <c r="N32" s="11"/>
      <c r="O32" s="13">
        <f t="shared" si="2"/>
        <v>0</v>
      </c>
      <c r="P32" s="200" t="str">
        <f t="shared" si="39"/>
        <v>0%</v>
      </c>
      <c r="Q32" s="18">
        <f t="shared" si="4"/>
        <v>0</v>
      </c>
      <c r="R32" s="72">
        <f t="shared" si="5"/>
        <v>0</v>
      </c>
      <c r="S32" s="19">
        <f>Q32+R32+U31</f>
        <v>0</v>
      </c>
      <c r="T32" s="72">
        <f t="shared" si="6"/>
        <v>0</v>
      </c>
      <c r="U32" s="17">
        <f t="shared" si="7"/>
        <v>0</v>
      </c>
      <c r="V32" s="20">
        <v>0</v>
      </c>
      <c r="W32" s="596"/>
      <c r="X32" s="598"/>
      <c r="Y32" s="600"/>
      <c r="Z32" s="598"/>
      <c r="AA32" s="600"/>
      <c r="AB32" s="602"/>
    </row>
    <row r="33" spans="2:33" ht="15.6" customHeight="1">
      <c r="B33" s="631"/>
      <c r="C33" s="594" t="str">
        <f>+Transa_Ltp_pep_Langamarillo!B35</f>
        <v>DA VENEZIA RETAMALES ANTONIO</v>
      </c>
      <c r="D33" s="79" t="s">
        <v>11</v>
      </c>
      <c r="E33" s="12">
        <f>+Transa_Ltp_pep_Langamarillo!G35</f>
        <v>0</v>
      </c>
      <c r="F33" s="10">
        <f>+Transa_Ltp_pep_Langamarillo!I35</f>
        <v>0</v>
      </c>
      <c r="G33" s="194">
        <f>E33+F33</f>
        <v>0</v>
      </c>
      <c r="H33" s="192"/>
      <c r="I33" s="194">
        <f t="shared" si="0"/>
        <v>0</v>
      </c>
      <c r="J33" s="268" t="str">
        <f t="shared" ref="J33:J34" si="41">IF(G33&gt;0,H33/G33,"0%")</f>
        <v>0%</v>
      </c>
      <c r="K33" s="12">
        <f>+Transa_Ltp_pep_Langamarillo!H35</f>
        <v>0</v>
      </c>
      <c r="L33" s="10">
        <f>+Transa_Ltp_pep_Langamarillo!J35</f>
        <v>0</v>
      </c>
      <c r="M33" s="209">
        <f>K33+L33</f>
        <v>0</v>
      </c>
      <c r="N33" s="192"/>
      <c r="O33" s="209">
        <f t="shared" si="2"/>
        <v>0</v>
      </c>
      <c r="P33" s="207" t="str">
        <f t="shared" ref="P33:P34" si="42">IF(M33&gt;0,N33/M33,"0%")</f>
        <v>0%</v>
      </c>
      <c r="Q33" s="208">
        <f t="shared" si="4"/>
        <v>0</v>
      </c>
      <c r="R33" s="210">
        <f t="shared" si="5"/>
        <v>0</v>
      </c>
      <c r="S33" s="209">
        <f>Q33+R33</f>
        <v>0</v>
      </c>
      <c r="T33" s="210">
        <f t="shared" si="6"/>
        <v>0</v>
      </c>
      <c r="U33" s="209">
        <f t="shared" si="7"/>
        <v>0</v>
      </c>
      <c r="V33" s="220" t="str">
        <f t="shared" ref="V33:V34" si="43">IF(S33&gt;0,T33/S33,"0%")</f>
        <v>0%</v>
      </c>
      <c r="W33" s="607">
        <f>Q33+Q34</f>
        <v>0</v>
      </c>
      <c r="X33" s="603">
        <f>R33+R34</f>
        <v>0</v>
      </c>
      <c r="Y33" s="603">
        <f>W33+X33</f>
        <v>0</v>
      </c>
      <c r="Z33" s="603">
        <f>T33+T34</f>
        <v>0</v>
      </c>
      <c r="AA33" s="603">
        <f>Y33-Z33</f>
        <v>0</v>
      </c>
      <c r="AB33" s="601" t="str">
        <f t="shared" ref="AB33" si="44">IF(Y33&gt;0,Z33/Y33,"0%")</f>
        <v>0%</v>
      </c>
    </row>
    <row r="34" spans="2:33">
      <c r="B34" s="631"/>
      <c r="C34" s="594"/>
      <c r="D34" s="31" t="s">
        <v>9</v>
      </c>
      <c r="E34" s="12">
        <f>+Transa_Ltp_pep_Langamarillo!G36</f>
        <v>0</v>
      </c>
      <c r="F34" s="10">
        <f>+Transa_Ltp_pep_Langamarillo!I36</f>
        <v>0</v>
      </c>
      <c r="G34" s="142">
        <f>E34+F34+I33</f>
        <v>0</v>
      </c>
      <c r="H34" s="11"/>
      <c r="I34" s="142">
        <f t="shared" si="0"/>
        <v>0</v>
      </c>
      <c r="J34" s="269" t="str">
        <f t="shared" si="41"/>
        <v>0%</v>
      </c>
      <c r="K34" s="12">
        <f>+Transa_Ltp_pep_Langamarillo!H36</f>
        <v>0</v>
      </c>
      <c r="L34" s="10">
        <f>+Transa_Ltp_pep_Langamarillo!J36</f>
        <v>0</v>
      </c>
      <c r="M34" s="142">
        <f>O33+K34+L34</f>
        <v>0</v>
      </c>
      <c r="N34" s="11"/>
      <c r="O34" s="143">
        <f t="shared" si="2"/>
        <v>0</v>
      </c>
      <c r="P34" s="200" t="str">
        <f t="shared" si="42"/>
        <v>0%</v>
      </c>
      <c r="Q34" s="140">
        <f t="shared" si="4"/>
        <v>0</v>
      </c>
      <c r="R34" s="141">
        <f t="shared" si="5"/>
        <v>0</v>
      </c>
      <c r="S34" s="142">
        <f>Q34+R34+U33</f>
        <v>0</v>
      </c>
      <c r="T34" s="141">
        <f t="shared" si="6"/>
        <v>0</v>
      </c>
      <c r="U34" s="143">
        <f t="shared" si="7"/>
        <v>0</v>
      </c>
      <c r="V34" s="221" t="str">
        <f t="shared" si="43"/>
        <v>0%</v>
      </c>
      <c r="W34" s="611"/>
      <c r="X34" s="612"/>
      <c r="Y34" s="612"/>
      <c r="Z34" s="612"/>
      <c r="AA34" s="612"/>
      <c r="AB34" s="602"/>
    </row>
    <row r="35" spans="2:33">
      <c r="B35" s="631"/>
      <c r="C35" s="594" t="str">
        <f>+Transa_Ltp_pep_Langamarillo!B37</f>
        <v>NICANOR GONZALEZ VEGA</v>
      </c>
      <c r="D35" s="79" t="s">
        <v>11</v>
      </c>
      <c r="E35" s="12">
        <f>+Transa_Ltp_pep_Langamarillo!G37</f>
        <v>1.5111270000000001</v>
      </c>
      <c r="F35" s="10">
        <f>+Transa_Ltp_pep_Langamarillo!I37</f>
        <v>0</v>
      </c>
      <c r="G35" s="193">
        <f>E35+F35</f>
        <v>1.5111270000000001</v>
      </c>
      <c r="H35" s="192"/>
      <c r="I35" s="193">
        <f t="shared" si="0"/>
        <v>1.5111270000000001</v>
      </c>
      <c r="J35" s="268">
        <f t="shared" si="1"/>
        <v>0</v>
      </c>
      <c r="K35" s="12">
        <f>+Transa_Ltp_pep_Langamarillo!H37</f>
        <v>11.618887600000001</v>
      </c>
      <c r="L35" s="10">
        <f>+Transa_Ltp_pep_Langamarillo!J37</f>
        <v>0</v>
      </c>
      <c r="M35" s="206">
        <f>K35+L35</f>
        <v>11.618887600000001</v>
      </c>
      <c r="N35" s="192"/>
      <c r="O35" s="206">
        <f t="shared" si="2"/>
        <v>11.618887600000001</v>
      </c>
      <c r="P35" s="207">
        <f t="shared" si="3"/>
        <v>0</v>
      </c>
      <c r="Q35" s="216">
        <f t="shared" si="4"/>
        <v>13.130014600000001</v>
      </c>
      <c r="R35" s="217">
        <f t="shared" si="5"/>
        <v>0</v>
      </c>
      <c r="S35" s="218">
        <f>Q35+R35</f>
        <v>13.130014600000001</v>
      </c>
      <c r="T35" s="217">
        <f t="shared" si="6"/>
        <v>0</v>
      </c>
      <c r="U35" s="218">
        <f t="shared" si="7"/>
        <v>13.130014600000001</v>
      </c>
      <c r="V35" s="219">
        <f t="shared" si="8"/>
        <v>0</v>
      </c>
      <c r="W35" s="595">
        <f>Q35+Q36</f>
        <v>14.5907707</v>
      </c>
      <c r="X35" s="597">
        <f>R35+R36</f>
        <v>0</v>
      </c>
      <c r="Y35" s="599">
        <f>W35+X35</f>
        <v>14.5907707</v>
      </c>
      <c r="Z35" s="597">
        <f>T35+T36</f>
        <v>0</v>
      </c>
      <c r="AA35" s="599">
        <f>Y35-Z35</f>
        <v>14.5907707</v>
      </c>
      <c r="AB35" s="601">
        <f>Z35/Y35</f>
        <v>0</v>
      </c>
    </row>
    <row r="36" spans="2:33" ht="15" thickBot="1">
      <c r="B36" s="631"/>
      <c r="C36" s="654"/>
      <c r="D36" s="264" t="s">
        <v>9</v>
      </c>
      <c r="E36" s="12">
        <f>+Transa_Ltp_pep_Langamarillo!G38</f>
        <v>0.16790300000000002</v>
      </c>
      <c r="F36" s="10">
        <f>+Transa_Ltp_pep_Langamarillo!I38</f>
        <v>0</v>
      </c>
      <c r="G36" s="13">
        <f>E36+F36+I35</f>
        <v>1.67903</v>
      </c>
      <c r="H36" s="10"/>
      <c r="I36" s="13">
        <f t="shared" si="0"/>
        <v>1.67903</v>
      </c>
      <c r="J36" s="270">
        <f t="shared" si="1"/>
        <v>0</v>
      </c>
      <c r="K36" s="12">
        <f>+Transa_Ltp_pep_Langamarillo!H38</f>
        <v>1.2928531000000001</v>
      </c>
      <c r="L36" s="10">
        <f>+Transa_Ltp_pep_Langamarillo!J38</f>
        <v>0</v>
      </c>
      <c r="M36" s="13">
        <f>O35+K36+L36</f>
        <v>12.911740700000001</v>
      </c>
      <c r="N36" s="10"/>
      <c r="O36" s="13">
        <f t="shared" si="2"/>
        <v>12.911740700000001</v>
      </c>
      <c r="P36" s="195">
        <f t="shared" si="3"/>
        <v>0</v>
      </c>
      <c r="Q36" s="16">
        <f t="shared" si="4"/>
        <v>1.4607561000000002</v>
      </c>
      <c r="R36" s="71">
        <f t="shared" si="5"/>
        <v>0</v>
      </c>
      <c r="S36" s="17">
        <f>Q36+R36+U35</f>
        <v>14.5907707</v>
      </c>
      <c r="T36" s="71">
        <f t="shared" si="6"/>
        <v>0</v>
      </c>
      <c r="U36" s="17">
        <f t="shared" si="7"/>
        <v>14.5907707</v>
      </c>
      <c r="V36" s="265">
        <f t="shared" si="8"/>
        <v>0</v>
      </c>
      <c r="W36" s="619"/>
      <c r="X36" s="610"/>
      <c r="Y36" s="609"/>
      <c r="Z36" s="610"/>
      <c r="AA36" s="609"/>
      <c r="AB36" s="655"/>
    </row>
    <row r="37" spans="2:33" s="428" customFormat="1">
      <c r="B37" s="632"/>
      <c r="C37" s="656" t="s">
        <v>108</v>
      </c>
      <c r="D37" s="138" t="s">
        <v>11</v>
      </c>
      <c r="E37" s="169">
        <f t="shared" ref="E37:H38" si="45">+E7+E9+E11+E13+E15+E17+E19+E21+E23+E25+E27+E29+E31+E33+E35</f>
        <v>89.99999099999998</v>
      </c>
      <c r="F37" s="74">
        <f t="shared" si="45"/>
        <v>0</v>
      </c>
      <c r="G37" s="74">
        <f t="shared" si="45"/>
        <v>89.99999099999998</v>
      </c>
      <c r="H37" s="170">
        <f t="shared" si="45"/>
        <v>0</v>
      </c>
      <c r="I37" s="74">
        <f>G37-H37</f>
        <v>89.99999099999998</v>
      </c>
      <c r="J37" s="76">
        <f t="shared" si="1"/>
        <v>0</v>
      </c>
      <c r="K37" s="169">
        <f>+K7+K9+K11+K13+K15+K17+K19+K21+K23+K25+K27+K29+K31+K33+K35</f>
        <v>691.99993079999979</v>
      </c>
      <c r="L37" s="74">
        <f>+L7+L9+L11+L13+L15+L17+L19+L21+L23+L25+L27+L29+L31+L33+L35</f>
        <v>87.843000000000004</v>
      </c>
      <c r="M37" s="74">
        <f>+K37+L37</f>
        <v>779.84293079999975</v>
      </c>
      <c r="N37" s="170">
        <f>+N7+N9+N11+N13+N15+N17+N19+N21+N23+N25+N27+N29+N31+N33+N35</f>
        <v>116.084</v>
      </c>
      <c r="O37" s="74">
        <f>M37-N37</f>
        <v>663.75893079999969</v>
      </c>
      <c r="P37" s="244">
        <f t="shared" si="3"/>
        <v>0.14885561619557869</v>
      </c>
      <c r="Q37" s="169">
        <f>+Q7+Q9+Q11+Q13+Q15+Q17+Q19+Q21+Q23+Q25+Q27+Q29+Q31+Q33+Q35</f>
        <v>781.99992179999981</v>
      </c>
      <c r="R37" s="74">
        <f>+R7+R9+R11+R13+R15+R17+R19+R21+R23+R25+R27+R29+R31+R33+R35</f>
        <v>87.843000000000004</v>
      </c>
      <c r="S37" s="74">
        <f>+Q37+R37</f>
        <v>869.84292179999977</v>
      </c>
      <c r="T37" s="74">
        <f>+T7+T9+T11+T13+T15+T17+T19+T21+T23+T25+T27+T29+T31+T33+T35</f>
        <v>116.084</v>
      </c>
      <c r="U37" s="75">
        <f t="shared" si="7"/>
        <v>753.75892179999983</v>
      </c>
      <c r="V37" s="244">
        <f t="shared" si="8"/>
        <v>0.13345398012756471</v>
      </c>
      <c r="W37" s="646">
        <f>SUM(W7:W36)</f>
        <v>868.99991310000007</v>
      </c>
      <c r="X37" s="646">
        <f>SUM(X7:X36)</f>
        <v>87.843000000000004</v>
      </c>
      <c r="Y37" s="648">
        <f>+W37+X37</f>
        <v>956.84291310000003</v>
      </c>
      <c r="Z37" s="646">
        <f>SUM(Z7:Z36)</f>
        <v>116.084</v>
      </c>
      <c r="AA37" s="650">
        <f>Y37-Z37</f>
        <v>840.75891309999997</v>
      </c>
      <c r="AB37" s="652">
        <f>Z37/Y37</f>
        <v>0.12131980956404703</v>
      </c>
      <c r="AG37" s="432"/>
    </row>
    <row r="38" spans="2:33" s="428" customFormat="1" ht="15" thickBot="1">
      <c r="B38" s="633"/>
      <c r="C38" s="657"/>
      <c r="D38" s="139" t="s">
        <v>9</v>
      </c>
      <c r="E38" s="171">
        <f t="shared" si="45"/>
        <v>9.9999990000000025</v>
      </c>
      <c r="F38" s="172">
        <f t="shared" si="45"/>
        <v>0</v>
      </c>
      <c r="G38" s="172">
        <f t="shared" si="45"/>
        <v>99.999989999999983</v>
      </c>
      <c r="H38" s="172">
        <f t="shared" si="45"/>
        <v>0</v>
      </c>
      <c r="I38" s="172">
        <f>G38-H38</f>
        <v>99.999989999999983</v>
      </c>
      <c r="J38" s="77">
        <f t="shared" ref="J38" si="46">H38/G38</f>
        <v>0</v>
      </c>
      <c r="K38" s="171">
        <f>+K8+K10+K12+K14+K16+K18+K20+K22+K24+K26+K28+K30+K32+K34+K36</f>
        <v>76.999992300000002</v>
      </c>
      <c r="L38" s="172">
        <f>+L8+L10+L12+L14+L16+L18+L20+L22+L24+L26+L28+L30+L32+L34+L36</f>
        <v>0</v>
      </c>
      <c r="M38" s="172">
        <f>+K38+L38+O37</f>
        <v>740.75892309999972</v>
      </c>
      <c r="N38" s="235">
        <f>+N8+N10+N12+N14+N16+N18+N20+N22+N24+N26+N28+N30+N32+N34+N36</f>
        <v>0</v>
      </c>
      <c r="O38" s="172">
        <f>M38-N38</f>
        <v>740.75892309999972</v>
      </c>
      <c r="P38" s="211">
        <f t="shared" si="3"/>
        <v>0</v>
      </c>
      <c r="Q38" s="171">
        <f>+Q8+Q10+Q12+Q14+Q16+Q18+Q20+Q22+Q24+Q26+Q28+Q30+Q32+Q34+Q36</f>
        <v>86.999991299999976</v>
      </c>
      <c r="R38" s="172">
        <f>+R8+R10+R12+R14+R16+R18+R20+R22+R24+R26+R28+R30+R32+R34+R36</f>
        <v>0</v>
      </c>
      <c r="S38" s="172">
        <f>+Q38+R38+U37</f>
        <v>840.75891309999975</v>
      </c>
      <c r="T38" s="235">
        <f>+T8+T10+T12+T14+T16+T18+T20+T22+T24+T26+T28+T30+T32+T34+T36</f>
        <v>0</v>
      </c>
      <c r="U38" s="173">
        <f t="shared" si="7"/>
        <v>840.75891309999975</v>
      </c>
      <c r="V38" s="211">
        <f t="shared" si="8"/>
        <v>0</v>
      </c>
      <c r="W38" s="647"/>
      <c r="X38" s="647"/>
      <c r="Y38" s="649"/>
      <c r="Z38" s="647"/>
      <c r="AA38" s="651"/>
      <c r="AB38" s="653"/>
      <c r="AG38" s="432"/>
    </row>
    <row r="40" spans="2:33">
      <c r="N40" s="431">
        <f>+N38-N24</f>
        <v>0</v>
      </c>
    </row>
  </sheetData>
  <mergeCells count="122">
    <mergeCell ref="C35:C36"/>
    <mergeCell ref="Z29:Z30"/>
    <mergeCell ref="W35:W36"/>
    <mergeCell ref="X35:X36"/>
    <mergeCell ref="Y35:Y36"/>
    <mergeCell ref="Z35:Z36"/>
    <mergeCell ref="AA35:AA36"/>
    <mergeCell ref="AB35:AB36"/>
    <mergeCell ref="C37:C38"/>
    <mergeCell ref="AA33:AA34"/>
    <mergeCell ref="AB33:AB34"/>
    <mergeCell ref="B7:B38"/>
    <mergeCell ref="B2:AB2"/>
    <mergeCell ref="B3:AB3"/>
    <mergeCell ref="D5:D6"/>
    <mergeCell ref="C5:C6"/>
    <mergeCell ref="B5:B6"/>
    <mergeCell ref="W37:W38"/>
    <mergeCell ref="X37:X38"/>
    <mergeCell ref="Y37:Y38"/>
    <mergeCell ref="Z37:Z38"/>
    <mergeCell ref="AA37:AA38"/>
    <mergeCell ref="AB37:AB38"/>
    <mergeCell ref="C33:C34"/>
    <mergeCell ref="Z31:Z32"/>
    <mergeCell ref="AA31:AA32"/>
    <mergeCell ref="AB31:AB32"/>
    <mergeCell ref="C31:C32"/>
    <mergeCell ref="W31:W32"/>
    <mergeCell ref="X31:X32"/>
    <mergeCell ref="Y31:Y32"/>
    <mergeCell ref="W33:W34"/>
    <mergeCell ref="X33:X34"/>
    <mergeCell ref="Y33:Y34"/>
    <mergeCell ref="Z33:Z34"/>
    <mergeCell ref="E5:J5"/>
    <mergeCell ref="K5:P5"/>
    <mergeCell ref="W21:W22"/>
    <mergeCell ref="X21:X22"/>
    <mergeCell ref="Y21:Y22"/>
    <mergeCell ref="W5:AB5"/>
    <mergeCell ref="C7:C8"/>
    <mergeCell ref="C23:C24"/>
    <mergeCell ref="C19:C20"/>
    <mergeCell ref="Z7:Z8"/>
    <mergeCell ref="AA7:AA8"/>
    <mergeCell ref="AB7:AB8"/>
    <mergeCell ref="W23:W24"/>
    <mergeCell ref="X23:X24"/>
    <mergeCell ref="Y23:Y24"/>
    <mergeCell ref="Q5:V5"/>
    <mergeCell ref="Z23:Z24"/>
    <mergeCell ref="AA23:AA24"/>
    <mergeCell ref="AB23:AB24"/>
    <mergeCell ref="W7:W8"/>
    <mergeCell ref="X7:X8"/>
    <mergeCell ref="Y7:Y8"/>
    <mergeCell ref="Z19:Z20"/>
    <mergeCell ref="AA19:AA20"/>
    <mergeCell ref="C9:C10"/>
    <mergeCell ref="W9:W10"/>
    <mergeCell ref="X9:X10"/>
    <mergeCell ref="Y9:Y10"/>
    <mergeCell ref="Z9:Z10"/>
    <mergeCell ref="AA9:AA10"/>
    <mergeCell ref="AB9:AB10"/>
    <mergeCell ref="C21:C22"/>
    <mergeCell ref="C25:C26"/>
    <mergeCell ref="AA21:AA22"/>
    <mergeCell ref="AB21:AB22"/>
    <mergeCell ref="AB25:AB26"/>
    <mergeCell ref="Z21:Z22"/>
    <mergeCell ref="W25:W26"/>
    <mergeCell ref="X25:X26"/>
    <mergeCell ref="Y25:Y26"/>
    <mergeCell ref="Z25:Z26"/>
    <mergeCell ref="AA25:AA26"/>
    <mergeCell ref="C11:C12"/>
    <mergeCell ref="W11:W12"/>
    <mergeCell ref="X11:X12"/>
    <mergeCell ref="Y11:Y12"/>
    <mergeCell ref="Z11:Z12"/>
    <mergeCell ref="AA11:AA12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C17:C18"/>
    <mergeCell ref="W17:W18"/>
    <mergeCell ref="X17:X18"/>
    <mergeCell ref="Y17:Y18"/>
    <mergeCell ref="Z17:Z18"/>
    <mergeCell ref="AA17:AA18"/>
    <mergeCell ref="AB17:AB18"/>
    <mergeCell ref="C29:C30"/>
    <mergeCell ref="W19:W20"/>
    <mergeCell ref="X19:X20"/>
    <mergeCell ref="Y19:Y20"/>
    <mergeCell ref="AB19:AB20"/>
    <mergeCell ref="C27:C28"/>
    <mergeCell ref="W27:W28"/>
    <mergeCell ref="X27:X28"/>
    <mergeCell ref="Y27:Y28"/>
    <mergeCell ref="Z27:Z28"/>
    <mergeCell ref="AA27:AA28"/>
    <mergeCell ref="AB27:AB28"/>
    <mergeCell ref="AA29:AA30"/>
    <mergeCell ref="AB29:AB30"/>
    <mergeCell ref="W29:W30"/>
    <mergeCell ref="X29:X30"/>
    <mergeCell ref="Y29:Y30"/>
  </mergeCells>
  <conditionalFormatting sqref="Z7:Z11 Z13:Z38">
    <cfRule type="dataBar" priority="30">
      <dataBar>
        <cfvo type="min" val="0"/>
        <cfvo type="max" val="0"/>
        <color rgb="FFFFB628"/>
      </dataBar>
    </cfRule>
  </conditionalFormatting>
  <conditionalFormatting sqref="E7:I38 K7:O38">
    <cfRule type="cellIs" dxfId="32" priority="29" operator="lessThan">
      <formula>0</formula>
    </cfRule>
  </conditionalFormatting>
  <conditionalFormatting sqref="Q7:U36 AA13 AA21:AA36 AA7 AA9 AA15 AA19 AA17 AA11 W7:Z11 W13:Z36">
    <cfRule type="cellIs" dxfId="31" priority="27" operator="lessThan">
      <formula>0</formula>
    </cfRule>
  </conditionalFormatting>
  <conditionalFormatting sqref="P7:P8">
    <cfRule type="cellIs" dxfId="30" priority="20" operator="greaterThan">
      <formula>0.8</formula>
    </cfRule>
  </conditionalFormatting>
  <conditionalFormatting sqref="P7:P8">
    <cfRule type="cellIs" dxfId="29" priority="19" operator="greaterThan">
      <formula>100</formula>
    </cfRule>
  </conditionalFormatting>
  <conditionalFormatting sqref="P9:P36">
    <cfRule type="cellIs" dxfId="28" priority="18" operator="greaterThan">
      <formula>0.8</formula>
    </cfRule>
  </conditionalFormatting>
  <conditionalFormatting sqref="P9:P36">
    <cfRule type="cellIs" dxfId="27" priority="17" operator="greaterThan">
      <formula>100</formula>
    </cfRule>
  </conditionalFormatting>
  <conditionalFormatting sqref="AB7">
    <cfRule type="cellIs" dxfId="26" priority="16" operator="lessThan">
      <formula>0</formula>
    </cfRule>
  </conditionalFormatting>
  <conditionalFormatting sqref="AB7">
    <cfRule type="cellIs" dxfId="25" priority="15" operator="greaterThan">
      <formula>0.8</formula>
    </cfRule>
  </conditionalFormatting>
  <conditionalFormatting sqref="AB7">
    <cfRule type="cellIs" dxfId="24" priority="14" operator="greaterThan">
      <formula>100</formula>
    </cfRule>
  </conditionalFormatting>
  <conditionalFormatting sqref="P7">
    <cfRule type="cellIs" dxfId="23" priority="13" operator="greaterThan">
      <formula>0.8</formula>
    </cfRule>
  </conditionalFormatting>
  <conditionalFormatting sqref="P7">
    <cfRule type="cellIs" dxfId="22" priority="12" operator="greaterThan">
      <formula>100</formula>
    </cfRule>
  </conditionalFormatting>
  <conditionalFormatting sqref="AB9 AB11 AB13 AB15 AB17 AB19 AB21 AB23 AB25 AB27 AB29 AB31 AB33 AB35">
    <cfRule type="cellIs" dxfId="21" priority="11" operator="lessThan">
      <formula>0</formula>
    </cfRule>
  </conditionalFormatting>
  <conditionalFormatting sqref="AB9 AB11 AB13 AB15 AB17 AB19 AB21 AB23 AB25 AB27 AB29 AB31 AB33 AB35">
    <cfRule type="cellIs" dxfId="20" priority="10" operator="greaterThan">
      <formula>0.8</formula>
    </cfRule>
  </conditionalFormatting>
  <conditionalFormatting sqref="AB9 AB11 AB13 AB15 AB17 AB19 AB21 AB23 AB25 AB27 AB29 AB31 AB33 AB35">
    <cfRule type="cellIs" dxfId="19" priority="9" operator="greaterThan">
      <formula>100</formula>
    </cfRule>
  </conditionalFormatting>
  <conditionalFormatting sqref="J7:J36">
    <cfRule type="cellIs" dxfId="18" priority="8" operator="greaterThan">
      <formula>0.8</formula>
    </cfRule>
  </conditionalFormatting>
  <conditionalFormatting sqref="J7:J36">
    <cfRule type="cellIs" dxfId="17" priority="7" operator="greaterThan">
      <formula>100</formula>
    </cfRule>
  </conditionalFormatting>
  <conditionalFormatting sqref="P37:P38">
    <cfRule type="cellIs" dxfId="16" priority="6" operator="greaterThan">
      <formula>0.8</formula>
    </cfRule>
  </conditionalFormatting>
  <conditionalFormatting sqref="P37:P38">
    <cfRule type="cellIs" dxfId="15" priority="5" operator="greaterThan">
      <formula>100</formula>
    </cfRule>
  </conditionalFormatting>
  <conditionalFormatting sqref="V37">
    <cfRule type="cellIs" dxfId="14" priority="4" operator="greaterThan">
      <formula>0.8</formula>
    </cfRule>
  </conditionalFormatting>
  <conditionalFormatting sqref="V37">
    <cfRule type="cellIs" dxfId="13" priority="3" operator="greaterThan">
      <formula>100</formula>
    </cfRule>
  </conditionalFormatting>
  <conditionalFormatting sqref="V38">
    <cfRule type="cellIs" dxfId="12" priority="2" operator="greaterThan">
      <formula>0.8</formula>
    </cfRule>
  </conditionalFormatting>
  <conditionalFormatting sqref="V38">
    <cfRule type="cellIs" dxfId="11" priority="1" operator="greaterThan">
      <formula>100</formula>
    </cfRule>
  </conditionalFormatting>
  <pageMargins left="0.7" right="0.7" top="0.75" bottom="0.75" header="0.3" footer="0.3"/>
  <pageSetup orientation="portrait" r:id="rId1"/>
  <ignoredErrors>
    <ignoredError sqref="G8 M8 S7:S8 Y7:Y8 M21:M26 S36:S38 M31:M36 Y25:Y26 Y31:Y36 Y21:Y22 Y9:Y20 Y23:Y24 Y27:Y30 G31:G36 G25:G26 G21:G22 G9:G20 G23:G24 G27:G30 G37:G38 M39 S31:S35 S21:S26 S9:S20 S27:S30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CC"/>
  </sheetPr>
  <dimension ref="B1:AE62"/>
  <sheetViews>
    <sheetView showGridLines="0" tabSelected="1" zoomScale="70" zoomScaleNormal="70" workbookViewId="0">
      <pane xSplit="4" ySplit="7" topLeftCell="E11" activePane="bottomRight" state="frozen"/>
      <selection pane="topRight" activeCell="F1" sqref="F1"/>
      <selection pane="bottomLeft" activeCell="A8" sqref="A8"/>
      <selection pane="bottomRight" activeCell="M46" sqref="A42:M46"/>
    </sheetView>
  </sheetViews>
  <sheetFormatPr baseColWidth="10" defaultColWidth="11.5546875" defaultRowHeight="14.4"/>
  <cols>
    <col min="1" max="1" width="5" style="433" customWidth="1"/>
    <col min="2" max="2" width="20.33203125" style="433" customWidth="1"/>
    <col min="3" max="3" width="35.6640625" style="433" customWidth="1"/>
    <col min="4" max="4" width="15.88671875" style="433" customWidth="1"/>
    <col min="5" max="5" width="0.44140625" style="433" customWidth="1"/>
    <col min="6" max="6" width="13.5546875" style="433" customWidth="1"/>
    <col min="7" max="7" width="14.44140625" style="433" customWidth="1"/>
    <col min="8" max="8" width="12.88671875" style="433" customWidth="1"/>
    <col min="9" max="9" width="11.5546875" style="433" customWidth="1"/>
    <col min="10" max="10" width="13.109375" style="433" customWidth="1"/>
    <col min="11" max="11" width="12.44140625" style="433" customWidth="1"/>
    <col min="12" max="12" width="13.5546875" style="433" customWidth="1"/>
    <col min="13" max="13" width="13" style="433" customWidth="1"/>
    <col min="14" max="14" width="12.88671875" style="433" customWidth="1"/>
    <col min="15" max="15" width="13.44140625" style="433" customWidth="1"/>
    <col min="16" max="16" width="12.44140625" style="433" customWidth="1"/>
    <col min="17" max="17" width="11.44140625" style="433" customWidth="1"/>
    <col min="18" max="18" width="13.5546875" style="433" customWidth="1"/>
    <col min="19" max="19" width="11.5546875" style="433" bestFit="1" customWidth="1"/>
    <col min="20" max="20" width="12.44140625" style="433" bestFit="1" customWidth="1"/>
    <col min="21" max="21" width="15.88671875" style="433" customWidth="1"/>
    <col min="22" max="22" width="12.44140625" style="433" bestFit="1" customWidth="1"/>
    <col min="23" max="23" width="17.44140625" style="433" customWidth="1"/>
    <col min="24" max="24" width="14.6640625" style="433" customWidth="1"/>
    <col min="25" max="25" width="17.6640625" style="433" customWidth="1"/>
    <col min="26" max="26" width="15.5546875" style="433" customWidth="1"/>
    <col min="27" max="28" width="16.88671875" style="433" customWidth="1"/>
    <col min="29" max="29" width="14" style="433" customWidth="1"/>
    <col min="30" max="16384" width="11.5546875" style="433"/>
  </cols>
  <sheetData>
    <row r="1" spans="2:31" ht="15" thickBot="1"/>
    <row r="2" spans="2:31" ht="24" customHeight="1">
      <c r="B2" s="670" t="s">
        <v>130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2"/>
    </row>
    <row r="3" spans="2:31" ht="26.4" customHeight="1" thickBot="1">
      <c r="B3" s="673">
        <f>+'Resumen anual'!B4</f>
        <v>43558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5"/>
    </row>
    <row r="5" spans="2:31">
      <c r="E5" s="433">
        <f>1.6-2.14</f>
        <v>-0.54</v>
      </c>
    </row>
    <row r="6" spans="2:31" ht="39.6" customHeight="1">
      <c r="B6" s="669" t="s">
        <v>73</v>
      </c>
      <c r="C6" s="669" t="s">
        <v>65</v>
      </c>
      <c r="D6" s="677" t="s">
        <v>26</v>
      </c>
      <c r="E6" s="677" t="s">
        <v>120</v>
      </c>
      <c r="F6" s="676" t="s">
        <v>80</v>
      </c>
      <c r="G6" s="676"/>
      <c r="H6" s="676"/>
      <c r="I6" s="676"/>
      <c r="J6" s="676"/>
      <c r="K6" s="676"/>
      <c r="L6" s="679" t="s">
        <v>79</v>
      </c>
      <c r="M6" s="679"/>
      <c r="N6" s="679"/>
      <c r="O6" s="679"/>
      <c r="P6" s="679"/>
      <c r="Q6" s="680"/>
      <c r="R6" s="676" t="s">
        <v>62</v>
      </c>
      <c r="S6" s="676"/>
      <c r="T6" s="676"/>
      <c r="U6" s="676"/>
      <c r="V6" s="676"/>
      <c r="W6" s="676"/>
      <c r="X6" s="678" t="s">
        <v>146</v>
      </c>
      <c r="Y6" s="678"/>
      <c r="Z6" s="678"/>
      <c r="AA6" s="678"/>
      <c r="AB6" s="678"/>
      <c r="AC6" s="678"/>
    </row>
    <row r="7" spans="2:31" ht="36.6" customHeight="1">
      <c r="B7" s="669"/>
      <c r="C7" s="669"/>
      <c r="D7" s="677"/>
      <c r="E7" s="677"/>
      <c r="F7" s="333" t="s">
        <v>50</v>
      </c>
      <c r="G7" s="334" t="s">
        <v>52</v>
      </c>
      <c r="H7" s="334" t="s">
        <v>4</v>
      </c>
      <c r="I7" s="335" t="s">
        <v>5</v>
      </c>
      <c r="J7" s="335" t="s">
        <v>22</v>
      </c>
      <c r="K7" s="335" t="s">
        <v>23</v>
      </c>
      <c r="L7" s="336" t="s">
        <v>24</v>
      </c>
      <c r="M7" s="337" t="s">
        <v>52</v>
      </c>
      <c r="N7" s="337" t="s">
        <v>4</v>
      </c>
      <c r="O7" s="338" t="s">
        <v>5</v>
      </c>
      <c r="P7" s="338" t="s">
        <v>22</v>
      </c>
      <c r="Q7" s="349" t="s">
        <v>23</v>
      </c>
      <c r="R7" s="334" t="s">
        <v>54</v>
      </c>
      <c r="S7" s="334" t="s">
        <v>64</v>
      </c>
      <c r="T7" s="334" t="s">
        <v>4</v>
      </c>
      <c r="U7" s="335" t="s">
        <v>63</v>
      </c>
      <c r="V7" s="335" t="s">
        <v>22</v>
      </c>
      <c r="W7" s="335" t="s">
        <v>25</v>
      </c>
      <c r="X7" s="331" t="s">
        <v>147</v>
      </c>
      <c r="Y7" s="332" t="s">
        <v>143</v>
      </c>
      <c r="Z7" s="332" t="s">
        <v>4</v>
      </c>
      <c r="AA7" s="331" t="s">
        <v>144</v>
      </c>
      <c r="AB7" s="331" t="s">
        <v>145</v>
      </c>
      <c r="AC7" s="331" t="s">
        <v>25</v>
      </c>
    </row>
    <row r="8" spans="2:31" ht="15" customHeight="1">
      <c r="B8" s="681" t="s">
        <v>61</v>
      </c>
      <c r="C8" s="134" t="str">
        <f>+Transa_Ltp_pep_Langamarillo!B52</f>
        <v>CAMANCHACA PESCA SUR</v>
      </c>
      <c r="D8" s="134" t="s">
        <v>20</v>
      </c>
      <c r="E8" s="665">
        <f>+Transa_Ltp_pep_Langamarillo!D52</f>
        <v>0.30851095900000003</v>
      </c>
      <c r="F8" s="65">
        <f>+Transa_Ltp_pep_Langamarillo!G52</f>
        <v>244.95770144600002</v>
      </c>
      <c r="G8" s="271">
        <f>+Transa_Ltp_pep_Langamarillo!I52</f>
        <v>-152.55852720919998</v>
      </c>
      <c r="H8" s="63">
        <f>F8+G8</f>
        <v>92.399174236800036</v>
      </c>
      <c r="I8" s="162"/>
      <c r="J8" s="64">
        <f>H8-I8</f>
        <v>92.399174236800036</v>
      </c>
      <c r="K8" s="317">
        <f>(I8/H8)</f>
        <v>0</v>
      </c>
      <c r="L8" s="316">
        <f>+Transa_Ltp_pep_Langamarillo!H52</f>
        <v>299.25563023000001</v>
      </c>
      <c r="M8" s="271">
        <f>+Transa_Ltp_pep_Langamarillo!J52</f>
        <v>334.05620639999995</v>
      </c>
      <c r="N8" s="296">
        <f>L8+M8</f>
        <v>633.31183663000002</v>
      </c>
      <c r="O8" s="470">
        <f>16.702+41.456</f>
        <v>58.158000000000001</v>
      </c>
      <c r="P8" s="66">
        <f t="shared" ref="P8:P13" si="0">N8-O8</f>
        <v>575.15383663</v>
      </c>
      <c r="Q8" s="350">
        <f>O8/N8</f>
        <v>9.1831538013677882E-2</v>
      </c>
      <c r="R8" s="63">
        <f>+F8+L8</f>
        <v>544.21333167600005</v>
      </c>
      <c r="S8" s="271">
        <f>G8+M8</f>
        <v>181.49767919079997</v>
      </c>
      <c r="T8" s="63">
        <f>R8+S8</f>
        <v>725.71101086680005</v>
      </c>
      <c r="U8" s="62">
        <f>I8+O8</f>
        <v>58.158000000000001</v>
      </c>
      <c r="V8" s="63">
        <f t="shared" ref="V8:V15" si="1">T8-U8</f>
        <v>667.55301086680004</v>
      </c>
      <c r="W8" s="317">
        <f t="shared" ref="W8:W21" si="2">U8/T8</f>
        <v>8.0139338013536843E-2</v>
      </c>
      <c r="X8" s="658">
        <f>R8+R9</f>
        <v>604.68147964000002</v>
      </c>
      <c r="Y8" s="662">
        <f t="shared" ref="Y8" si="3">S8+S9</f>
        <v>181.49767919079997</v>
      </c>
      <c r="Z8" s="658">
        <f>X8+Y8</f>
        <v>786.17915883080002</v>
      </c>
      <c r="AA8" s="598">
        <f>U8+U9</f>
        <v>58.158000000000001</v>
      </c>
      <c r="AB8" s="658">
        <f>Z8-AA8</f>
        <v>728.0211588308</v>
      </c>
      <c r="AC8" s="660">
        <f t="shared" ref="AC8" si="4">AA8/Z8</f>
        <v>7.3975504624788274E-2</v>
      </c>
      <c r="AD8" s="434"/>
      <c r="AE8" s="434"/>
    </row>
    <row r="9" spans="2:31">
      <c r="B9" s="681"/>
      <c r="C9" s="135"/>
      <c r="D9" s="135" t="s">
        <v>9</v>
      </c>
      <c r="E9" s="666"/>
      <c r="F9" s="65">
        <f>+Transa_Ltp_pep_Langamarillo!G53</f>
        <v>27.148964392000003</v>
      </c>
      <c r="G9" s="232">
        <f>+Transa_Ltp_pep_Langamarillo!I53</f>
        <v>0</v>
      </c>
      <c r="H9" s="231">
        <f>F9+G9+J8</f>
        <v>119.54813862880005</v>
      </c>
      <c r="I9" s="163"/>
      <c r="J9" s="67">
        <f t="shared" ref="J9" si="5">H9-I9</f>
        <v>119.54813862880005</v>
      </c>
      <c r="K9" s="318">
        <f>I9/H9</f>
        <v>0</v>
      </c>
      <c r="L9" s="316">
        <f>+Transa_Ltp_pep_Langamarillo!H53</f>
        <v>33.319183572</v>
      </c>
      <c r="M9" s="232">
        <f>+Transa_Ltp_pep_Langamarillo!J53</f>
        <v>0</v>
      </c>
      <c r="N9" s="297">
        <f>L9+M9+P8</f>
        <v>608.47302020200004</v>
      </c>
      <c r="O9" s="243"/>
      <c r="P9" s="69">
        <f t="shared" si="0"/>
        <v>608.47302020200004</v>
      </c>
      <c r="Q9" s="351">
        <f t="shared" ref="Q9:Q27" si="6">O9/N9</f>
        <v>0</v>
      </c>
      <c r="R9" s="231">
        <f t="shared" ref="R9:R29" si="7">+F9+L9</f>
        <v>60.468147964000003</v>
      </c>
      <c r="S9" s="232">
        <f t="shared" ref="S9:S29" si="8">G9+M9</f>
        <v>0</v>
      </c>
      <c r="T9" s="231">
        <f>R9+S9+V8</f>
        <v>728.0211588308</v>
      </c>
      <c r="U9" s="361">
        <f>I9+O9</f>
        <v>0</v>
      </c>
      <c r="V9" s="231">
        <f t="shared" si="1"/>
        <v>728.0211588308</v>
      </c>
      <c r="W9" s="318">
        <f t="shared" si="2"/>
        <v>0</v>
      </c>
      <c r="X9" s="659"/>
      <c r="Y9" s="663"/>
      <c r="Z9" s="659"/>
      <c r="AA9" s="664"/>
      <c r="AB9" s="659"/>
      <c r="AC9" s="661"/>
      <c r="AD9" s="434"/>
      <c r="AE9" s="434"/>
    </row>
    <row r="10" spans="2:31">
      <c r="B10" s="681"/>
      <c r="C10" s="134" t="str">
        <f>+Transa_Ltp_pep_Langamarillo!B54</f>
        <v>QUINTERO S.A. PESQ.</v>
      </c>
      <c r="D10" s="327" t="s">
        <v>20</v>
      </c>
      <c r="E10" s="665">
        <f>+Transa_Ltp_pep_Langamarillo!D54</f>
        <v>2.1082E-2</v>
      </c>
      <c r="F10" s="65">
        <f>+Transa_Ltp_pep_Langamarillo!G54</f>
        <v>16.739108000000002</v>
      </c>
      <c r="G10" s="309">
        <f>+Transa_Ltp_pep_Langamarillo!I54</f>
        <v>0</v>
      </c>
      <c r="H10" s="310">
        <f t="shared" ref="H10" si="9">F10+G10</f>
        <v>16.739108000000002</v>
      </c>
      <c r="I10" s="299"/>
      <c r="J10" s="311">
        <f>H10-I10</f>
        <v>16.739108000000002</v>
      </c>
      <c r="K10" s="317">
        <f t="shared" ref="K10:K27" si="10">I10/H10</f>
        <v>0</v>
      </c>
      <c r="L10" s="296">
        <f>+Transa_Ltp_pep_Langamarillo!H54</f>
        <v>20.449539999999999</v>
      </c>
      <c r="M10" s="298">
        <f>+Transa_Ltp_pep_Langamarillo!J54</f>
        <v>0</v>
      </c>
      <c r="N10" s="300">
        <f t="shared" ref="N10" si="11">L10+M10</f>
        <v>20.449539999999999</v>
      </c>
      <c r="O10" s="301"/>
      <c r="P10" s="302">
        <f t="shared" si="0"/>
        <v>20.449539999999999</v>
      </c>
      <c r="Q10" s="350">
        <f t="shared" si="6"/>
        <v>0</v>
      </c>
      <c r="R10" s="357">
        <f t="shared" si="7"/>
        <v>37.188648000000001</v>
      </c>
      <c r="S10" s="358">
        <f t="shared" si="8"/>
        <v>0</v>
      </c>
      <c r="T10" s="357">
        <f t="shared" ref="T10" si="12">R10+S10</f>
        <v>37.188648000000001</v>
      </c>
      <c r="U10" s="362">
        <f t="shared" ref="U10:U29" si="13">I10+O10</f>
        <v>0</v>
      </c>
      <c r="V10" s="357">
        <f t="shared" si="1"/>
        <v>37.188648000000001</v>
      </c>
      <c r="W10" s="359">
        <f t="shared" si="2"/>
        <v>0</v>
      </c>
      <c r="X10" s="667">
        <f t="shared" ref="X10:Y10" si="14">R10+R11</f>
        <v>41.320720000000001</v>
      </c>
      <c r="Y10" s="663">
        <f t="shared" si="14"/>
        <v>0</v>
      </c>
      <c r="Z10" s="667">
        <f t="shared" ref="Z10" si="15">X10+Y10</f>
        <v>41.320720000000001</v>
      </c>
      <c r="AA10" s="664">
        <f t="shared" ref="AA10" si="16">U10+U11</f>
        <v>0</v>
      </c>
      <c r="AB10" s="667">
        <f t="shared" ref="AB10" si="17">Z10-AA10</f>
        <v>41.320720000000001</v>
      </c>
      <c r="AC10" s="661">
        <f t="shared" ref="AC10" si="18">AA10/Z10</f>
        <v>0</v>
      </c>
      <c r="AD10" s="434"/>
      <c r="AE10" s="434"/>
    </row>
    <row r="11" spans="2:31">
      <c r="B11" s="681"/>
      <c r="C11" s="135"/>
      <c r="D11" s="135" t="s">
        <v>9</v>
      </c>
      <c r="E11" s="666"/>
      <c r="F11" s="65">
        <f>+Transa_Ltp_pep_Langamarillo!G55</f>
        <v>1.855216</v>
      </c>
      <c r="G11" s="232">
        <f>+Transa_Ltp_pep_Langamarillo!I55</f>
        <v>0</v>
      </c>
      <c r="H11" s="231">
        <f>F11+G11+J10</f>
        <v>18.594324</v>
      </c>
      <c r="I11" s="163"/>
      <c r="J11" s="67">
        <f t="shared" ref="J11" si="19">H11-I11</f>
        <v>18.594324</v>
      </c>
      <c r="K11" s="318">
        <f t="shared" si="10"/>
        <v>0</v>
      </c>
      <c r="L11" s="296">
        <f>+Transa_Ltp_pep_Langamarillo!H55</f>
        <v>2.276856</v>
      </c>
      <c r="M11" s="232">
        <f>+Transa_Ltp_pep_Langamarillo!J55</f>
        <v>0</v>
      </c>
      <c r="N11" s="68">
        <f t="shared" ref="N11" si="20">L11+M11+P10</f>
        <v>22.726395999999998</v>
      </c>
      <c r="O11" s="163"/>
      <c r="P11" s="69">
        <f t="shared" si="0"/>
        <v>22.726395999999998</v>
      </c>
      <c r="Q11" s="351">
        <f t="shared" si="6"/>
        <v>0</v>
      </c>
      <c r="R11" s="231">
        <f t="shared" si="7"/>
        <v>4.132072</v>
      </c>
      <c r="S11" s="232">
        <f t="shared" si="8"/>
        <v>0</v>
      </c>
      <c r="T11" s="231">
        <f>R11+S11+V10</f>
        <v>41.320720000000001</v>
      </c>
      <c r="U11" s="361">
        <f t="shared" si="13"/>
        <v>0</v>
      </c>
      <c r="V11" s="231">
        <f t="shared" si="1"/>
        <v>41.320720000000001</v>
      </c>
      <c r="W11" s="318">
        <f t="shared" si="2"/>
        <v>0</v>
      </c>
      <c r="X11" s="667"/>
      <c r="Y11" s="663"/>
      <c r="Z11" s="667"/>
      <c r="AA11" s="664"/>
      <c r="AB11" s="667"/>
      <c r="AC11" s="661"/>
      <c r="AD11" s="434"/>
      <c r="AE11" s="434"/>
    </row>
    <row r="12" spans="2:31">
      <c r="B12" s="681"/>
      <c r="C12" s="134" t="str">
        <f>+Transa_Ltp_pep_Langamarillo!B56</f>
        <v>BRACPESCA S.A.</v>
      </c>
      <c r="D12" s="327" t="s">
        <v>20</v>
      </c>
      <c r="E12" s="665">
        <f>+Transa_Ltp_pep_Langamarillo!D56</f>
        <v>0.25926339999999998</v>
      </c>
      <c r="F12" s="65">
        <f>+Transa_Ltp_pep_Langamarillo!G56</f>
        <v>205.85513959999997</v>
      </c>
      <c r="G12" s="309">
        <f>+Transa_Ltp_pep_Langamarillo!I56</f>
        <v>200.00000719999997</v>
      </c>
      <c r="H12" s="310">
        <f>F12+G12</f>
        <v>405.85514679999994</v>
      </c>
      <c r="I12" s="319"/>
      <c r="J12" s="320">
        <f>H12-I12</f>
        <v>405.85514679999994</v>
      </c>
      <c r="K12" s="317">
        <f t="shared" si="10"/>
        <v>0</v>
      </c>
      <c r="L12" s="296">
        <f>+Transa_Ltp_pep_Langamarillo!H56</f>
        <v>251.48549799999998</v>
      </c>
      <c r="M12" s="303">
        <f>+Transa_Ltp_pep_Langamarillo!J56</f>
        <v>-225.58588640000002</v>
      </c>
      <c r="N12" s="304">
        <f t="shared" ref="N12" si="21">L12+M12</f>
        <v>25.899611599999957</v>
      </c>
      <c r="O12" s="299"/>
      <c r="P12" s="302">
        <f t="shared" si="0"/>
        <v>25.899611599999957</v>
      </c>
      <c r="Q12" s="350">
        <f t="shared" si="6"/>
        <v>0</v>
      </c>
      <c r="R12" s="357">
        <f t="shared" si="7"/>
        <v>457.34063759999992</v>
      </c>
      <c r="S12" s="358">
        <f t="shared" si="8"/>
        <v>-25.585879200000051</v>
      </c>
      <c r="T12" s="357">
        <f t="shared" ref="T12" si="22">R12+S12</f>
        <v>431.7547583999999</v>
      </c>
      <c r="U12" s="362">
        <f t="shared" si="13"/>
        <v>0</v>
      </c>
      <c r="V12" s="357">
        <f t="shared" si="1"/>
        <v>431.7547583999999</v>
      </c>
      <c r="W12" s="359">
        <f t="shared" si="2"/>
        <v>0</v>
      </c>
      <c r="X12" s="667">
        <f t="shared" ref="X12" si="23">R12+R13</f>
        <v>508.15626399999991</v>
      </c>
      <c r="Y12" s="663">
        <f>S12+S13</f>
        <v>-25.585879200000051</v>
      </c>
      <c r="Z12" s="667">
        <f>X12+Y12</f>
        <v>482.57038479999983</v>
      </c>
      <c r="AA12" s="664">
        <f t="shared" ref="AA12" si="24">U12+U13</f>
        <v>0</v>
      </c>
      <c r="AB12" s="667">
        <f t="shared" ref="AB12" si="25">Z12-AA12</f>
        <v>482.57038479999983</v>
      </c>
      <c r="AC12" s="661">
        <f t="shared" ref="AC12" si="26">AA12/Z12</f>
        <v>0</v>
      </c>
      <c r="AD12" s="445"/>
      <c r="AE12" s="434"/>
    </row>
    <row r="13" spans="2:31">
      <c r="B13" s="681"/>
      <c r="C13" s="135"/>
      <c r="D13" s="135" t="s">
        <v>9</v>
      </c>
      <c r="E13" s="666"/>
      <c r="F13" s="65">
        <f>+Transa_Ltp_pep_Langamarillo!G57</f>
        <v>22.815179199999999</v>
      </c>
      <c r="G13" s="232">
        <f>+Transa_Ltp_pep_Langamarillo!I57</f>
        <v>0</v>
      </c>
      <c r="H13" s="231">
        <f t="shared" ref="H13" si="27">F13+G13+J12</f>
        <v>428.67032599999993</v>
      </c>
      <c r="I13" s="163"/>
      <c r="J13" s="67">
        <f t="shared" ref="J13:J29" si="28">H13-I13</f>
        <v>428.67032599999993</v>
      </c>
      <c r="K13" s="318">
        <f t="shared" si="10"/>
        <v>0</v>
      </c>
      <c r="L13" s="296">
        <f>+Transa_Ltp_pep_Langamarillo!H57</f>
        <v>28.000447199999996</v>
      </c>
      <c r="M13" s="232">
        <f>+Transa_Ltp_pep_Langamarillo!J57</f>
        <v>0</v>
      </c>
      <c r="N13" s="68">
        <f t="shared" ref="N13" si="29">L13+M13+P12</f>
        <v>53.900058799999954</v>
      </c>
      <c r="O13" s="243"/>
      <c r="P13" s="69">
        <f t="shared" si="0"/>
        <v>53.900058799999954</v>
      </c>
      <c r="Q13" s="351">
        <f t="shared" si="6"/>
        <v>0</v>
      </c>
      <c r="R13" s="231">
        <f t="shared" si="7"/>
        <v>50.815626399999999</v>
      </c>
      <c r="S13" s="232">
        <f t="shared" si="8"/>
        <v>0</v>
      </c>
      <c r="T13" s="231">
        <f>R13+S13+V12</f>
        <v>482.57038479999989</v>
      </c>
      <c r="U13" s="361">
        <f t="shared" si="13"/>
        <v>0</v>
      </c>
      <c r="V13" s="231">
        <f t="shared" si="1"/>
        <v>482.57038479999989</v>
      </c>
      <c r="W13" s="318">
        <f t="shared" si="2"/>
        <v>0</v>
      </c>
      <c r="X13" s="667"/>
      <c r="Y13" s="663"/>
      <c r="Z13" s="667"/>
      <c r="AA13" s="664"/>
      <c r="AB13" s="667"/>
      <c r="AC13" s="661"/>
      <c r="AD13" s="434"/>
      <c r="AE13" s="434"/>
    </row>
    <row r="14" spans="2:31">
      <c r="B14" s="681"/>
      <c r="C14" s="134" t="str">
        <f>+Transa_Ltp_pep_Langamarillo!B58</f>
        <v>ISLADAMAS S.A. PESQ.</v>
      </c>
      <c r="D14" s="327" t="s">
        <v>20</v>
      </c>
      <c r="E14" s="665">
        <f>+Transa_Ltp_pep_Langamarillo!D58</f>
        <v>0.15214620000000001</v>
      </c>
      <c r="F14" s="65">
        <f>+Transa_Ltp_pep_Langamarillo!G58</f>
        <v>120.8040828</v>
      </c>
      <c r="G14" s="321">
        <f>+Transa_Ltp_pep_Langamarillo!I58</f>
        <v>29.547000000000001</v>
      </c>
      <c r="H14" s="322">
        <f t="shared" ref="H14" si="30">F14+G14</f>
        <v>150.3510828</v>
      </c>
      <c r="I14" s="470">
        <v>86.322999999999979</v>
      </c>
      <c r="J14" s="323">
        <f t="shared" si="28"/>
        <v>64.028082800000021</v>
      </c>
      <c r="K14" s="317">
        <f t="shared" si="10"/>
        <v>0.57414285545803845</v>
      </c>
      <c r="L14" s="296">
        <f>+Transa_Ltp_pep_Langamarillo!H58</f>
        <v>147.58181400000001</v>
      </c>
      <c r="M14" s="305">
        <f>+Transa_Ltp_pep_Langamarillo!J58</f>
        <v>36.113</v>
      </c>
      <c r="N14" s="306">
        <f>L14+M14</f>
        <v>183.69481400000001</v>
      </c>
      <c r="O14" s="307"/>
      <c r="P14" s="308">
        <f>N14-O14</f>
        <v>183.69481400000001</v>
      </c>
      <c r="Q14" s="350">
        <f t="shared" si="6"/>
        <v>0</v>
      </c>
      <c r="R14" s="357">
        <f t="shared" si="7"/>
        <v>268.38589680000001</v>
      </c>
      <c r="S14" s="358">
        <f t="shared" si="8"/>
        <v>65.66</v>
      </c>
      <c r="T14" s="357">
        <f t="shared" ref="T14" si="31">R14+S14</f>
        <v>334.04589680000004</v>
      </c>
      <c r="U14" s="362">
        <f t="shared" si="13"/>
        <v>86.322999999999979</v>
      </c>
      <c r="V14" s="357">
        <f t="shared" si="1"/>
        <v>247.72289680000006</v>
      </c>
      <c r="W14" s="359">
        <f t="shared" si="2"/>
        <v>0.25841658534630435</v>
      </c>
      <c r="X14" s="667">
        <f t="shared" ref="X14:Y14" si="32">R14+R15</f>
        <v>298.20655199999999</v>
      </c>
      <c r="Y14" s="663">
        <f t="shared" si="32"/>
        <v>65.66</v>
      </c>
      <c r="Z14" s="667">
        <f t="shared" ref="Z14" si="33">X14+Y14</f>
        <v>363.86655199999996</v>
      </c>
      <c r="AA14" s="664">
        <f t="shared" ref="AA14" si="34">U14+U15</f>
        <v>86.322999999999979</v>
      </c>
      <c r="AB14" s="667">
        <f t="shared" ref="AB14" si="35">Z14-AA14</f>
        <v>277.54355199999998</v>
      </c>
      <c r="AC14" s="661">
        <f t="shared" ref="AC14" si="36">AA14/Z14</f>
        <v>0.23723807402885438</v>
      </c>
      <c r="AD14" s="434"/>
      <c r="AE14" s="434"/>
    </row>
    <row r="15" spans="2:31">
      <c r="B15" s="681"/>
      <c r="C15" s="135"/>
      <c r="D15" s="135" t="s">
        <v>9</v>
      </c>
      <c r="E15" s="666"/>
      <c r="F15" s="65">
        <f>+Transa_Ltp_pep_Langamarillo!G59</f>
        <v>13.388865600000001</v>
      </c>
      <c r="G15" s="232">
        <f>+Transa_Ltp_pep_Langamarillo!I59</f>
        <v>0</v>
      </c>
      <c r="H15" s="231">
        <f t="shared" ref="H15" si="37">F15+G15+J14</f>
        <v>77.416948400000024</v>
      </c>
      <c r="I15" s="163"/>
      <c r="J15" s="67">
        <f t="shared" si="28"/>
        <v>77.416948400000024</v>
      </c>
      <c r="K15" s="318">
        <f t="shared" si="10"/>
        <v>0</v>
      </c>
      <c r="L15" s="296">
        <f>+Transa_Ltp_pep_Langamarillo!H59</f>
        <v>16.431789600000002</v>
      </c>
      <c r="M15" s="232">
        <f>+Transa_Ltp_pep_Langamarillo!J59</f>
        <v>0</v>
      </c>
      <c r="N15" s="68">
        <f>L15+M15+P14</f>
        <v>200.12660360000001</v>
      </c>
      <c r="O15" s="163"/>
      <c r="P15" s="69">
        <f t="shared" ref="P15:P29" si="38">N15-O15</f>
        <v>200.12660360000001</v>
      </c>
      <c r="Q15" s="351">
        <f t="shared" si="6"/>
        <v>0</v>
      </c>
      <c r="R15" s="231">
        <f t="shared" si="7"/>
        <v>29.820655200000004</v>
      </c>
      <c r="S15" s="232">
        <f t="shared" si="8"/>
        <v>0</v>
      </c>
      <c r="T15" s="231">
        <f>R15+S15+V14</f>
        <v>277.54355200000009</v>
      </c>
      <c r="U15" s="361">
        <f t="shared" si="13"/>
        <v>0</v>
      </c>
      <c r="V15" s="231">
        <f t="shared" si="1"/>
        <v>277.54355200000009</v>
      </c>
      <c r="W15" s="318">
        <f t="shared" si="2"/>
        <v>0</v>
      </c>
      <c r="X15" s="667"/>
      <c r="Y15" s="663"/>
      <c r="Z15" s="667"/>
      <c r="AA15" s="664"/>
      <c r="AB15" s="667"/>
      <c r="AC15" s="661"/>
      <c r="AD15" s="434"/>
      <c r="AE15" s="434"/>
    </row>
    <row r="16" spans="2:31">
      <c r="B16" s="681"/>
      <c r="C16" s="134" t="str">
        <f>+Transa_Ltp_pep_Langamarillo!B60</f>
        <v>ANTARTIC SEAFOOD S.A.</v>
      </c>
      <c r="D16" s="327" t="s">
        <v>20</v>
      </c>
      <c r="E16" s="665">
        <f>+Transa_Ltp_pep_Langamarillo!D60</f>
        <v>8.7300000000000003E-2</v>
      </c>
      <c r="F16" s="65">
        <f>+Transa_Ltp_pep_Langamarillo!G60</f>
        <v>69.316200000000009</v>
      </c>
      <c r="G16" s="321">
        <f>+Transa_Ltp_pep_Langamarillo!I60</f>
        <v>40.000000009199994</v>
      </c>
      <c r="H16" s="322">
        <f t="shared" ref="H16" si="39">F16+G16</f>
        <v>109.3162000092</v>
      </c>
      <c r="I16" s="470">
        <v>6.4779999999999998</v>
      </c>
      <c r="J16" s="320">
        <f t="shared" si="28"/>
        <v>102.83820000920001</v>
      </c>
      <c r="K16" s="317">
        <f t="shared" si="10"/>
        <v>5.9259286358790499E-2</v>
      </c>
      <c r="L16" s="296">
        <f>+Transa_Ltp_pep_Langamarillo!H60</f>
        <v>84.680999999999997</v>
      </c>
      <c r="M16" s="309">
        <f>+Transa_Ltp_pep_Langamarillo!J60</f>
        <v>-83.329399999999993</v>
      </c>
      <c r="N16" s="312">
        <f t="shared" ref="N16" si="40">L16+M16</f>
        <v>1.3516000000000048</v>
      </c>
      <c r="O16" s="299"/>
      <c r="P16" s="308">
        <f t="shared" si="38"/>
        <v>1.3516000000000048</v>
      </c>
      <c r="Q16" s="350">
        <f t="shared" si="6"/>
        <v>0</v>
      </c>
      <c r="R16" s="357">
        <f t="shared" si="7"/>
        <v>153.99720000000002</v>
      </c>
      <c r="S16" s="358">
        <f t="shared" si="8"/>
        <v>-43.329399990799999</v>
      </c>
      <c r="T16" s="357">
        <f>R16+S16</f>
        <v>110.66780000920002</v>
      </c>
      <c r="U16" s="362">
        <f>I16+O16</f>
        <v>6.4779999999999998</v>
      </c>
      <c r="V16" s="357">
        <f>T16-U16</f>
        <v>104.18980000920003</v>
      </c>
      <c r="W16" s="359">
        <f t="shared" si="2"/>
        <v>5.8535545113045269E-2</v>
      </c>
      <c r="X16" s="667">
        <f t="shared" ref="X16:Y16" si="41">R16+R17</f>
        <v>171.10800000000003</v>
      </c>
      <c r="Y16" s="663">
        <f t="shared" si="41"/>
        <v>-43.329399990799999</v>
      </c>
      <c r="Z16" s="667">
        <f t="shared" ref="Z16" si="42">X16+Y16</f>
        <v>127.77860000920003</v>
      </c>
      <c r="AA16" s="664">
        <f t="shared" ref="AA16" si="43">U16+U17</f>
        <v>6.4779999999999998</v>
      </c>
      <c r="AB16" s="667">
        <f t="shared" ref="AB16" si="44">Z16-AA16</f>
        <v>121.30060000920004</v>
      </c>
      <c r="AC16" s="661">
        <f t="shared" ref="AC16" si="45">AA16/Z16</f>
        <v>5.0697065076104955E-2</v>
      </c>
      <c r="AD16" s="434"/>
      <c r="AE16" s="434"/>
    </row>
    <row r="17" spans="2:31">
      <c r="B17" s="681"/>
      <c r="C17" s="135"/>
      <c r="D17" s="135" t="s">
        <v>9</v>
      </c>
      <c r="E17" s="666"/>
      <c r="F17" s="65">
        <f>+Transa_Ltp_pep_Langamarillo!G61</f>
        <v>7.6824000000000003</v>
      </c>
      <c r="G17" s="232">
        <f>+Transa_Ltp_pep_Langamarillo!I61</f>
        <v>0</v>
      </c>
      <c r="H17" s="231">
        <f t="shared" ref="H17" si="46">F17+G17+J16</f>
        <v>110.52060000920001</v>
      </c>
      <c r="I17" s="163"/>
      <c r="J17" s="67">
        <f t="shared" si="28"/>
        <v>110.52060000920001</v>
      </c>
      <c r="K17" s="318">
        <f t="shared" si="10"/>
        <v>0</v>
      </c>
      <c r="L17" s="296">
        <f>+Transa_Ltp_pep_Langamarillo!H61</f>
        <v>9.4283999999999999</v>
      </c>
      <c r="M17" s="232">
        <f>+Transa_Ltp_pep_Langamarillo!J61</f>
        <v>0</v>
      </c>
      <c r="N17" s="68">
        <f t="shared" ref="N17" si="47">L17+M17+P16</f>
        <v>10.780000000000005</v>
      </c>
      <c r="O17" s="243"/>
      <c r="P17" s="69">
        <f t="shared" si="38"/>
        <v>10.780000000000005</v>
      </c>
      <c r="Q17" s="351">
        <f t="shared" si="6"/>
        <v>0</v>
      </c>
      <c r="R17" s="231">
        <f t="shared" si="7"/>
        <v>17.110800000000001</v>
      </c>
      <c r="S17" s="232">
        <f t="shared" si="8"/>
        <v>0</v>
      </c>
      <c r="T17" s="231">
        <f>R17+S17+V16</f>
        <v>121.30060000920002</v>
      </c>
      <c r="U17" s="361">
        <f t="shared" si="13"/>
        <v>0</v>
      </c>
      <c r="V17" s="231">
        <f t="shared" ref="V17:V29" si="48">T17-U17</f>
        <v>121.30060000920002</v>
      </c>
      <c r="W17" s="318">
        <f t="shared" si="2"/>
        <v>0</v>
      </c>
      <c r="X17" s="667"/>
      <c r="Y17" s="663"/>
      <c r="Z17" s="667"/>
      <c r="AA17" s="664"/>
      <c r="AB17" s="667"/>
      <c r="AC17" s="661"/>
      <c r="AD17" s="434"/>
      <c r="AE17" s="434"/>
    </row>
    <row r="18" spans="2:31" ht="14.4" customHeight="1">
      <c r="B18" s="681"/>
      <c r="C18" s="134" t="str">
        <f>+Transa_Ltp_pep_Langamarillo!B62</f>
        <v>ANTONIO CRUZ CORDOVA NAKOUZI E.I.R.L</v>
      </c>
      <c r="D18" s="327" t="s">
        <v>20</v>
      </c>
      <c r="E18" s="665">
        <f>+Transa_Ltp_pep_Langamarillo!D62</f>
        <v>1.3669999999999999E-4</v>
      </c>
      <c r="F18" s="65">
        <f>+Transa_Ltp_pep_Langamarillo!G62</f>
        <v>0.10853979999999999</v>
      </c>
      <c r="G18" s="321">
        <f>+Transa_Ltp_pep_Langamarillo!I62</f>
        <v>0</v>
      </c>
      <c r="H18" s="322">
        <f t="shared" ref="H18" si="49">F18+G18</f>
        <v>0.10853979999999999</v>
      </c>
      <c r="I18" s="299"/>
      <c r="J18" s="320">
        <f t="shared" si="28"/>
        <v>0.10853979999999999</v>
      </c>
      <c r="K18" s="317">
        <f t="shared" si="10"/>
        <v>0</v>
      </c>
      <c r="L18" s="296">
        <f>+Transa_Ltp_pep_Langamarillo!H62</f>
        <v>0.13259899999999999</v>
      </c>
      <c r="M18" s="309">
        <f>+Transa_Ltp_pep_Langamarillo!J62</f>
        <v>0</v>
      </c>
      <c r="N18" s="312">
        <f t="shared" ref="N18" si="50">L18+M18</f>
        <v>0.13259899999999999</v>
      </c>
      <c r="O18" s="299"/>
      <c r="P18" s="308">
        <f t="shared" si="38"/>
        <v>0.13259899999999999</v>
      </c>
      <c r="Q18" s="350">
        <f t="shared" si="6"/>
        <v>0</v>
      </c>
      <c r="R18" s="357">
        <f t="shared" si="7"/>
        <v>0.24113879999999999</v>
      </c>
      <c r="S18" s="358">
        <f t="shared" si="8"/>
        <v>0</v>
      </c>
      <c r="T18" s="357">
        <f t="shared" ref="T18:T20" si="51">R18+S18</f>
        <v>0.24113879999999999</v>
      </c>
      <c r="U18" s="362">
        <f t="shared" si="13"/>
        <v>0</v>
      </c>
      <c r="V18" s="357">
        <f t="shared" si="48"/>
        <v>0.24113879999999999</v>
      </c>
      <c r="W18" s="359">
        <f t="shared" si="2"/>
        <v>0</v>
      </c>
      <c r="X18" s="667">
        <f t="shared" ref="X18:Y18" si="52">R18+R19</f>
        <v>0.267932</v>
      </c>
      <c r="Y18" s="663">
        <f t="shared" si="52"/>
        <v>0</v>
      </c>
      <c r="Z18" s="667">
        <f t="shared" ref="Z18" si="53">X18+Y18</f>
        <v>0.267932</v>
      </c>
      <c r="AA18" s="664">
        <f t="shared" ref="AA18" si="54">U18+U19</f>
        <v>0</v>
      </c>
      <c r="AB18" s="667">
        <f t="shared" ref="AB18" si="55">Z18-AA18</f>
        <v>0.267932</v>
      </c>
      <c r="AC18" s="661">
        <f t="shared" ref="AC18" si="56">AA18/Z18</f>
        <v>0</v>
      </c>
      <c r="AD18" s="434"/>
      <c r="AE18" s="434"/>
    </row>
    <row r="19" spans="2:31">
      <c r="B19" s="681"/>
      <c r="C19" s="135"/>
      <c r="D19" s="135" t="s">
        <v>9</v>
      </c>
      <c r="E19" s="666"/>
      <c r="F19" s="65">
        <f>+Transa_Ltp_pep_Langamarillo!G63</f>
        <v>1.20296E-2</v>
      </c>
      <c r="G19" s="232">
        <f>+Transa_Ltp_pep_Langamarillo!I63</f>
        <v>0</v>
      </c>
      <c r="H19" s="231">
        <f t="shared" ref="H19" si="57">F19+G19+J18</f>
        <v>0.12056939999999999</v>
      </c>
      <c r="I19" s="163"/>
      <c r="J19" s="67">
        <f t="shared" si="28"/>
        <v>0.12056939999999999</v>
      </c>
      <c r="K19" s="318">
        <f t="shared" si="10"/>
        <v>0</v>
      </c>
      <c r="L19" s="296">
        <f>+Transa_Ltp_pep_Langamarillo!H63</f>
        <v>1.4763599999999998E-2</v>
      </c>
      <c r="M19" s="232">
        <f>+Transa_Ltp_pep_Langamarillo!J63</f>
        <v>0</v>
      </c>
      <c r="N19" s="68">
        <f t="shared" ref="N19" si="58">L19+M19+P18</f>
        <v>0.14736259999999998</v>
      </c>
      <c r="O19" s="163"/>
      <c r="P19" s="69">
        <f t="shared" si="38"/>
        <v>0.14736259999999998</v>
      </c>
      <c r="Q19" s="351">
        <f t="shared" si="6"/>
        <v>0</v>
      </c>
      <c r="R19" s="231">
        <f t="shared" si="7"/>
        <v>2.6793199999999996E-2</v>
      </c>
      <c r="S19" s="232">
        <f t="shared" si="8"/>
        <v>0</v>
      </c>
      <c r="T19" s="231">
        <f>R19+S19+V18</f>
        <v>0.267932</v>
      </c>
      <c r="U19" s="361">
        <f t="shared" si="13"/>
        <v>0</v>
      </c>
      <c r="V19" s="231">
        <f t="shared" si="48"/>
        <v>0.267932</v>
      </c>
      <c r="W19" s="318">
        <f t="shared" si="2"/>
        <v>0</v>
      </c>
      <c r="X19" s="667"/>
      <c r="Y19" s="663"/>
      <c r="Z19" s="667"/>
      <c r="AA19" s="664"/>
      <c r="AB19" s="667"/>
      <c r="AC19" s="661"/>
      <c r="AD19" s="434"/>
      <c r="AE19" s="434"/>
    </row>
    <row r="20" spans="2:31">
      <c r="B20" s="681"/>
      <c r="C20" s="134" t="str">
        <f>+Transa_Ltp_pep_Langamarillo!B64</f>
        <v>ENFEMAR LTDA. SOC. PESQ.</v>
      </c>
      <c r="D20" s="327" t="s">
        <v>20</v>
      </c>
      <c r="E20" s="665">
        <f>+Transa_Ltp_pep_Langamarillo!D64</f>
        <v>5.4599999999999999E-5</v>
      </c>
      <c r="F20" s="65">
        <f>+Transa_Ltp_pep_Langamarillo!G64</f>
        <v>4.3352399999999999E-2</v>
      </c>
      <c r="G20" s="321">
        <f>+Transa_Ltp_pep_Langamarillo!I64</f>
        <v>0</v>
      </c>
      <c r="H20" s="322">
        <f t="shared" ref="H20" si="59">F20+G20</f>
        <v>4.3352399999999999E-2</v>
      </c>
      <c r="I20" s="299"/>
      <c r="J20" s="320">
        <f t="shared" si="28"/>
        <v>4.3352399999999999E-2</v>
      </c>
      <c r="K20" s="317">
        <f t="shared" si="10"/>
        <v>0</v>
      </c>
      <c r="L20" s="296">
        <f>+Transa_Ltp_pep_Langamarillo!H64</f>
        <v>5.2962000000000002E-2</v>
      </c>
      <c r="M20" s="309">
        <f>+Transa_Ltp_pep_Langamarillo!J64</f>
        <v>0</v>
      </c>
      <c r="N20" s="312">
        <f t="shared" ref="N20" si="60">L20+M20</f>
        <v>5.2962000000000002E-2</v>
      </c>
      <c r="O20" s="299"/>
      <c r="P20" s="308">
        <f t="shared" si="38"/>
        <v>5.2962000000000002E-2</v>
      </c>
      <c r="Q20" s="350">
        <f t="shared" si="6"/>
        <v>0</v>
      </c>
      <c r="R20" s="357">
        <f t="shared" si="7"/>
        <v>9.6314399999999994E-2</v>
      </c>
      <c r="S20" s="358">
        <f t="shared" si="8"/>
        <v>0</v>
      </c>
      <c r="T20" s="357">
        <f t="shared" si="51"/>
        <v>9.6314399999999994E-2</v>
      </c>
      <c r="U20" s="362">
        <f t="shared" si="13"/>
        <v>0</v>
      </c>
      <c r="V20" s="357">
        <f t="shared" si="48"/>
        <v>9.6314399999999994E-2</v>
      </c>
      <c r="W20" s="359">
        <f t="shared" si="2"/>
        <v>0</v>
      </c>
      <c r="X20" s="667">
        <f t="shared" ref="X20:Y20" si="61">R20+R21</f>
        <v>0.107016</v>
      </c>
      <c r="Y20" s="663">
        <f t="shared" si="61"/>
        <v>0</v>
      </c>
      <c r="Z20" s="667">
        <f t="shared" ref="Z20" si="62">X20+Y20</f>
        <v>0.107016</v>
      </c>
      <c r="AA20" s="664">
        <f t="shared" ref="AA20" si="63">U20+U21</f>
        <v>0</v>
      </c>
      <c r="AB20" s="667">
        <f t="shared" ref="AB20" si="64">Z20-AA20</f>
        <v>0.107016</v>
      </c>
      <c r="AC20" s="661">
        <f t="shared" ref="AC20" si="65">AA20/Z20</f>
        <v>0</v>
      </c>
      <c r="AD20" s="434"/>
      <c r="AE20" s="434"/>
    </row>
    <row r="21" spans="2:31">
      <c r="B21" s="681"/>
      <c r="C21" s="135"/>
      <c r="D21" s="135" t="s">
        <v>9</v>
      </c>
      <c r="E21" s="666"/>
      <c r="F21" s="65">
        <f>+Transa_Ltp_pep_Langamarillo!G65</f>
        <v>4.8047999999999997E-3</v>
      </c>
      <c r="G21" s="232">
        <f>+Transa_Ltp_pep_Langamarillo!I65</f>
        <v>0</v>
      </c>
      <c r="H21" s="231">
        <f t="shared" ref="H21" si="66">F21+G21+J20</f>
        <v>4.8157199999999997E-2</v>
      </c>
      <c r="I21" s="163"/>
      <c r="J21" s="67">
        <f t="shared" si="28"/>
        <v>4.8157199999999997E-2</v>
      </c>
      <c r="K21" s="318">
        <f t="shared" si="10"/>
        <v>0</v>
      </c>
      <c r="L21" s="296">
        <f>+Transa_Ltp_pep_Langamarillo!H65</f>
        <v>5.8967999999999998E-3</v>
      </c>
      <c r="M21" s="232">
        <f>+Transa_Ltp_pep_Langamarillo!J65</f>
        <v>0</v>
      </c>
      <c r="N21" s="68">
        <f t="shared" ref="N21" si="67">L21+M21+P20</f>
        <v>5.8858800000000003E-2</v>
      </c>
      <c r="O21" s="163"/>
      <c r="P21" s="69">
        <f t="shared" si="38"/>
        <v>5.8858800000000003E-2</v>
      </c>
      <c r="Q21" s="351">
        <f t="shared" si="6"/>
        <v>0</v>
      </c>
      <c r="R21" s="231">
        <f t="shared" si="7"/>
        <v>1.0701599999999999E-2</v>
      </c>
      <c r="S21" s="232">
        <f t="shared" si="8"/>
        <v>0</v>
      </c>
      <c r="T21" s="231">
        <f>R21+S21+V20</f>
        <v>0.107016</v>
      </c>
      <c r="U21" s="361">
        <f t="shared" si="13"/>
        <v>0</v>
      </c>
      <c r="V21" s="231">
        <f t="shared" si="48"/>
        <v>0.107016</v>
      </c>
      <c r="W21" s="318">
        <f t="shared" si="2"/>
        <v>0</v>
      </c>
      <c r="X21" s="667"/>
      <c r="Y21" s="663"/>
      <c r="Z21" s="667"/>
      <c r="AA21" s="664"/>
      <c r="AB21" s="667"/>
      <c r="AC21" s="661"/>
      <c r="AD21" s="434"/>
      <c r="AE21" s="434"/>
    </row>
    <row r="22" spans="2:31">
      <c r="B22" s="681"/>
      <c r="C22" s="134" t="str">
        <f>+Transa_Ltp_pep_Langamarillo!B66</f>
        <v>PACIFICBLU SpA.</v>
      </c>
      <c r="D22" s="134" t="s">
        <v>20</v>
      </c>
      <c r="E22" s="665">
        <f>+Transa_Ltp_pep_Langamarillo!D66</f>
        <v>0.17048904000000001</v>
      </c>
      <c r="F22" s="65">
        <f>+Transa_Ltp_pep_Langamarillo!G66</f>
        <v>135.36829776000002</v>
      </c>
      <c r="G22" s="321">
        <f>+Transa_Ltp_pep_Langamarillo!I66</f>
        <v>-116.98847999999998</v>
      </c>
      <c r="H22" s="63">
        <f>F22+G22</f>
        <v>18.379817760000037</v>
      </c>
      <c r="I22" s="162"/>
      <c r="J22" s="64">
        <f t="shared" ref="J22:J23" si="68">H22-I22</f>
        <v>18.379817760000037</v>
      </c>
      <c r="K22" s="317">
        <v>0</v>
      </c>
      <c r="L22" s="296">
        <f>+Transa_Ltp_pep_Langamarillo!H66</f>
        <v>165.37436880000001</v>
      </c>
      <c r="M22" s="309">
        <f>+Transa_Ltp_pep_Langamarillo!J66</f>
        <v>-142.98591999999996</v>
      </c>
      <c r="N22" s="65">
        <f t="shared" ref="N22" si="69">L22+M22</f>
        <v>22.388448800000049</v>
      </c>
      <c r="O22" s="162"/>
      <c r="P22" s="167">
        <f t="shared" ref="P22:P23" si="70">N22-O22</f>
        <v>22.388448800000049</v>
      </c>
      <c r="Q22" s="352">
        <v>0</v>
      </c>
      <c r="R22" s="168">
        <f t="shared" ref="R22:R23" si="71">+F22+L22</f>
        <v>300.74266656000003</v>
      </c>
      <c r="S22" s="358">
        <f t="shared" ref="S22:S23" si="72">G22+M22</f>
        <v>-259.97439999999995</v>
      </c>
      <c r="T22" s="168">
        <f t="shared" ref="T22" si="73">R22+S22</f>
        <v>40.768266560000086</v>
      </c>
      <c r="U22" s="363">
        <f t="shared" ref="U22:U23" si="74">I22+O22</f>
        <v>0</v>
      </c>
      <c r="V22" s="168">
        <f t="shared" ref="V22:V23" si="75">T22-U22</f>
        <v>40.768266560000086</v>
      </c>
      <c r="W22" s="359">
        <v>0</v>
      </c>
      <c r="X22" s="667">
        <f>R22+R23</f>
        <v>334.15851840000005</v>
      </c>
      <c r="Y22" s="663">
        <f>S22+S23</f>
        <v>-259.97439999999995</v>
      </c>
      <c r="Z22" s="667">
        <f t="shared" ref="Z22" si="76">X22+Y22</f>
        <v>74.184118400000102</v>
      </c>
      <c r="AA22" s="664">
        <f>U22+U23</f>
        <v>0</v>
      </c>
      <c r="AB22" s="667">
        <f t="shared" ref="AB22" si="77">Z22-AA22</f>
        <v>74.184118400000102</v>
      </c>
      <c r="AC22" s="661">
        <v>0</v>
      </c>
      <c r="AD22" s="434"/>
      <c r="AE22" s="434"/>
    </row>
    <row r="23" spans="2:31">
      <c r="B23" s="681"/>
      <c r="C23" s="135"/>
      <c r="D23" s="134" t="s">
        <v>9</v>
      </c>
      <c r="E23" s="666"/>
      <c r="F23" s="65">
        <f>+Transa_Ltp_pep_Langamarillo!G67</f>
        <v>15.003035520000001</v>
      </c>
      <c r="G23" s="232">
        <f>+Transa_Ltp_pep_Langamarillo!I67</f>
        <v>0</v>
      </c>
      <c r="H23" s="63">
        <f>F23+G23+J22</f>
        <v>33.382853280000035</v>
      </c>
      <c r="I23" s="162"/>
      <c r="J23" s="64">
        <f t="shared" si="68"/>
        <v>33.382853280000035</v>
      </c>
      <c r="K23" s="317">
        <v>0</v>
      </c>
      <c r="L23" s="296">
        <f>+Transa_Ltp_pep_Langamarillo!H67</f>
        <v>18.412816320000001</v>
      </c>
      <c r="M23" s="232">
        <f>+Transa_Ltp_pep_Langamarillo!J67</f>
        <v>0</v>
      </c>
      <c r="N23" s="65">
        <f>L23+M23+P22</f>
        <v>40.801265120000053</v>
      </c>
      <c r="O23" s="162"/>
      <c r="P23" s="167">
        <f t="shared" si="70"/>
        <v>40.801265120000053</v>
      </c>
      <c r="Q23" s="352">
        <v>0</v>
      </c>
      <c r="R23" s="168">
        <f t="shared" si="71"/>
        <v>33.415851840000002</v>
      </c>
      <c r="S23" s="232">
        <f t="shared" si="72"/>
        <v>0</v>
      </c>
      <c r="T23" s="168">
        <f>R23+S23+V22</f>
        <v>74.184118400000088</v>
      </c>
      <c r="U23" s="363">
        <f t="shared" si="74"/>
        <v>0</v>
      </c>
      <c r="V23" s="168">
        <f t="shared" si="75"/>
        <v>74.184118400000088</v>
      </c>
      <c r="W23" s="318">
        <v>0</v>
      </c>
      <c r="X23" s="667"/>
      <c r="Y23" s="663"/>
      <c r="Z23" s="667"/>
      <c r="AA23" s="664"/>
      <c r="AB23" s="667"/>
      <c r="AC23" s="661"/>
      <c r="AD23" s="434"/>
      <c r="AE23" s="434"/>
    </row>
    <row r="24" spans="2:31">
      <c r="B24" s="681"/>
      <c r="C24" s="134" t="str">
        <f>+Transa_Ltp_pep_Langamarillo!B68</f>
        <v xml:space="preserve">ANTONIO DA VENEZIA RETAMALES </v>
      </c>
      <c r="D24" s="327" t="s">
        <v>20</v>
      </c>
      <c r="E24" s="665">
        <f>+Transa_Ltp_pep_Langamarillo!D68</f>
        <v>2.0100000000000001E-5</v>
      </c>
      <c r="F24" s="65">
        <f>+Transa_Ltp_pep_Langamarillo!G68</f>
        <v>1.5959400000000002E-2</v>
      </c>
      <c r="G24" s="321">
        <f>+Transa_Ltp_pep_Langamarillo!I68</f>
        <v>0</v>
      </c>
      <c r="H24" s="322">
        <f t="shared" ref="H24" si="78">F24+G24</f>
        <v>1.5959400000000002E-2</v>
      </c>
      <c r="I24" s="299"/>
      <c r="J24" s="320">
        <f t="shared" si="28"/>
        <v>1.5959400000000002E-2</v>
      </c>
      <c r="K24" s="324">
        <f t="shared" si="10"/>
        <v>0</v>
      </c>
      <c r="L24" s="296">
        <f>+Transa_Ltp_pep_Langamarillo!H68</f>
        <v>1.9497E-2</v>
      </c>
      <c r="M24" s="309">
        <f>+Transa_Ltp_pep_Langamarillo!J68</f>
        <v>0</v>
      </c>
      <c r="N24" s="312">
        <f t="shared" ref="N24" si="79">L24+M24</f>
        <v>1.9497E-2</v>
      </c>
      <c r="O24" s="299"/>
      <c r="P24" s="313">
        <f t="shared" si="38"/>
        <v>1.9497E-2</v>
      </c>
      <c r="Q24" s="353">
        <f t="shared" si="6"/>
        <v>0</v>
      </c>
      <c r="R24" s="360">
        <f t="shared" si="7"/>
        <v>3.5456399999999999E-2</v>
      </c>
      <c r="S24" s="358">
        <f t="shared" si="8"/>
        <v>0</v>
      </c>
      <c r="T24" s="357">
        <f t="shared" ref="T24" si="80">R24+S24</f>
        <v>3.5456399999999999E-2</v>
      </c>
      <c r="U24" s="362">
        <f t="shared" si="13"/>
        <v>0</v>
      </c>
      <c r="V24" s="357">
        <f t="shared" si="48"/>
        <v>3.5456399999999999E-2</v>
      </c>
      <c r="W24" s="359">
        <f t="shared" ref="W24:W27" si="81">U24/T24</f>
        <v>0</v>
      </c>
      <c r="X24" s="667">
        <f>R24+R25</f>
        <v>3.9396E-2</v>
      </c>
      <c r="Y24" s="663">
        <f>S24+S25</f>
        <v>0</v>
      </c>
      <c r="Z24" s="667">
        <f t="shared" ref="Z24" si="82">X24+Y24</f>
        <v>3.9396E-2</v>
      </c>
      <c r="AA24" s="664">
        <f>U24+U25</f>
        <v>0</v>
      </c>
      <c r="AB24" s="667">
        <f t="shared" ref="AB24" si="83">Z24-AA24</f>
        <v>3.9396E-2</v>
      </c>
      <c r="AC24" s="661">
        <f t="shared" ref="AC24" si="84">AA24/Z24</f>
        <v>0</v>
      </c>
      <c r="AD24" s="434"/>
      <c r="AE24" s="434"/>
    </row>
    <row r="25" spans="2:31">
      <c r="B25" s="681"/>
      <c r="C25" s="135"/>
      <c r="D25" s="135" t="s">
        <v>9</v>
      </c>
      <c r="E25" s="666"/>
      <c r="F25" s="65">
        <f>+Transa_Ltp_pep_Langamarillo!G69</f>
        <v>1.7688000000000001E-3</v>
      </c>
      <c r="G25" s="232">
        <f>+Transa_Ltp_pep_Langamarillo!I69</f>
        <v>0</v>
      </c>
      <c r="H25" s="231">
        <f>F25+G25+J24</f>
        <v>1.7728200000000003E-2</v>
      </c>
      <c r="I25" s="163"/>
      <c r="J25" s="67">
        <f t="shared" si="28"/>
        <v>1.7728200000000003E-2</v>
      </c>
      <c r="K25" s="318">
        <f t="shared" si="10"/>
        <v>0</v>
      </c>
      <c r="L25" s="296">
        <f>+Transa_Ltp_pep_Langamarillo!H69</f>
        <v>2.1708000000000001E-3</v>
      </c>
      <c r="M25" s="232">
        <f>+Transa_Ltp_pep_Langamarillo!J69</f>
        <v>0</v>
      </c>
      <c r="N25" s="68">
        <f>L25+M25+P24</f>
        <v>2.1667800000000001E-2</v>
      </c>
      <c r="O25" s="163"/>
      <c r="P25" s="69">
        <f t="shared" si="38"/>
        <v>2.1667800000000001E-2</v>
      </c>
      <c r="Q25" s="351">
        <f t="shared" si="6"/>
        <v>0</v>
      </c>
      <c r="R25" s="231">
        <f t="shared" si="7"/>
        <v>3.9395999999999997E-3</v>
      </c>
      <c r="S25" s="232">
        <f t="shared" si="8"/>
        <v>0</v>
      </c>
      <c r="T25" s="231">
        <f>R25+S25+V24</f>
        <v>3.9396E-2</v>
      </c>
      <c r="U25" s="361">
        <f t="shared" si="13"/>
        <v>0</v>
      </c>
      <c r="V25" s="231">
        <f t="shared" si="48"/>
        <v>3.9396E-2</v>
      </c>
      <c r="W25" s="318">
        <f t="shared" si="81"/>
        <v>0</v>
      </c>
      <c r="X25" s="667"/>
      <c r="Y25" s="663"/>
      <c r="Z25" s="667"/>
      <c r="AA25" s="664"/>
      <c r="AB25" s="667"/>
      <c r="AC25" s="661"/>
      <c r="AD25" s="434"/>
      <c r="AE25" s="434"/>
    </row>
    <row r="26" spans="2:31">
      <c r="B26" s="681"/>
      <c r="C26" s="134" t="str">
        <f>+Transa_Ltp_pep_Langamarillo!B70</f>
        <v>LANDES S.A. SOC. PESQ.</v>
      </c>
      <c r="D26" s="327" t="s">
        <v>20</v>
      </c>
      <c r="E26" s="665">
        <f>+Transa_Ltp_pep_Langamarillo!D70</f>
        <v>1E-3</v>
      </c>
      <c r="F26" s="65">
        <f>+Transa_Ltp_pep_Langamarillo!G70</f>
        <v>0.79400000000000004</v>
      </c>
      <c r="G26" s="321">
        <f>+Transa_Ltp_pep_Langamarillo!I70</f>
        <v>0</v>
      </c>
      <c r="H26" s="322">
        <f>F26+G26</f>
        <v>0.79400000000000004</v>
      </c>
      <c r="I26" s="299"/>
      <c r="J26" s="320">
        <f t="shared" si="28"/>
        <v>0.79400000000000004</v>
      </c>
      <c r="K26" s="324">
        <f t="shared" si="10"/>
        <v>0</v>
      </c>
      <c r="L26" s="296">
        <f>+Transa_Ltp_pep_Langamarillo!H70</f>
        <v>0.97</v>
      </c>
      <c r="M26" s="309">
        <f>+Transa_Ltp_pep_Langamarillo!J70</f>
        <v>0</v>
      </c>
      <c r="N26" s="312">
        <f t="shared" ref="N26" si="85">L26+M26</f>
        <v>0.97</v>
      </c>
      <c r="O26" s="299"/>
      <c r="P26" s="308">
        <f t="shared" si="38"/>
        <v>0.97</v>
      </c>
      <c r="Q26" s="354">
        <f t="shared" si="6"/>
        <v>0</v>
      </c>
      <c r="R26" s="357">
        <f t="shared" si="7"/>
        <v>1.764</v>
      </c>
      <c r="S26" s="358">
        <f t="shared" si="8"/>
        <v>0</v>
      </c>
      <c r="T26" s="357">
        <f t="shared" ref="T26" si="86">R26+S26</f>
        <v>1.764</v>
      </c>
      <c r="U26" s="362">
        <f t="shared" si="13"/>
        <v>0</v>
      </c>
      <c r="V26" s="357">
        <f t="shared" si="48"/>
        <v>1.764</v>
      </c>
      <c r="W26" s="359">
        <f t="shared" si="81"/>
        <v>0</v>
      </c>
      <c r="X26" s="667">
        <f>R26+R27</f>
        <v>1.96</v>
      </c>
      <c r="Y26" s="663">
        <f>S26+S27</f>
        <v>0</v>
      </c>
      <c r="Z26" s="667">
        <f t="shared" ref="Z26" si="87">X26+Y26</f>
        <v>1.96</v>
      </c>
      <c r="AA26" s="664">
        <f>U26+U27</f>
        <v>0</v>
      </c>
      <c r="AB26" s="667">
        <f t="shared" ref="AB26" si="88">Z26-AA26</f>
        <v>1.96</v>
      </c>
      <c r="AC26" s="661">
        <f t="shared" ref="AC26" si="89">AA26/Z26</f>
        <v>0</v>
      </c>
      <c r="AD26" s="434"/>
      <c r="AE26" s="434"/>
    </row>
    <row r="27" spans="2:31">
      <c r="B27" s="681"/>
      <c r="C27" s="135"/>
      <c r="D27" s="135" t="s">
        <v>9</v>
      </c>
      <c r="E27" s="666"/>
      <c r="F27" s="65">
        <f>+Transa_Ltp_pep_Langamarillo!G71</f>
        <v>8.7999999999999995E-2</v>
      </c>
      <c r="G27" s="232">
        <f>+Transa_Ltp_pep_Langamarillo!I71</f>
        <v>0</v>
      </c>
      <c r="H27" s="63">
        <f>F27+G27+J26</f>
        <v>0.88200000000000001</v>
      </c>
      <c r="I27" s="162"/>
      <c r="J27" s="64">
        <f t="shared" si="28"/>
        <v>0.88200000000000001</v>
      </c>
      <c r="K27" s="317">
        <f t="shared" si="10"/>
        <v>0</v>
      </c>
      <c r="L27" s="296">
        <f>+Transa_Ltp_pep_Langamarillo!H71</f>
        <v>0.108</v>
      </c>
      <c r="M27" s="232">
        <f>+Transa_Ltp_pep_Langamarillo!J71</f>
        <v>0</v>
      </c>
      <c r="N27" s="68">
        <f>L27+M27+P26</f>
        <v>1.0780000000000001</v>
      </c>
      <c r="O27" s="163"/>
      <c r="P27" s="69">
        <f t="shared" si="38"/>
        <v>1.0780000000000001</v>
      </c>
      <c r="Q27" s="351">
        <f t="shared" si="6"/>
        <v>0</v>
      </c>
      <c r="R27" s="231">
        <f t="shared" si="7"/>
        <v>0.19600000000000001</v>
      </c>
      <c r="S27" s="232">
        <f t="shared" si="8"/>
        <v>0</v>
      </c>
      <c r="T27" s="231">
        <f>R27+S27+V26</f>
        <v>1.96</v>
      </c>
      <c r="U27" s="361">
        <f t="shared" si="13"/>
        <v>0</v>
      </c>
      <c r="V27" s="231">
        <f t="shared" si="48"/>
        <v>1.96</v>
      </c>
      <c r="W27" s="318">
        <f t="shared" si="81"/>
        <v>0</v>
      </c>
      <c r="X27" s="667"/>
      <c r="Y27" s="663"/>
      <c r="Z27" s="667"/>
      <c r="AA27" s="664"/>
      <c r="AB27" s="667"/>
      <c r="AC27" s="661"/>
      <c r="AD27" s="434"/>
      <c r="AE27" s="434"/>
    </row>
    <row r="28" spans="2:31">
      <c r="B28" s="681"/>
      <c r="C28" s="134" t="str">
        <f>+Transa_Ltp_pep_Langamarillo!B72</f>
        <v>JORGE COFRE REYES</v>
      </c>
      <c r="D28" s="327" t="s">
        <v>20</v>
      </c>
      <c r="E28" s="665">
        <f>+Transa_Ltp_pep_Langamarillo!D72</f>
        <v>0</v>
      </c>
      <c r="F28" s="65">
        <f>+Transa_Ltp_pep_Langamarillo!G72</f>
        <v>0</v>
      </c>
      <c r="G28" s="321">
        <f>+Transa_Ltp_pep_Langamarillo!I72</f>
        <v>0</v>
      </c>
      <c r="H28" s="322">
        <f>F28+G28</f>
        <v>0</v>
      </c>
      <c r="I28" s="314"/>
      <c r="J28" s="320">
        <f t="shared" si="28"/>
        <v>0</v>
      </c>
      <c r="K28" s="324">
        <v>0</v>
      </c>
      <c r="L28" s="296">
        <f>+Transa_Ltp_pep_Langamarillo!H72</f>
        <v>0</v>
      </c>
      <c r="M28" s="309">
        <f>+Transa_Ltp_pep_Langamarillo!J72</f>
        <v>81.731999999999999</v>
      </c>
      <c r="N28" s="312">
        <f t="shared" ref="N28" si="90">L28+M28</f>
        <v>81.731999999999999</v>
      </c>
      <c r="O28">
        <v>3.0680000000000001</v>
      </c>
      <c r="P28" s="308">
        <f t="shared" si="38"/>
        <v>78.664000000000001</v>
      </c>
      <c r="Q28" s="166">
        <v>0</v>
      </c>
      <c r="R28" s="357">
        <f t="shared" si="7"/>
        <v>0</v>
      </c>
      <c r="S28" s="358">
        <f t="shared" si="8"/>
        <v>81.731999999999999</v>
      </c>
      <c r="T28" s="357">
        <f t="shared" ref="T28" si="91">R28+S28</f>
        <v>81.731999999999999</v>
      </c>
      <c r="U28" s="362">
        <f t="shared" si="13"/>
        <v>3.0680000000000001</v>
      </c>
      <c r="V28" s="357">
        <f t="shared" si="48"/>
        <v>78.664000000000001</v>
      </c>
      <c r="W28" s="359">
        <v>0</v>
      </c>
      <c r="X28" s="667">
        <f>R28+R29</f>
        <v>0</v>
      </c>
      <c r="Y28" s="663">
        <f>S28+S29</f>
        <v>81.731999999999999</v>
      </c>
      <c r="Z28" s="667">
        <f>X28+Y28</f>
        <v>81.731999999999999</v>
      </c>
      <c r="AA28" s="664">
        <f>U28+U29</f>
        <v>3.0680000000000001</v>
      </c>
      <c r="AB28" s="667">
        <f t="shared" ref="AB28" si="92">Z28-AA28</f>
        <v>78.664000000000001</v>
      </c>
      <c r="AC28" s="668">
        <f>IF(Z28&gt;0,AA28/Z28,"0%")</f>
        <v>3.7537317085107429E-2</v>
      </c>
      <c r="AD28" s="434"/>
      <c r="AE28" s="434"/>
    </row>
    <row r="29" spans="2:31">
      <c r="B29" s="681"/>
      <c r="C29" s="135"/>
      <c r="D29" s="135" t="s">
        <v>9</v>
      </c>
      <c r="E29" s="666"/>
      <c r="F29" s="65">
        <f>+Transa_Ltp_pep_Langamarillo!G73</f>
        <v>0</v>
      </c>
      <c r="G29" s="232">
        <f>+Transa_Ltp_pep_Langamarillo!I73</f>
        <v>0</v>
      </c>
      <c r="H29" s="63">
        <f>F29+G29+J28</f>
        <v>0</v>
      </c>
      <c r="I29" s="236"/>
      <c r="J29" s="64">
        <f t="shared" si="28"/>
        <v>0</v>
      </c>
      <c r="K29" s="317">
        <v>0</v>
      </c>
      <c r="L29" s="296">
        <f>+Transa_Ltp_pep_Langamarillo!H73</f>
        <v>0</v>
      </c>
      <c r="M29" s="232">
        <f>+Transa_Ltp_pep_Langamarillo!J73</f>
        <v>0</v>
      </c>
      <c r="N29" s="68">
        <f>L29+M29+P28</f>
        <v>78.664000000000001</v>
      </c>
      <c r="O29" s="237"/>
      <c r="P29" s="69">
        <f t="shared" si="38"/>
        <v>78.664000000000001</v>
      </c>
      <c r="Q29" s="351">
        <v>0</v>
      </c>
      <c r="R29" s="231">
        <f t="shared" si="7"/>
        <v>0</v>
      </c>
      <c r="S29" s="232">
        <f t="shared" si="8"/>
        <v>0</v>
      </c>
      <c r="T29" s="231">
        <f>R29+S29+V28</f>
        <v>78.664000000000001</v>
      </c>
      <c r="U29" s="361">
        <f t="shared" si="13"/>
        <v>0</v>
      </c>
      <c r="V29" s="231">
        <f t="shared" si="48"/>
        <v>78.664000000000001</v>
      </c>
      <c r="W29" s="318">
        <v>0</v>
      </c>
      <c r="X29" s="667"/>
      <c r="Y29" s="663"/>
      <c r="Z29" s="667"/>
      <c r="AA29" s="664"/>
      <c r="AB29" s="667"/>
      <c r="AC29" s="668"/>
      <c r="AD29" s="434"/>
      <c r="AE29" s="434"/>
    </row>
    <row r="30" spans="2:31" ht="14.4" customHeight="1">
      <c r="B30" s="681"/>
      <c r="C30" s="134" t="str">
        <f>+Transa_Ltp_pep_Langamarillo!B74</f>
        <v>CRISTIAN RODRIGO ANTONIO MARDONES PANTOJA</v>
      </c>
      <c r="D30" s="327" t="s">
        <v>20</v>
      </c>
      <c r="E30" s="665">
        <f>+Transa_Ltp_pep_Langamarillo!D74</f>
        <v>0</v>
      </c>
      <c r="F30" s="65">
        <f>+Transa_Ltp_pep_Langamarillo!G74</f>
        <v>0</v>
      </c>
      <c r="G30" s="321">
        <f>+Transa_Ltp_pep_Langamarillo!I74</f>
        <v>0</v>
      </c>
      <c r="H30" s="322">
        <f>F30+G30</f>
        <v>0</v>
      </c>
      <c r="I30" s="299"/>
      <c r="J30" s="320">
        <f t="shared" ref="J30:J33" si="93">H30-I30</f>
        <v>0</v>
      </c>
      <c r="K30" s="324">
        <v>0</v>
      </c>
      <c r="L30" s="296">
        <f>+Transa_Ltp_pep_Langamarillo!H74</f>
        <v>0</v>
      </c>
      <c r="M30" s="309">
        <f>+Transa_Ltp_pep_Langamarillo!J74</f>
        <v>0</v>
      </c>
      <c r="N30" s="312">
        <f t="shared" ref="N30" si="94">L30+M30</f>
        <v>0</v>
      </c>
      <c r="O30" s="299"/>
      <c r="P30" s="308">
        <f t="shared" ref="P30:P33" si="95">N30-O30</f>
        <v>0</v>
      </c>
      <c r="Q30" s="166">
        <v>0</v>
      </c>
      <c r="R30" s="357">
        <f t="shared" ref="R30:R33" si="96">+F30+L30</f>
        <v>0</v>
      </c>
      <c r="S30" s="358">
        <f t="shared" ref="S30:S33" si="97">G30+M30</f>
        <v>0</v>
      </c>
      <c r="T30" s="357">
        <f t="shared" ref="T30" si="98">R30+S30</f>
        <v>0</v>
      </c>
      <c r="U30" s="362">
        <f t="shared" ref="U30:U33" si="99">I30+O30</f>
        <v>0</v>
      </c>
      <c r="V30" s="357">
        <f t="shared" ref="V30:V33" si="100">T30-U30</f>
        <v>0</v>
      </c>
      <c r="W30" s="359">
        <v>0</v>
      </c>
      <c r="X30" s="667">
        <f>R30+R31</f>
        <v>0</v>
      </c>
      <c r="Y30" s="663">
        <f>S30+S31</f>
        <v>0</v>
      </c>
      <c r="Z30" s="667">
        <f t="shared" ref="Z30" si="101">X30+Y30</f>
        <v>0</v>
      </c>
      <c r="AA30" s="664">
        <f>U30+U31</f>
        <v>0</v>
      </c>
      <c r="AB30" s="667">
        <f t="shared" ref="AB30" si="102">Z30-AA30</f>
        <v>0</v>
      </c>
      <c r="AC30" s="661">
        <v>0</v>
      </c>
      <c r="AD30" s="434"/>
      <c r="AE30" s="434"/>
    </row>
    <row r="31" spans="2:31">
      <c r="B31" s="681"/>
      <c r="C31" s="135"/>
      <c r="D31" s="135" t="s">
        <v>9</v>
      </c>
      <c r="E31" s="666"/>
      <c r="F31" s="65">
        <f>+Transa_Ltp_pep_Langamarillo!G75</f>
        <v>0</v>
      </c>
      <c r="G31" s="232">
        <f>+Transa_Ltp_pep_Langamarillo!I75</f>
        <v>0</v>
      </c>
      <c r="H31" s="63">
        <f>F31+G31+J30</f>
        <v>0</v>
      </c>
      <c r="I31" s="162"/>
      <c r="J31" s="64">
        <f t="shared" si="93"/>
        <v>0</v>
      </c>
      <c r="K31" s="317">
        <v>0</v>
      </c>
      <c r="L31" s="296">
        <f>+Transa_Ltp_pep_Langamarillo!H75</f>
        <v>0</v>
      </c>
      <c r="M31" s="232">
        <f>+Transa_Ltp_pep_Langamarillo!J75</f>
        <v>0</v>
      </c>
      <c r="N31" s="68">
        <f>L31+M31+P30</f>
        <v>0</v>
      </c>
      <c r="O31" s="163"/>
      <c r="P31" s="69">
        <f t="shared" si="95"/>
        <v>0</v>
      </c>
      <c r="Q31" s="351">
        <v>0</v>
      </c>
      <c r="R31" s="231">
        <f t="shared" si="96"/>
        <v>0</v>
      </c>
      <c r="S31" s="232">
        <f t="shared" si="97"/>
        <v>0</v>
      </c>
      <c r="T31" s="231">
        <f>R31+S31+V30</f>
        <v>0</v>
      </c>
      <c r="U31" s="361">
        <f t="shared" si="99"/>
        <v>0</v>
      </c>
      <c r="V31" s="231">
        <f t="shared" si="100"/>
        <v>0</v>
      </c>
      <c r="W31" s="318">
        <v>0</v>
      </c>
      <c r="X31" s="667"/>
      <c r="Y31" s="663"/>
      <c r="Z31" s="667"/>
      <c r="AA31" s="664"/>
      <c r="AB31" s="667"/>
      <c r="AC31" s="661"/>
      <c r="AD31" s="434"/>
      <c r="AE31" s="434"/>
    </row>
    <row r="32" spans="2:31">
      <c r="B32" s="681"/>
      <c r="C32" s="134" t="str">
        <f>+Transa_Ltp_pep_Langamarillo!B76</f>
        <v>PESQUERA CMK LTDA.</v>
      </c>
      <c r="D32" s="327" t="s">
        <v>20</v>
      </c>
      <c r="E32" s="665">
        <f>+Transa_Ltp_pep_Langamarillo!D76</f>
        <v>0</v>
      </c>
      <c r="F32" s="65">
        <f>+Transa_Ltp_pep_Langamarillo!G76</f>
        <v>0</v>
      </c>
      <c r="G32" s="321">
        <f>+Transa_Ltp_pep_Langamarillo!I76</f>
        <v>0</v>
      </c>
      <c r="H32" s="322">
        <f>F32+G32</f>
        <v>0</v>
      </c>
      <c r="I32" s="325"/>
      <c r="J32" s="320">
        <f t="shared" si="93"/>
        <v>0</v>
      </c>
      <c r="K32" s="324">
        <v>0</v>
      </c>
      <c r="L32" s="296">
        <f>+Transa_Ltp_pep_Langamarillo!H76</f>
        <v>0</v>
      </c>
      <c r="M32" s="309">
        <f>+Transa_Ltp_pep_Langamarillo!J76</f>
        <v>0</v>
      </c>
      <c r="N32" s="312">
        <f t="shared" ref="N32" si="103">L32+M32</f>
        <v>0</v>
      </c>
      <c r="O32" s="230"/>
      <c r="P32" s="308">
        <f t="shared" si="95"/>
        <v>0</v>
      </c>
      <c r="Q32" s="166">
        <v>0</v>
      </c>
      <c r="R32" s="357">
        <f t="shared" si="96"/>
        <v>0</v>
      </c>
      <c r="S32" s="358">
        <f t="shared" si="97"/>
        <v>0</v>
      </c>
      <c r="T32" s="357">
        <f t="shared" ref="T32" si="104">R32+S32</f>
        <v>0</v>
      </c>
      <c r="U32" s="362">
        <f t="shared" si="99"/>
        <v>0</v>
      </c>
      <c r="V32" s="357">
        <f t="shared" si="100"/>
        <v>0</v>
      </c>
      <c r="W32" s="359">
        <v>0</v>
      </c>
      <c r="X32" s="667">
        <f>R32+R33</f>
        <v>0</v>
      </c>
      <c r="Y32" s="663">
        <f>S32+S33</f>
        <v>0</v>
      </c>
      <c r="Z32" s="667">
        <f>X32+Y32</f>
        <v>0</v>
      </c>
      <c r="AA32" s="664">
        <f>U32+U33</f>
        <v>0</v>
      </c>
      <c r="AB32" s="667">
        <f t="shared" ref="AB32" si="105">Z32-AA32</f>
        <v>0</v>
      </c>
      <c r="AC32" s="668" t="str">
        <f>IF(Z32&gt;0,AA32/Z32,"0%")</f>
        <v>0%</v>
      </c>
      <c r="AD32" s="434"/>
      <c r="AE32" s="434"/>
    </row>
    <row r="33" spans="2:31">
      <c r="B33" s="681"/>
      <c r="C33" s="135"/>
      <c r="D33" s="135" t="s">
        <v>9</v>
      </c>
      <c r="E33" s="666"/>
      <c r="F33" s="65">
        <f>+Transa_Ltp_pep_Langamarillo!G77</f>
        <v>0</v>
      </c>
      <c r="G33" s="232">
        <f>+Transa_Ltp_pep_Langamarillo!I77</f>
        <v>0</v>
      </c>
      <c r="H33" s="63">
        <f>F33+G33+J32</f>
        <v>0</v>
      </c>
      <c r="I33" s="11"/>
      <c r="J33" s="64">
        <f t="shared" si="93"/>
        <v>0</v>
      </c>
      <c r="K33" s="317">
        <v>0</v>
      </c>
      <c r="L33" s="296">
        <f>+Transa_Ltp_pep_Langamarillo!H77</f>
        <v>0</v>
      </c>
      <c r="M33" s="232">
        <f>+Transa_Ltp_pep_Langamarillo!J77</f>
        <v>0</v>
      </c>
      <c r="N33" s="68">
        <f>L33+M33+P32</f>
        <v>0</v>
      </c>
      <c r="O33" s="163"/>
      <c r="P33" s="69">
        <f t="shared" si="95"/>
        <v>0</v>
      </c>
      <c r="Q33" s="351">
        <v>0</v>
      </c>
      <c r="R33" s="231">
        <f t="shared" si="96"/>
        <v>0</v>
      </c>
      <c r="S33" s="271">
        <f t="shared" si="97"/>
        <v>0</v>
      </c>
      <c r="T33" s="231">
        <f>R33+S33+V32</f>
        <v>0</v>
      </c>
      <c r="U33" s="361">
        <f t="shared" si="99"/>
        <v>0</v>
      </c>
      <c r="V33" s="231">
        <f t="shared" si="100"/>
        <v>0</v>
      </c>
      <c r="W33" s="318">
        <v>0</v>
      </c>
      <c r="X33" s="667"/>
      <c r="Y33" s="663"/>
      <c r="Z33" s="667"/>
      <c r="AA33" s="664"/>
      <c r="AB33" s="667"/>
      <c r="AC33" s="668"/>
      <c r="AD33" s="434"/>
      <c r="AE33" s="434"/>
    </row>
    <row r="34" spans="2:31">
      <c r="B34" s="681"/>
      <c r="C34" s="134" t="str">
        <f>+Transa_Ltp_pep_Langamarillo!B78</f>
        <v>RUBIO Y MAUAD</v>
      </c>
      <c r="D34" s="327" t="s">
        <v>20</v>
      </c>
      <c r="E34" s="665">
        <f>+Transa_Ltp_pep_Langamarillo!D78</f>
        <v>0</v>
      </c>
      <c r="F34" s="65">
        <f>+Transa_Ltp_pep_Langamarillo!G78</f>
        <v>0</v>
      </c>
      <c r="G34" s="321">
        <f>+Transa_Ltp_pep_Langamarillo!I78</f>
        <v>0</v>
      </c>
      <c r="H34" s="322">
        <f>F34+G34</f>
        <v>0</v>
      </c>
      <c r="I34" s="299"/>
      <c r="J34" s="320">
        <f t="shared" ref="J34:J35" si="106">H34-I34</f>
        <v>0</v>
      </c>
      <c r="K34" s="324">
        <v>0</v>
      </c>
      <c r="L34" s="296">
        <f>+Transa_Ltp_pep_Langamarillo!H78</f>
        <v>0</v>
      </c>
      <c r="M34" s="309">
        <f>+Transa_Ltp_pep_Langamarillo!J78</f>
        <v>0</v>
      </c>
      <c r="N34" s="312">
        <f t="shared" ref="N34" si="107">L34+M34</f>
        <v>0</v>
      </c>
      <c r="O34" s="299"/>
      <c r="P34" s="308">
        <f t="shared" ref="P34:P35" si="108">N34-O34</f>
        <v>0</v>
      </c>
      <c r="Q34" s="166">
        <v>0</v>
      </c>
      <c r="R34" s="357">
        <f t="shared" ref="R34:R35" si="109">+F34+L34</f>
        <v>0</v>
      </c>
      <c r="S34" s="358">
        <f t="shared" ref="S34:S35" si="110">G34+M34</f>
        <v>0</v>
      </c>
      <c r="T34" s="357">
        <f t="shared" ref="T34" si="111">R34+S34</f>
        <v>0</v>
      </c>
      <c r="U34" s="362">
        <f t="shared" ref="U34:U35" si="112">I34+O34</f>
        <v>0</v>
      </c>
      <c r="V34" s="357">
        <f t="shared" ref="V34:V35" si="113">T34-U34</f>
        <v>0</v>
      </c>
      <c r="W34" s="359">
        <v>0</v>
      </c>
      <c r="X34" s="667">
        <f>R34+R35</f>
        <v>0</v>
      </c>
      <c r="Y34" s="663">
        <f>S34+S35</f>
        <v>0</v>
      </c>
      <c r="Z34" s="667">
        <f>X34+Y34</f>
        <v>0</v>
      </c>
      <c r="AA34" s="664">
        <f>U34+U35</f>
        <v>0</v>
      </c>
      <c r="AB34" s="667">
        <f t="shared" ref="AB34" si="114">Z34-AA34</f>
        <v>0</v>
      </c>
      <c r="AC34" s="661">
        <v>0</v>
      </c>
      <c r="AD34" s="434"/>
      <c r="AE34" s="434"/>
    </row>
    <row r="35" spans="2:31">
      <c r="B35" s="681"/>
      <c r="C35" s="134"/>
      <c r="D35" s="134" t="s">
        <v>9</v>
      </c>
      <c r="E35" s="665"/>
      <c r="F35" s="65">
        <f>+Transa_Ltp_pep_Langamarillo!G79</f>
        <v>0</v>
      </c>
      <c r="G35" s="271">
        <f>+Transa_Ltp_pep_Langamarillo!I79</f>
        <v>0</v>
      </c>
      <c r="H35" s="63">
        <f>F35+G35+J34</f>
        <v>0</v>
      </c>
      <c r="I35" s="162"/>
      <c r="J35" s="64">
        <f t="shared" si="106"/>
        <v>0</v>
      </c>
      <c r="K35" s="317">
        <v>0</v>
      </c>
      <c r="L35" s="296">
        <f>+Transa_Ltp_pep_Langamarillo!H79</f>
        <v>0</v>
      </c>
      <c r="M35" s="271">
        <f>+Transa_Ltp_pep_Langamarillo!J79</f>
        <v>0</v>
      </c>
      <c r="N35" s="65">
        <f>L35+M35+P34</f>
        <v>0</v>
      </c>
      <c r="O35" s="162"/>
      <c r="P35" s="66">
        <f t="shared" si="108"/>
        <v>0</v>
      </c>
      <c r="Q35" s="351">
        <v>0</v>
      </c>
      <c r="R35" s="63">
        <f t="shared" si="109"/>
        <v>0</v>
      </c>
      <c r="S35" s="271">
        <f t="shared" si="110"/>
        <v>0</v>
      </c>
      <c r="T35" s="63">
        <f>R35+S35+V34</f>
        <v>0</v>
      </c>
      <c r="U35" s="62">
        <f t="shared" si="112"/>
        <v>0</v>
      </c>
      <c r="V35" s="63">
        <f t="shared" si="113"/>
        <v>0</v>
      </c>
      <c r="W35" s="317">
        <v>0</v>
      </c>
      <c r="X35" s="667"/>
      <c r="Y35" s="663"/>
      <c r="Z35" s="667"/>
      <c r="AA35" s="664"/>
      <c r="AB35" s="667"/>
      <c r="AC35" s="661"/>
      <c r="AD35" s="434"/>
      <c r="AE35" s="434"/>
    </row>
    <row r="36" spans="2:31" s="434" customFormat="1">
      <c r="B36" s="681"/>
      <c r="C36" s="686" t="s">
        <v>116</v>
      </c>
      <c r="D36" s="328" t="s">
        <v>20</v>
      </c>
      <c r="E36" s="683">
        <f>SUM(E8:E35)</f>
        <v>1.0000029989999999</v>
      </c>
      <c r="F36" s="346">
        <f>+F8+F10+F12+F14+F16+F18+F20+F22+F24+F26+F28+F30+F32</f>
        <v>794.002381206</v>
      </c>
      <c r="G36" s="343">
        <f>+G8+G10+G12+G14+G16+G18+G20+G22+G24+G26+G28+G30+G32</f>
        <v>0</v>
      </c>
      <c r="H36" s="344">
        <f>+F36+G36</f>
        <v>794.002381206</v>
      </c>
      <c r="I36" s="343">
        <f>+I8+I10+I12+I14+I16+I18+I20+I22+I24+I26+I28+I30+I32+I34</f>
        <v>92.800999999999974</v>
      </c>
      <c r="J36" s="344">
        <f>H36-I36</f>
        <v>701.20138120600006</v>
      </c>
      <c r="K36" s="347">
        <f>I36/H36</f>
        <v>0.11687748323757635</v>
      </c>
      <c r="L36" s="339">
        <f>+L8+L10+L12+L14+L16+L18+L20+L22+L24+L26+L28+L30+L32</f>
        <v>970.00290903000018</v>
      </c>
      <c r="M36" s="340">
        <f>+M8+M10+M12+M14+M16+M18+M20+M22+M24+M26+M28+M30+M32+M34</f>
        <v>-2.8421709430404007E-14</v>
      </c>
      <c r="N36" s="341">
        <f>+L36+M36</f>
        <v>970.00290903000018</v>
      </c>
      <c r="O36" s="340">
        <f>+O8+O10+O12+O14+O16+O18+O20+O22+O24+O26+O28+O30+O32+O34</f>
        <v>61.225999999999999</v>
      </c>
      <c r="P36" s="341">
        <f>N36-O36</f>
        <v>908.77690903000018</v>
      </c>
      <c r="Q36" s="355">
        <f>O36/N36</f>
        <v>6.3119398333790364E-2</v>
      </c>
      <c r="R36" s="295">
        <f>+R8+R10+R12+R14+R16+R18+R20+R22+R24+R26+R28+R30+R32+R34</f>
        <v>1764.0052902360001</v>
      </c>
      <c r="S36" s="295">
        <f>+S8+S10+S12+S14+S16+S18+S20+S22+S24+S26+S28+S30+S32+S34</f>
        <v>-2.8421709430404007E-14</v>
      </c>
      <c r="T36" s="329">
        <f>+R36+S36</f>
        <v>1764.0052902360001</v>
      </c>
      <c r="U36" s="295">
        <f>+U8+U10+U12+U14+U16+U18+U20+U22+U24+U26+U28+U30+U32+U34</f>
        <v>154.02700000000002</v>
      </c>
      <c r="V36" s="329">
        <f>T36-U36</f>
        <v>1609.978290236</v>
      </c>
      <c r="W36" s="330">
        <f>U36/T36</f>
        <v>8.7316631561458233E-2</v>
      </c>
      <c r="X36" s="685">
        <f>SUM(X8:X35)</f>
        <v>1960.0058780399997</v>
      </c>
      <c r="Y36" s="685">
        <f>SUM(Y8:Y35)</f>
        <v>-2.8421709430404007E-14</v>
      </c>
      <c r="Z36" s="685">
        <f>+X36+Y36</f>
        <v>1960.0058780399997</v>
      </c>
      <c r="AA36" s="685">
        <f>SUM(AA8:AA35)</f>
        <v>154.02700000000002</v>
      </c>
      <c r="AB36" s="659">
        <f>+Z36-AA36</f>
        <v>1805.9788780399997</v>
      </c>
      <c r="AC36" s="661">
        <f>AA36/Z36</f>
        <v>7.8584968405312428E-2</v>
      </c>
    </row>
    <row r="37" spans="2:31" s="434" customFormat="1">
      <c r="B37" s="682"/>
      <c r="C37" s="687"/>
      <c r="D37" s="328" t="s">
        <v>9</v>
      </c>
      <c r="E37" s="684"/>
      <c r="F37" s="346">
        <f>+F9+F11+F13+F15+F17+F19+F21+F23+F25+F27+F29+F31+F33</f>
        <v>88.000263911999994</v>
      </c>
      <c r="G37" s="343">
        <f>+G9+G11+G13+G15+G17+G19+G21+G23+G25+G27+G29+G31+G33</f>
        <v>0</v>
      </c>
      <c r="H37" s="345">
        <f>F37+G37+J36</f>
        <v>789.2016451180001</v>
      </c>
      <c r="I37" s="343">
        <f>+I9+I11+I13+I15+I17+I19+I21+I23+I25+I27+I29+I31+I33+I35</f>
        <v>0</v>
      </c>
      <c r="J37" s="343">
        <f>H37-I37</f>
        <v>789.2016451180001</v>
      </c>
      <c r="K37" s="348">
        <f>I37/H37</f>
        <v>0</v>
      </c>
      <c r="L37" s="339">
        <f>+L9+L11+L13+L15+L17+L19+L21+L23+L25+L27+L29+L31+L33</f>
        <v>108.000323892</v>
      </c>
      <c r="M37" s="340">
        <f>+M9+M11+M13+M15+M17+M19+M21+M23+M25+M27+M29+M31+M33+M35</f>
        <v>0</v>
      </c>
      <c r="N37" s="342">
        <f>L37+M37+P36</f>
        <v>1016.7772329220002</v>
      </c>
      <c r="O37" s="340">
        <f>+O9+O11+O13+O15+O17+O19+O21+O23+O25+O27+O29+O31+O33+O35</f>
        <v>0</v>
      </c>
      <c r="P37" s="340">
        <f>N37-O37</f>
        <v>1016.7772329220002</v>
      </c>
      <c r="Q37" s="356">
        <f>O37/N37</f>
        <v>0</v>
      </c>
      <c r="R37" s="295">
        <f>+R9+R11+R13+R15+R17+R19+R21+R23+R25+R27+R29+R31+R33+R35</f>
        <v>196.00058780400002</v>
      </c>
      <c r="S37" s="295">
        <f>+S9+S11+S13+S15+S17+S19+S21+S23+S25+S27+S29+S31+S33+S35</f>
        <v>0</v>
      </c>
      <c r="T37" s="315">
        <f>R37+S37+V36</f>
        <v>1805.9788780399999</v>
      </c>
      <c r="U37" s="295">
        <f>+U9+U11+U13+U15+U17+U19+U21+U23+U25+U27+U29+U31+U33+U35</f>
        <v>0</v>
      </c>
      <c r="V37" s="295">
        <f>T37-U37</f>
        <v>1805.9788780399999</v>
      </c>
      <c r="W37" s="326">
        <f>U37/T37</f>
        <v>0</v>
      </c>
      <c r="X37" s="685"/>
      <c r="Y37" s="685"/>
      <c r="Z37" s="685"/>
      <c r="AA37" s="685"/>
      <c r="AB37" s="659"/>
      <c r="AC37" s="661"/>
    </row>
    <row r="38" spans="2:31">
      <c r="B38" s="435"/>
      <c r="C38" s="436"/>
      <c r="D38" s="436"/>
      <c r="E38" s="436"/>
      <c r="F38" s="436"/>
      <c r="G38" s="436"/>
      <c r="H38" s="436"/>
      <c r="I38" s="437"/>
      <c r="J38" s="436"/>
      <c r="K38" s="436"/>
      <c r="O38" s="438"/>
      <c r="X38" s="439" t="s">
        <v>48</v>
      </c>
      <c r="Y38" s="439"/>
      <c r="Z38" s="440"/>
    </row>
    <row r="39" spans="2:31" ht="1.65" customHeight="1">
      <c r="I39" s="441"/>
      <c r="M39" s="442"/>
      <c r="O39" s="443"/>
    </row>
    <row r="40" spans="2:31">
      <c r="C40" s="435"/>
      <c r="D40" s="435"/>
      <c r="E40" s="435"/>
      <c r="F40" s="435"/>
      <c r="G40" s="435"/>
      <c r="H40" s="435"/>
      <c r="I40" s="441"/>
      <c r="J40" s="435"/>
      <c r="K40" s="435"/>
      <c r="Q40" s="435"/>
      <c r="R40" s="435"/>
    </row>
    <row r="41" spans="2:31" ht="18">
      <c r="B41" s="450" t="s">
        <v>77</v>
      </c>
      <c r="C41" s="446"/>
      <c r="D41" s="446"/>
      <c r="E41" s="446"/>
      <c r="F41" s="446"/>
      <c r="G41" s="446"/>
      <c r="H41" s="446"/>
      <c r="I41" s="447"/>
      <c r="J41" s="446"/>
      <c r="K41" s="446"/>
      <c r="L41" s="446"/>
      <c r="M41" s="446"/>
      <c r="P41" s="435"/>
      <c r="Q41" s="435"/>
      <c r="R41" s="435"/>
      <c r="S41" s="443"/>
      <c r="T41" s="435"/>
      <c r="U41" s="442"/>
      <c r="AA41" s="444"/>
    </row>
    <row r="42" spans="2:31" ht="18">
      <c r="B42" s="450" t="s">
        <v>78</v>
      </c>
      <c r="C42" s="446"/>
      <c r="D42" s="446"/>
      <c r="E42" s="446"/>
      <c r="F42" s="446"/>
      <c r="G42" s="448"/>
      <c r="H42" s="446"/>
      <c r="I42" s="448"/>
      <c r="J42" s="449"/>
      <c r="K42" s="446"/>
      <c r="L42" s="446"/>
      <c r="M42" s="446"/>
      <c r="N42" s="435"/>
      <c r="R42" s="435"/>
    </row>
    <row r="43" spans="2:31" ht="18">
      <c r="B43" s="451" t="s">
        <v>125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35"/>
    </row>
    <row r="44" spans="2:31" ht="18"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35"/>
    </row>
    <row r="45" spans="2:31">
      <c r="N45" s="435"/>
    </row>
    <row r="46" spans="2:31">
      <c r="N46" s="435"/>
    </row>
    <row r="47" spans="2:31">
      <c r="N47" s="435"/>
    </row>
    <row r="48" spans="2:31">
      <c r="N48" s="435"/>
    </row>
    <row r="49" spans="14:14">
      <c r="N49" s="435"/>
    </row>
    <row r="50" spans="14:14">
      <c r="N50" s="435"/>
    </row>
    <row r="51" spans="14:14">
      <c r="N51" s="435"/>
    </row>
    <row r="52" spans="14:14">
      <c r="N52" s="435"/>
    </row>
    <row r="53" spans="14:14">
      <c r="N53" s="435"/>
    </row>
    <row r="54" spans="14:14">
      <c r="N54" s="435"/>
    </row>
    <row r="55" spans="14:14">
      <c r="N55" s="435"/>
    </row>
    <row r="56" spans="14:14">
      <c r="N56" s="435"/>
    </row>
    <row r="57" spans="14:14">
      <c r="N57" s="435"/>
    </row>
    <row r="58" spans="14:14">
      <c r="N58" s="435"/>
    </row>
    <row r="59" spans="14:14">
      <c r="N59" s="435"/>
    </row>
    <row r="60" spans="14:14">
      <c r="N60" s="435"/>
    </row>
    <row r="61" spans="14:14">
      <c r="N61" s="435"/>
    </row>
    <row r="62" spans="14:14">
      <c r="N62" s="435"/>
    </row>
  </sheetData>
  <mergeCells count="117">
    <mergeCell ref="B8:B37"/>
    <mergeCell ref="E36:E37"/>
    <mergeCell ref="X36:X37"/>
    <mergeCell ref="Y36:Y37"/>
    <mergeCell ref="Z36:Z37"/>
    <mergeCell ref="AA36:AA37"/>
    <mergeCell ref="AB36:AB37"/>
    <mergeCell ref="AC36:AC37"/>
    <mergeCell ref="C36:C37"/>
    <mergeCell ref="AC26:AC27"/>
    <mergeCell ref="X26:X27"/>
    <mergeCell ref="Y26:Y27"/>
    <mergeCell ref="Z26:Z27"/>
    <mergeCell ref="AA26:AA27"/>
    <mergeCell ref="AB26:AB27"/>
    <mergeCell ref="E26:E27"/>
    <mergeCell ref="AC22:AC23"/>
    <mergeCell ref="X24:X25"/>
    <mergeCell ref="Y24:Y25"/>
    <mergeCell ref="E34:E35"/>
    <mergeCell ref="X34:X35"/>
    <mergeCell ref="AA24:AA25"/>
    <mergeCell ref="AB24:AB25"/>
    <mergeCell ref="AC24:AC25"/>
    <mergeCell ref="B6:B7"/>
    <mergeCell ref="B2:AC2"/>
    <mergeCell ref="B3:AC3"/>
    <mergeCell ref="F6:K6"/>
    <mergeCell ref="D6:D7"/>
    <mergeCell ref="C6:C7"/>
    <mergeCell ref="R6:W6"/>
    <mergeCell ref="X6:AC6"/>
    <mergeCell ref="E6:E7"/>
    <mergeCell ref="L6:Q6"/>
    <mergeCell ref="Y34:Y35"/>
    <mergeCell ref="Z34:Z35"/>
    <mergeCell ref="AA34:AA35"/>
    <mergeCell ref="AB34:AB35"/>
    <mergeCell ref="AC34:AC35"/>
    <mergeCell ref="AB32:AB33"/>
    <mergeCell ref="AC32:AC33"/>
    <mergeCell ref="E28:E29"/>
    <mergeCell ref="X28:X29"/>
    <mergeCell ref="Y28:Y29"/>
    <mergeCell ref="Z28:Z29"/>
    <mergeCell ref="AA28:AA29"/>
    <mergeCell ref="AC30:AC31"/>
    <mergeCell ref="X32:X33"/>
    <mergeCell ref="Y32:Y33"/>
    <mergeCell ref="Z32:Z33"/>
    <mergeCell ref="AA32:AA33"/>
    <mergeCell ref="AC20:AC21"/>
    <mergeCell ref="AB28:AB29"/>
    <mergeCell ref="AC28:AC29"/>
    <mergeCell ref="E30:E31"/>
    <mergeCell ref="E32:E33"/>
    <mergeCell ref="X30:X31"/>
    <mergeCell ref="Y30:Y31"/>
    <mergeCell ref="Z30:Z31"/>
    <mergeCell ref="AA30:AA31"/>
    <mergeCell ref="AB30:AB31"/>
    <mergeCell ref="Z24:Z25"/>
    <mergeCell ref="X20:X21"/>
    <mergeCell ref="Y20:Y21"/>
    <mergeCell ref="Z20:Z21"/>
    <mergeCell ref="X22:X23"/>
    <mergeCell ref="Y22:Y23"/>
    <mergeCell ref="Z22:Z23"/>
    <mergeCell ref="AA22:AA23"/>
    <mergeCell ref="AB22:AB23"/>
    <mergeCell ref="E22:E23"/>
    <mergeCell ref="E24:E25"/>
    <mergeCell ref="X18:X19"/>
    <mergeCell ref="Y18:Y19"/>
    <mergeCell ref="Z18:Z19"/>
    <mergeCell ref="AA18:AA19"/>
    <mergeCell ref="AB18:AB19"/>
    <mergeCell ref="E18:E19"/>
    <mergeCell ref="E20:E21"/>
    <mergeCell ref="AC14:AC15"/>
    <mergeCell ref="X16:X17"/>
    <mergeCell ref="Y16:Y17"/>
    <mergeCell ref="Z16:Z17"/>
    <mergeCell ref="AA16:AA17"/>
    <mergeCell ref="AB16:AB17"/>
    <mergeCell ref="AC16:AC17"/>
    <mergeCell ref="X14:X15"/>
    <mergeCell ref="Y14:Y15"/>
    <mergeCell ref="Z14:Z15"/>
    <mergeCell ref="AA14:AA15"/>
    <mergeCell ref="AB14:AB15"/>
    <mergeCell ref="E14:E15"/>
    <mergeCell ref="E16:E17"/>
    <mergeCell ref="AC18:AC19"/>
    <mergeCell ref="AA20:AA21"/>
    <mergeCell ref="AB20:AB21"/>
    <mergeCell ref="AB8:AB9"/>
    <mergeCell ref="AC8:AC9"/>
    <mergeCell ref="X8:X9"/>
    <mergeCell ref="Y8:Y9"/>
    <mergeCell ref="Z8:Z9"/>
    <mergeCell ref="AA8:AA9"/>
    <mergeCell ref="E8:E9"/>
    <mergeCell ref="AC10:AC11"/>
    <mergeCell ref="X12:X13"/>
    <mergeCell ref="Y12:Y13"/>
    <mergeCell ref="Z12:Z13"/>
    <mergeCell ref="AA12:AA13"/>
    <mergeCell ref="AB12:AB13"/>
    <mergeCell ref="AC12:AC13"/>
    <mergeCell ref="X10:X11"/>
    <mergeCell ref="Y10:Y11"/>
    <mergeCell ref="Z10:Z11"/>
    <mergeCell ref="AA10:AA11"/>
    <mergeCell ref="AB10:AB11"/>
    <mergeCell ref="E10:E11"/>
    <mergeCell ref="E12:E13"/>
  </mergeCells>
  <conditionalFormatting sqref="Y10:Y12 Y14 Y16:Y35 R8:V35 Y8 AA8:AA35 L10:L37 AC28 AC32 L8:P35 F8:J35 N10:N36">
    <cfRule type="cellIs" dxfId="10" priority="47" operator="lessThan">
      <formula>0</formula>
    </cfRule>
  </conditionalFormatting>
  <conditionalFormatting sqref="Q30 K8:K35 Q32 Q34 Q28 W8:W35">
    <cfRule type="cellIs" dxfId="9" priority="46" operator="greaterThan">
      <formula>0.95</formula>
    </cfRule>
  </conditionalFormatting>
  <conditionalFormatting sqref="AC8:AC35">
    <cfRule type="cellIs" dxfId="8" priority="29" operator="greaterThan">
      <formula>0.8</formula>
    </cfRule>
  </conditionalFormatting>
  <conditionalFormatting sqref="W8:W35">
    <cfRule type="cellIs" dxfId="7" priority="27" operator="greaterThan">
      <formula>0.9</formula>
    </cfRule>
  </conditionalFormatting>
  <conditionalFormatting sqref="Y10:Y12 Y14 Y16:Y35 S8:S35 Y8 M8:M35 G8:G35">
    <cfRule type="cellIs" dxfId="6" priority="15" operator="greaterThan">
      <formula>0</formula>
    </cfRule>
    <cfRule type="cellIs" dxfId="5" priority="16" operator="lessThan">
      <formula>0</formula>
    </cfRule>
  </conditionalFormatting>
  <conditionalFormatting sqref="AC28 AC32">
    <cfRule type="cellIs" dxfId="4" priority="4" operator="greaterThan">
      <formula>100</formula>
    </cfRule>
  </conditionalFormatting>
  <conditionalFormatting sqref="AA8:AA35">
    <cfRule type="dataBar" priority="51">
      <dataBar>
        <cfvo type="min" val="0"/>
        <cfvo type="max" val="0"/>
        <color rgb="FFFFB628"/>
      </dataBar>
    </cfRule>
  </conditionalFormatting>
  <conditionalFormatting sqref="I8:I35">
    <cfRule type="dataBar" priority="70">
      <dataBar>
        <cfvo type="min" val="0"/>
        <cfvo type="max" val="0"/>
        <color rgb="FFFFB628"/>
      </dataBar>
    </cfRule>
  </conditionalFormatting>
  <conditionalFormatting sqref="O8:O35">
    <cfRule type="dataBar" priority="72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Z9 N9 N36 N11:N33 T24:T27 T10:T21 T8:T9 T22:T23 T28:T37 H10 H28:H31 H13:H27 H33:H36 Z37 Z10:Z27 Z28:Z36 H1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N81"/>
  <sheetViews>
    <sheetView zoomScale="90" zoomScaleNormal="90" workbookViewId="0">
      <selection activeCell="D52" sqref="D52:D53"/>
    </sheetView>
  </sheetViews>
  <sheetFormatPr baseColWidth="10" defaultColWidth="12" defaultRowHeight="12" customHeight="1"/>
  <cols>
    <col min="1" max="1" width="8.33203125" style="245" customWidth="1"/>
    <col min="2" max="2" width="31.6640625" style="245" customWidth="1"/>
    <col min="3" max="3" width="13.6640625" style="245" customWidth="1"/>
    <col min="4" max="4" width="17.109375" style="245" customWidth="1"/>
    <col min="5" max="5" width="12.88671875" style="245" customWidth="1"/>
    <col min="6" max="6" width="17.6640625" style="245" customWidth="1"/>
    <col min="7" max="8" width="14.5546875" style="245" customWidth="1"/>
    <col min="9" max="9" width="17" style="245" customWidth="1"/>
    <col min="10" max="10" width="13.33203125" style="245" customWidth="1"/>
    <col min="11" max="11" width="15.33203125" style="245" customWidth="1"/>
    <col min="12" max="12" width="13.44140625" style="245" customWidth="1"/>
    <col min="13" max="16384" width="12" style="245"/>
  </cols>
  <sheetData>
    <row r="1" spans="2:12" ht="23.1" customHeight="1" thickBot="1">
      <c r="B1" s="714" t="s">
        <v>127</v>
      </c>
      <c r="C1" s="715"/>
      <c r="D1" s="715"/>
      <c r="E1" s="716"/>
    </row>
    <row r="2" spans="2:12" ht="12" customHeight="1">
      <c r="B2" s="246" t="s">
        <v>126</v>
      </c>
      <c r="C2" s="247" t="s">
        <v>100</v>
      </c>
      <c r="D2" s="248" t="s">
        <v>84</v>
      </c>
      <c r="E2" s="249" t="s">
        <v>101</v>
      </c>
    </row>
    <row r="3" spans="2:12" ht="12" customHeight="1">
      <c r="B3" s="250" t="s">
        <v>102</v>
      </c>
      <c r="C3" s="251">
        <f>+[2]Coeficientes!C22</f>
        <v>90</v>
      </c>
      <c r="D3" s="251">
        <f>+[2]Coeficientes!D22</f>
        <v>692</v>
      </c>
      <c r="E3" s="252">
        <f>SUM(C3:D3)</f>
        <v>782</v>
      </c>
    </row>
    <row r="4" spans="2:12" ht="12" customHeight="1" thickBot="1">
      <c r="B4" s="253" t="s">
        <v>103</v>
      </c>
      <c r="C4" s="254">
        <f>+[2]Coeficientes!C23</f>
        <v>10</v>
      </c>
      <c r="D4" s="254">
        <f>+[2]Coeficientes!D23</f>
        <v>77</v>
      </c>
      <c r="E4" s="255">
        <f t="shared" ref="E4:E5" si="0">SUM(C4:D4)</f>
        <v>87</v>
      </c>
    </row>
    <row r="5" spans="2:12" ht="12" customHeight="1" thickBot="1">
      <c r="B5" s="256" t="s">
        <v>104</v>
      </c>
      <c r="C5" s="257">
        <f>SUM(C3:C4)</f>
        <v>100</v>
      </c>
      <c r="D5" s="257">
        <f t="shared" ref="D5" si="1">SUM(D3:D4)</f>
        <v>769</v>
      </c>
      <c r="E5" s="258">
        <f t="shared" si="0"/>
        <v>869</v>
      </c>
    </row>
    <row r="6" spans="2:12" ht="12" customHeight="1">
      <c r="B6" s="259"/>
      <c r="C6" s="260"/>
      <c r="D6" s="260"/>
      <c r="E6" s="260"/>
      <c r="F6" s="260"/>
      <c r="G6" s="260"/>
      <c r="H6" s="260"/>
      <c r="I6" s="260"/>
    </row>
    <row r="7" spans="2:12" ht="32.4" customHeight="1">
      <c r="G7" s="688" t="s">
        <v>136</v>
      </c>
      <c r="H7" s="689"/>
      <c r="I7" s="690" t="s">
        <v>3</v>
      </c>
      <c r="J7" s="691"/>
    </row>
    <row r="8" spans="2:12" ht="33.6" customHeight="1">
      <c r="B8" s="701" t="s">
        <v>86</v>
      </c>
      <c r="C8" s="701"/>
      <c r="D8" s="292" t="s">
        <v>105</v>
      </c>
      <c r="E8" s="292" t="s">
        <v>106</v>
      </c>
      <c r="F8" s="370" t="s">
        <v>142</v>
      </c>
      <c r="G8" s="373" t="s">
        <v>100</v>
      </c>
      <c r="H8" s="373" t="s">
        <v>84</v>
      </c>
      <c r="I8" s="372" t="s">
        <v>100</v>
      </c>
      <c r="J8" s="372" t="s">
        <v>84</v>
      </c>
      <c r="K8" s="293" t="s">
        <v>107</v>
      </c>
      <c r="L8" s="293" t="s">
        <v>118</v>
      </c>
    </row>
    <row r="9" spans="2:12" ht="12" customHeight="1">
      <c r="B9" s="709" t="s">
        <v>87</v>
      </c>
      <c r="C9" s="709"/>
      <c r="D9" s="692">
        <f>+[2]Transa_Ltp_Langamarillo!E9</f>
        <v>0.35143999999999997</v>
      </c>
      <c r="E9" s="702">
        <f>+D9*$E$5</f>
        <v>305.40135999999995</v>
      </c>
      <c r="F9" s="371">
        <f>+G9+H9</f>
        <v>274.82607999999999</v>
      </c>
      <c r="G9" s="294">
        <f>+D9*$C$3</f>
        <v>31.629599999999996</v>
      </c>
      <c r="H9" s="294">
        <f>+D9*$D$3</f>
        <v>243.19647999999998</v>
      </c>
      <c r="I9" s="294">
        <f>+[3]Transa_Ltp_Langamarillo!J9</f>
        <v>0</v>
      </c>
      <c r="J9" s="294">
        <f>+[3]Transa_Ltp_Langamarillo!K9</f>
        <v>0</v>
      </c>
      <c r="K9" s="374">
        <f>+E9+I9+J9</f>
        <v>305.40135999999995</v>
      </c>
      <c r="L9" s="704">
        <f>+K9/$E$5</f>
        <v>0.35143999999999997</v>
      </c>
    </row>
    <row r="10" spans="2:12" ht="12" customHeight="1">
      <c r="B10" s="709"/>
      <c r="C10" s="709"/>
      <c r="D10" s="693"/>
      <c r="E10" s="703"/>
      <c r="F10" s="371">
        <f>+G10+H10</f>
        <v>30.575279999999996</v>
      </c>
      <c r="G10" s="294">
        <f>+D9*$C$4</f>
        <v>3.5143999999999997</v>
      </c>
      <c r="H10" s="294">
        <f>+D9*$D$4</f>
        <v>27.060879999999997</v>
      </c>
      <c r="I10" s="294">
        <f>+[3]Transa_Ltp_Langamarillo!J10</f>
        <v>0</v>
      </c>
      <c r="J10" s="294">
        <f>+[3]Transa_Ltp_Langamarillo!K10</f>
        <v>0</v>
      </c>
      <c r="K10" s="374"/>
      <c r="L10" s="704"/>
    </row>
    <row r="11" spans="2:12" ht="12" customHeight="1">
      <c r="B11" s="709" t="s">
        <v>88</v>
      </c>
      <c r="C11" s="709" t="s">
        <v>88</v>
      </c>
      <c r="D11" s="692">
        <f>+[2]Transa_Ltp_Langamarillo!E11</f>
        <v>3.0000000000000001E-5</v>
      </c>
      <c r="E11" s="702">
        <f>+D11*$E$5</f>
        <v>2.6069999999999999E-2</v>
      </c>
      <c r="F11" s="371">
        <f>+G11+H11</f>
        <v>2.3460000000000002E-2</v>
      </c>
      <c r="G11" s="294">
        <f>+D11*$C$3</f>
        <v>2.7000000000000001E-3</v>
      </c>
      <c r="H11" s="294">
        <f t="shared" ref="H11" si="2">+D11*$D$3</f>
        <v>2.0760000000000001E-2</v>
      </c>
      <c r="I11" s="294">
        <f>+[3]Transa_Ltp_Langamarillo!J11</f>
        <v>0</v>
      </c>
      <c r="J11" s="294">
        <f>+[3]Transa_Ltp_Langamarillo!K11</f>
        <v>0</v>
      </c>
      <c r="K11" s="374">
        <f t="shared" ref="K11" si="3">+E11+I11+J11</f>
        <v>2.6069999999999999E-2</v>
      </c>
      <c r="L11" s="704">
        <f t="shared" ref="L11" si="4">+K11/$E$5</f>
        <v>3.0000000000000001E-5</v>
      </c>
    </row>
    <row r="12" spans="2:12" ht="12" customHeight="1">
      <c r="B12" s="709"/>
      <c r="C12" s="709"/>
      <c r="D12" s="693"/>
      <c r="E12" s="703"/>
      <c r="F12" s="371">
        <f>+G12+H12</f>
        <v>2.6099999999999999E-3</v>
      </c>
      <c r="G12" s="294">
        <f>+D11*$C$4</f>
        <v>3.0000000000000003E-4</v>
      </c>
      <c r="H12" s="294">
        <f t="shared" ref="H12" si="5">+D11*$D$4</f>
        <v>2.31E-3</v>
      </c>
      <c r="I12" s="294">
        <f>+[3]Transa_Ltp_Langamarillo!J12</f>
        <v>0</v>
      </c>
      <c r="J12" s="294">
        <f>+[3]Transa_Ltp_Langamarillo!K12</f>
        <v>0</v>
      </c>
      <c r="K12" s="374"/>
      <c r="L12" s="704"/>
    </row>
    <row r="13" spans="2:12" ht="12" customHeight="1">
      <c r="B13" s="709" t="s">
        <v>89</v>
      </c>
      <c r="C13" s="709" t="s">
        <v>89</v>
      </c>
      <c r="D13" s="692">
        <f>+[2]Transa_Ltp_Langamarillo!E13</f>
        <v>0.38292619999999994</v>
      </c>
      <c r="E13" s="702">
        <f t="shared" ref="E13" si="6">+D13*$E$5</f>
        <v>332.76286779999992</v>
      </c>
      <c r="F13" s="371">
        <f t="shared" ref="F13:F38" si="7">+G13+H13</f>
        <v>299.44828839999991</v>
      </c>
      <c r="G13" s="294">
        <f>+D13*$C$3</f>
        <v>34.463357999999992</v>
      </c>
      <c r="H13" s="294">
        <f t="shared" ref="H13" si="8">+D13*$D$3</f>
        <v>264.98493039999994</v>
      </c>
      <c r="I13" s="294">
        <f>+[3]Transa_Ltp_Langamarillo!J13</f>
        <v>0</v>
      </c>
      <c r="J13" s="294">
        <f>+[3]Transa_Ltp_Langamarillo!K13</f>
        <v>0</v>
      </c>
      <c r="K13" s="374">
        <f t="shared" ref="K13" si="9">+E13+I13+J13</f>
        <v>332.76286779999992</v>
      </c>
      <c r="L13" s="704">
        <f t="shared" ref="L13" si="10">+K13/$E$5</f>
        <v>0.38292619999999994</v>
      </c>
    </row>
    <row r="14" spans="2:12" ht="12" customHeight="1">
      <c r="B14" s="709"/>
      <c r="C14" s="709"/>
      <c r="D14" s="693"/>
      <c r="E14" s="703"/>
      <c r="F14" s="371">
        <f t="shared" si="7"/>
        <v>33.314579399999992</v>
      </c>
      <c r="G14" s="294">
        <f>+D13*$C$4</f>
        <v>3.8292619999999995</v>
      </c>
      <c r="H14" s="294">
        <f t="shared" ref="H14" si="11">+D13*$D$4</f>
        <v>29.485317399999996</v>
      </c>
      <c r="I14" s="294">
        <f>+[3]Transa_Ltp_Langamarillo!J14</f>
        <v>0</v>
      </c>
      <c r="J14" s="294">
        <f>+[3]Transa_Ltp_Langamarillo!K14</f>
        <v>0</v>
      </c>
      <c r="K14" s="374"/>
      <c r="L14" s="704"/>
    </row>
    <row r="15" spans="2:12" ht="12" customHeight="1">
      <c r="B15" s="709" t="s">
        <v>90</v>
      </c>
      <c r="C15" s="709" t="s">
        <v>90</v>
      </c>
      <c r="D15" s="692">
        <f>+[2]Transa_Ltp_Langamarillo!E15</f>
        <v>1.7310000000000001E-4</v>
      </c>
      <c r="E15" s="702">
        <f t="shared" ref="E15" si="12">+D15*$E$5</f>
        <v>0.1504239</v>
      </c>
      <c r="F15" s="371">
        <f t="shared" si="7"/>
        <v>0.13536420000000002</v>
      </c>
      <c r="G15" s="294">
        <f t="shared" ref="G15" si="13">+D15*$C$3</f>
        <v>1.5579000000000001E-2</v>
      </c>
      <c r="H15" s="294">
        <f t="shared" ref="H15" si="14">+D15*$D$3</f>
        <v>0.11978520000000001</v>
      </c>
      <c r="I15" s="294">
        <f>+[3]Transa_Ltp_Langamarillo!J15</f>
        <v>0</v>
      </c>
      <c r="J15" s="294">
        <f>+[3]Transa_Ltp_Langamarillo!K15</f>
        <v>0</v>
      </c>
      <c r="K15" s="374">
        <f t="shared" ref="K15" si="15">+E15+I15+J15</f>
        <v>0.1504239</v>
      </c>
      <c r="L15" s="704">
        <f t="shared" ref="L15" si="16">+K15/$E$5</f>
        <v>1.7310000000000001E-4</v>
      </c>
    </row>
    <row r="16" spans="2:12" ht="12" customHeight="1">
      <c r="B16" s="709"/>
      <c r="C16" s="709"/>
      <c r="D16" s="693"/>
      <c r="E16" s="703"/>
      <c r="F16" s="371">
        <f t="shared" si="7"/>
        <v>1.5059700000000001E-2</v>
      </c>
      <c r="G16" s="294">
        <f t="shared" ref="G16" si="17">+D15*$C$4</f>
        <v>1.7310000000000001E-3</v>
      </c>
      <c r="H16" s="294">
        <f t="shared" ref="H16" si="18">+D15*$D$4</f>
        <v>1.3328700000000001E-2</v>
      </c>
      <c r="I16" s="294">
        <f>+[3]Transa_Ltp_Langamarillo!J16</f>
        <v>0</v>
      </c>
      <c r="J16" s="294">
        <f>+[3]Transa_Ltp_Langamarillo!K16</f>
        <v>0</v>
      </c>
      <c r="K16" s="374"/>
      <c r="L16" s="704"/>
    </row>
    <row r="17" spans="2:14" ht="12" customHeight="1">
      <c r="B17" s="709" t="s">
        <v>91</v>
      </c>
      <c r="C17" s="709" t="s">
        <v>91</v>
      </c>
      <c r="D17" s="692">
        <f>+[2]Transa_Ltp_Langamarillo!E17</f>
        <v>0.13162230000000003</v>
      </c>
      <c r="E17" s="702">
        <f>+D17*$E$5</f>
        <v>114.37977870000002</v>
      </c>
      <c r="F17" s="371">
        <f t="shared" si="7"/>
        <v>102.92863860000001</v>
      </c>
      <c r="G17" s="294">
        <f t="shared" ref="G17" si="19">+D17*$C$3</f>
        <v>11.846007000000002</v>
      </c>
      <c r="H17" s="294">
        <f t="shared" ref="H17" si="20">+D17*$D$3</f>
        <v>91.082631600000013</v>
      </c>
      <c r="I17" s="294">
        <f>+[3]Transa_Ltp_Langamarillo!J17</f>
        <v>0</v>
      </c>
      <c r="J17" s="294">
        <f>+[3]Transa_Ltp_Langamarillo!K17</f>
        <v>0</v>
      </c>
      <c r="K17" s="374">
        <f>+E17+I17+J17</f>
        <v>114.37977870000002</v>
      </c>
      <c r="L17" s="704">
        <f t="shared" ref="L17" si="21">+K17/$E$5</f>
        <v>0.13162230000000003</v>
      </c>
      <c r="M17" s="261"/>
      <c r="N17" s="262"/>
    </row>
    <row r="18" spans="2:14" ht="12" customHeight="1">
      <c r="B18" s="709"/>
      <c r="C18" s="709"/>
      <c r="D18" s="693"/>
      <c r="E18" s="703"/>
      <c r="F18" s="371">
        <f t="shared" si="7"/>
        <v>11.451140100000003</v>
      </c>
      <c r="G18" s="294">
        <f t="shared" ref="G18" si="22">+D17*$C$4</f>
        <v>1.3162230000000004</v>
      </c>
      <c r="H18" s="294">
        <f t="shared" ref="H18" si="23">+D17*$D$4</f>
        <v>10.134917100000003</v>
      </c>
      <c r="I18" s="294">
        <f>+[3]Transa_Ltp_Langamarillo!J18</f>
        <v>0</v>
      </c>
      <c r="J18" s="294">
        <f>+[3]Transa_Ltp_Langamarillo!K18</f>
        <v>0</v>
      </c>
      <c r="K18" s="374"/>
      <c r="L18" s="704"/>
    </row>
    <row r="19" spans="2:14" ht="12" customHeight="1">
      <c r="B19" s="709" t="s">
        <v>92</v>
      </c>
      <c r="C19" s="709" t="s">
        <v>92</v>
      </c>
      <c r="D19" s="692">
        <f>+[2]Transa_Ltp_Langamarillo!E19</f>
        <v>1.0009999999999999E-4</v>
      </c>
      <c r="E19" s="702">
        <f t="shared" ref="E19" si="24">+D19*$E$5</f>
        <v>8.6986899999999992E-2</v>
      </c>
      <c r="F19" s="371">
        <f t="shared" si="7"/>
        <v>7.8278199999999992E-2</v>
      </c>
      <c r="G19" s="294">
        <f t="shared" ref="G19" si="25">+D19*$C$3</f>
        <v>9.0089999999999996E-3</v>
      </c>
      <c r="H19" s="294">
        <f t="shared" ref="H19" si="26">+D19*$D$3</f>
        <v>6.9269199999999989E-2</v>
      </c>
      <c r="I19" s="294">
        <f>+[3]Transa_Ltp_Langamarillo!J19</f>
        <v>0</v>
      </c>
      <c r="J19" s="294">
        <f>+[3]Transa_Ltp_Langamarillo!K19</f>
        <v>0</v>
      </c>
      <c r="K19" s="374">
        <f>+E19+I19+J19</f>
        <v>8.6986899999999992E-2</v>
      </c>
      <c r="L19" s="704">
        <f t="shared" ref="L19" si="27">+K19/$E$5</f>
        <v>1.0009999999999999E-4</v>
      </c>
    </row>
    <row r="20" spans="2:14" ht="12" customHeight="1">
      <c r="B20" s="709"/>
      <c r="C20" s="709"/>
      <c r="D20" s="693"/>
      <c r="E20" s="703"/>
      <c r="F20" s="371">
        <f t="shared" si="7"/>
        <v>8.7086999999999998E-3</v>
      </c>
      <c r="G20" s="294">
        <f t="shared" ref="G20" si="28">+D19*$C$4</f>
        <v>1.0009999999999999E-3</v>
      </c>
      <c r="H20" s="294">
        <f t="shared" ref="H20" si="29">+D19*$D$4</f>
        <v>7.7076999999999996E-3</v>
      </c>
      <c r="I20" s="294">
        <f>+[3]Transa_Ltp_Langamarillo!J20</f>
        <v>0</v>
      </c>
      <c r="J20" s="294">
        <f>+[3]Transa_Ltp_Langamarillo!K20</f>
        <v>0</v>
      </c>
      <c r="K20" s="374"/>
      <c r="L20" s="704"/>
    </row>
    <row r="21" spans="2:14" ht="12" customHeight="1">
      <c r="B21" s="709" t="s">
        <v>28</v>
      </c>
      <c r="C21" s="709" t="s">
        <v>28</v>
      </c>
      <c r="D21" s="692">
        <f>+[2]Transa_Ltp_Langamarillo!E21</f>
        <v>2.0100000000000001E-5</v>
      </c>
      <c r="E21" s="702">
        <f t="shared" ref="E21" si="30">+D21*$E$5</f>
        <v>1.74669E-2</v>
      </c>
      <c r="F21" s="371">
        <f t="shared" si="7"/>
        <v>1.5718200000000002E-2</v>
      </c>
      <c r="G21" s="294">
        <f t="shared" ref="G21" si="31">+D21*$C$3</f>
        <v>1.8090000000000001E-3</v>
      </c>
      <c r="H21" s="294">
        <f t="shared" ref="H21" si="32">+D21*$D$3</f>
        <v>1.39092E-2</v>
      </c>
      <c r="I21" s="294">
        <f>+[3]Transa_Ltp_Langamarillo!J21</f>
        <v>0</v>
      </c>
      <c r="J21" s="294">
        <f>+[3]Transa_Ltp_Langamarillo!K21</f>
        <v>0</v>
      </c>
      <c r="K21" s="374">
        <f t="shared" ref="K21" si="33">+E21+I21+J21</f>
        <v>1.74669E-2</v>
      </c>
      <c r="L21" s="704">
        <f t="shared" ref="L21" si="34">+K21/$E$5</f>
        <v>2.0100000000000001E-5</v>
      </c>
    </row>
    <row r="22" spans="2:14" ht="12" customHeight="1">
      <c r="B22" s="709"/>
      <c r="C22" s="709"/>
      <c r="D22" s="693"/>
      <c r="E22" s="703"/>
      <c r="F22" s="371">
        <f t="shared" si="7"/>
        <v>1.7487E-3</v>
      </c>
      <c r="G22" s="294">
        <f t="shared" ref="G22" si="35">+D21*$C$4</f>
        <v>2.0100000000000001E-4</v>
      </c>
      <c r="H22" s="294">
        <f t="shared" ref="H22" si="36">+D21*$D$4</f>
        <v>1.5476999999999999E-3</v>
      </c>
      <c r="I22" s="294">
        <f>+[3]Transa_Ltp_Langamarillo!J22</f>
        <v>0</v>
      </c>
      <c r="J22" s="294">
        <f>+[3]Transa_Ltp_Langamarillo!K22</f>
        <v>0</v>
      </c>
      <c r="K22" s="374"/>
      <c r="L22" s="704"/>
    </row>
    <row r="23" spans="2:14" ht="12" customHeight="1">
      <c r="B23" s="709" t="s">
        <v>21</v>
      </c>
      <c r="C23" s="709" t="s">
        <v>21</v>
      </c>
      <c r="D23" s="692">
        <f>+[2]Transa_Ltp_Langamarillo!E23</f>
        <v>6.6637100000000005E-2</v>
      </c>
      <c r="E23" s="702">
        <f t="shared" ref="E23" si="37">+D23*$E$5</f>
        <v>57.907639900000007</v>
      </c>
      <c r="F23" s="371">
        <f t="shared" si="7"/>
        <v>52.110212200000007</v>
      </c>
      <c r="G23" s="294">
        <f t="shared" ref="G23" si="38">+D23*$C$3</f>
        <v>5.9973390000000002</v>
      </c>
      <c r="H23" s="294">
        <f t="shared" ref="H23" si="39">+D23*$D$3</f>
        <v>46.112873200000003</v>
      </c>
      <c r="I23" s="294">
        <f>+[3]Transa_Ltp_Langamarillo!J23</f>
        <v>0</v>
      </c>
      <c r="J23" s="294">
        <f>+[3]Transa_Ltp_Langamarillo!K23</f>
        <v>0</v>
      </c>
      <c r="K23" s="374">
        <f t="shared" ref="K23" si="40">+E23+I23+J23</f>
        <v>57.907639900000007</v>
      </c>
      <c r="L23" s="704">
        <f t="shared" ref="L23" si="41">+K23/$E$5</f>
        <v>6.6637100000000005E-2</v>
      </c>
      <c r="M23" s="261"/>
      <c r="N23" s="262"/>
    </row>
    <row r="24" spans="2:14" ht="12" customHeight="1">
      <c r="B24" s="709"/>
      <c r="C24" s="709"/>
      <c r="D24" s="693"/>
      <c r="E24" s="703"/>
      <c r="F24" s="371">
        <f t="shared" si="7"/>
        <v>5.7974277000000001</v>
      </c>
      <c r="G24" s="294">
        <f t="shared" ref="G24" si="42">+D23*$C$4</f>
        <v>0.66637100000000005</v>
      </c>
      <c r="H24" s="294">
        <f t="shared" ref="H24" si="43">+D23*$D$4</f>
        <v>5.1310567000000002</v>
      </c>
      <c r="I24" s="294">
        <f>+[3]Transa_Ltp_Langamarillo!J24</f>
        <v>0</v>
      </c>
      <c r="J24" s="294">
        <f>+[3]Transa_Ltp_Langamarillo!K24</f>
        <v>0</v>
      </c>
      <c r="K24" s="374"/>
      <c r="L24" s="704"/>
    </row>
    <row r="25" spans="2:14" ht="12" customHeight="1">
      <c r="B25" s="709" t="s">
        <v>93</v>
      </c>
      <c r="C25" s="709" t="s">
        <v>93</v>
      </c>
      <c r="D25" s="692">
        <f>+[2]Transa_Ltp_Langamarillo!E25</f>
        <v>4.9240600000000002E-2</v>
      </c>
      <c r="E25" s="702">
        <f t="shared" ref="E25" si="44">+D25*$E$5</f>
        <v>42.790081400000005</v>
      </c>
      <c r="F25" s="371">
        <f t="shared" si="7"/>
        <v>38.506149200000003</v>
      </c>
      <c r="G25" s="294">
        <f t="shared" ref="G25" si="45">+D25*$C$3</f>
        <v>4.431654</v>
      </c>
      <c r="H25" s="294">
        <f t="shared" ref="H25" si="46">+D25*$D$3</f>
        <v>34.074495200000001</v>
      </c>
      <c r="I25" s="294">
        <f>+[3]Transa_Ltp_Langamarillo!J25</f>
        <v>0</v>
      </c>
      <c r="J25" s="294">
        <f>+[3]Transa_Ltp_Langamarillo!K25</f>
        <v>0</v>
      </c>
      <c r="K25" s="374">
        <f t="shared" ref="K25" si="47">+E25+I25+J25</f>
        <v>42.790081400000005</v>
      </c>
      <c r="L25" s="704">
        <f t="shared" ref="L25" si="48">+K25/$E$5</f>
        <v>4.9240600000000009E-2</v>
      </c>
      <c r="M25" s="261"/>
      <c r="N25" s="262"/>
    </row>
    <row r="26" spans="2:14" ht="12" customHeight="1">
      <c r="B26" s="709"/>
      <c r="C26" s="709"/>
      <c r="D26" s="693"/>
      <c r="E26" s="703"/>
      <c r="F26" s="371">
        <f t="shared" si="7"/>
        <v>4.2839322000000006</v>
      </c>
      <c r="G26" s="294">
        <f t="shared" ref="G26" si="49">+D25*$C$4</f>
        <v>0.49240600000000001</v>
      </c>
      <c r="H26" s="294">
        <f t="shared" ref="H26" si="50">+D25*$D$4</f>
        <v>3.7915262000000003</v>
      </c>
      <c r="I26" s="294">
        <f>+[3]Transa_Ltp_Langamarillo!J26</f>
        <v>0</v>
      </c>
      <c r="J26" s="294">
        <f>+[3]Transa_Ltp_Langamarillo!K26</f>
        <v>0</v>
      </c>
      <c r="K26" s="374"/>
      <c r="L26" s="704"/>
    </row>
    <row r="27" spans="2:14" ht="12" customHeight="1">
      <c r="B27" s="709" t="s">
        <v>94</v>
      </c>
      <c r="C27" s="709" t="s">
        <v>94</v>
      </c>
      <c r="D27" s="692">
        <f>+[2]Transa_Ltp_Langamarillo!E27</f>
        <v>0</v>
      </c>
      <c r="E27" s="702">
        <f t="shared" ref="E27" si="51">+D27*$E$5</f>
        <v>0</v>
      </c>
      <c r="F27" s="371">
        <f t="shared" si="7"/>
        <v>0</v>
      </c>
      <c r="G27" s="294">
        <f t="shared" ref="G27" si="52">+D27*$C$3</f>
        <v>0</v>
      </c>
      <c r="H27" s="294">
        <f t="shared" ref="H27" si="53">+D27*$D$3</f>
        <v>0</v>
      </c>
      <c r="I27" s="294">
        <f>+[3]Transa_Ltp_Langamarillo!J27</f>
        <v>0</v>
      </c>
      <c r="J27" s="294">
        <f>+[3]Transa_Ltp_Langamarillo!K27</f>
        <v>0</v>
      </c>
      <c r="K27" s="374">
        <f t="shared" ref="K27" si="54">+E27+I27+J27</f>
        <v>0</v>
      </c>
      <c r="L27" s="704">
        <f t="shared" ref="L27" si="55">+K27/$E$5</f>
        <v>0</v>
      </c>
    </row>
    <row r="28" spans="2:14" ht="12" customHeight="1">
      <c r="B28" s="709"/>
      <c r="C28" s="709"/>
      <c r="D28" s="693"/>
      <c r="E28" s="703"/>
      <c r="F28" s="371">
        <f t="shared" si="7"/>
        <v>0</v>
      </c>
      <c r="G28" s="294">
        <f t="shared" ref="G28" si="56">+D27*$C$4</f>
        <v>0</v>
      </c>
      <c r="H28" s="294">
        <f t="shared" ref="H28" si="57">+D27*$D$4</f>
        <v>0</v>
      </c>
      <c r="I28" s="294">
        <f>+[3]Transa_Ltp_Langamarillo!J28</f>
        <v>0</v>
      </c>
      <c r="J28" s="294">
        <f>+[3]Transa_Ltp_Langamarillo!K28</f>
        <v>0</v>
      </c>
      <c r="K28" s="374"/>
      <c r="L28" s="704"/>
    </row>
    <row r="29" spans="2:14" ht="12" customHeight="1">
      <c r="B29" s="709" t="s">
        <v>95</v>
      </c>
      <c r="C29" s="709" t="s">
        <v>95</v>
      </c>
      <c r="D29" s="692">
        <f>+[2]Transa_Ltp_Langamarillo!E29</f>
        <v>8.1010000000000001E-4</v>
      </c>
      <c r="E29" s="702">
        <f t="shared" ref="E29" si="58">+D29*$E$5</f>
        <v>0.70397690000000002</v>
      </c>
      <c r="F29" s="371">
        <f t="shared" si="7"/>
        <v>0.63349820000000001</v>
      </c>
      <c r="G29" s="294">
        <f t="shared" ref="G29" si="59">+D29*$C$3</f>
        <v>7.2909000000000002E-2</v>
      </c>
      <c r="H29" s="294">
        <f t="shared" ref="H29" si="60">+D29*$D$3</f>
        <v>0.56058920000000001</v>
      </c>
      <c r="I29" s="294">
        <f>+[3]Transa_Ltp_Langamarillo!J29</f>
        <v>0</v>
      </c>
      <c r="J29" s="294">
        <f>+[3]Transa_Ltp_Langamarillo!K29</f>
        <v>0</v>
      </c>
      <c r="K29" s="374">
        <f t="shared" ref="K29" si="61">+E29+I29+J29</f>
        <v>0.70397690000000002</v>
      </c>
      <c r="L29" s="704">
        <f t="shared" ref="L29" si="62">+K29/$E$5</f>
        <v>8.1010000000000001E-4</v>
      </c>
    </row>
    <row r="30" spans="2:14" ht="12" customHeight="1">
      <c r="B30" s="709"/>
      <c r="C30" s="709"/>
      <c r="D30" s="693"/>
      <c r="E30" s="703"/>
      <c r="F30" s="371">
        <f t="shared" si="7"/>
        <v>7.0478700000000005E-2</v>
      </c>
      <c r="G30" s="294">
        <f t="shared" ref="G30" si="63">+D29*$C$4</f>
        <v>8.1010000000000006E-3</v>
      </c>
      <c r="H30" s="294">
        <f t="shared" ref="H30" si="64">+D29*$D$4</f>
        <v>6.2377700000000001E-2</v>
      </c>
      <c r="I30" s="294">
        <f>+[3]Transa_Ltp_Langamarillo!J30</f>
        <v>0</v>
      </c>
      <c r="J30" s="294">
        <f>+[3]Transa_Ltp_Langamarillo!K30</f>
        <v>0</v>
      </c>
      <c r="K30" s="374"/>
      <c r="L30" s="704"/>
    </row>
    <row r="31" spans="2:14" ht="12" customHeight="1">
      <c r="B31" s="709" t="s">
        <v>96</v>
      </c>
      <c r="C31" s="709" t="s">
        <v>96</v>
      </c>
      <c r="D31" s="692">
        <f>+[2]Transa_Ltp_Langamarillo!E31</f>
        <v>2.1000000000000001E-4</v>
      </c>
      <c r="E31" s="702">
        <f t="shared" ref="E31" si="65">+D31*$E$5</f>
        <v>0.18249000000000001</v>
      </c>
      <c r="F31" s="371">
        <f t="shared" si="7"/>
        <v>0.16422</v>
      </c>
      <c r="G31" s="294">
        <f t="shared" ref="G31" si="66">+D31*$C$3</f>
        <v>1.89E-2</v>
      </c>
      <c r="H31" s="294">
        <f t="shared" ref="H31" si="67">+D31*$D$3</f>
        <v>0.14532</v>
      </c>
      <c r="I31" s="294">
        <f>+[3]Transa_Ltp_Langamarillo!J31</f>
        <v>0</v>
      </c>
      <c r="J31" s="294">
        <f>+[3]Transa_Ltp_Langamarillo!K31</f>
        <v>0</v>
      </c>
      <c r="K31" s="374">
        <f t="shared" ref="K31" si="68">+E31+I31+J31</f>
        <v>0.18249000000000001</v>
      </c>
      <c r="L31" s="704">
        <f t="shared" ref="L31" si="69">+K31/$E$5</f>
        <v>2.1000000000000001E-4</v>
      </c>
    </row>
    <row r="32" spans="2:14" ht="12" customHeight="1">
      <c r="B32" s="709"/>
      <c r="C32" s="709"/>
      <c r="D32" s="693"/>
      <c r="E32" s="703"/>
      <c r="F32" s="371">
        <f t="shared" si="7"/>
        <v>1.8270000000000002E-2</v>
      </c>
      <c r="G32" s="294">
        <f t="shared" ref="G32" si="70">+D31*$C$4</f>
        <v>2.1000000000000003E-3</v>
      </c>
      <c r="H32" s="294">
        <f t="shared" ref="H32" si="71">+D31*$D$4</f>
        <v>1.617E-2</v>
      </c>
      <c r="I32" s="294">
        <f>+[3]Transa_Ltp_Langamarillo!J32</f>
        <v>0</v>
      </c>
      <c r="J32" s="294">
        <f>+[3]Transa_Ltp_Langamarillo!K32</f>
        <v>0</v>
      </c>
      <c r="K32" s="374"/>
      <c r="L32" s="704"/>
    </row>
    <row r="33" spans="2:12" ht="12" customHeight="1">
      <c r="B33" s="709" t="s">
        <v>97</v>
      </c>
      <c r="C33" s="709" t="s">
        <v>97</v>
      </c>
      <c r="D33" s="692">
        <f>+[2]Transa_Ltp_Langamarillo!E33</f>
        <v>0</v>
      </c>
      <c r="E33" s="702">
        <f t="shared" ref="E33" si="72">+D33*$E$5</f>
        <v>0</v>
      </c>
      <c r="F33" s="371">
        <f t="shared" si="7"/>
        <v>0</v>
      </c>
      <c r="G33" s="294">
        <f t="shared" ref="G33" si="73">+D33*$C$3</f>
        <v>0</v>
      </c>
      <c r="H33" s="294">
        <f t="shared" ref="H33" si="74">+D33*$D$3</f>
        <v>0</v>
      </c>
      <c r="I33" s="294">
        <f>+[3]Transa_Ltp_Langamarillo!J33</f>
        <v>0</v>
      </c>
      <c r="J33" s="294">
        <f>+[3]Transa_Ltp_Langamarillo!K33</f>
        <v>0</v>
      </c>
      <c r="K33" s="374">
        <f t="shared" ref="K33" si="75">+E33+I33+J33</f>
        <v>0</v>
      </c>
      <c r="L33" s="704">
        <f t="shared" ref="L33" si="76">+K33/$E$5</f>
        <v>0</v>
      </c>
    </row>
    <row r="34" spans="2:12" ht="12" customHeight="1">
      <c r="B34" s="709"/>
      <c r="C34" s="709"/>
      <c r="D34" s="693"/>
      <c r="E34" s="703"/>
      <c r="F34" s="371">
        <f t="shared" si="7"/>
        <v>0</v>
      </c>
      <c r="G34" s="294">
        <f t="shared" ref="G34" si="77">+D33*$C$4</f>
        <v>0</v>
      </c>
      <c r="H34" s="294">
        <f t="shared" ref="H34" si="78">+D33*$D$4</f>
        <v>0</v>
      </c>
      <c r="I34" s="294">
        <f>+[3]Transa_Ltp_Langamarillo!J34</f>
        <v>0</v>
      </c>
      <c r="J34" s="294">
        <f>+[3]Transa_Ltp_Langamarillo!K34</f>
        <v>0</v>
      </c>
      <c r="K34" s="374"/>
      <c r="L34" s="704"/>
    </row>
    <row r="35" spans="2:12" ht="12" customHeight="1">
      <c r="B35" s="709" t="s">
        <v>98</v>
      </c>
      <c r="C35" s="709" t="s">
        <v>98</v>
      </c>
      <c r="D35" s="692">
        <f>+[2]Transa_Ltp_Langamarillo!E35</f>
        <v>0</v>
      </c>
      <c r="E35" s="702">
        <f t="shared" ref="E35" si="79">+D35*$E$5</f>
        <v>0</v>
      </c>
      <c r="F35" s="371">
        <f t="shared" si="7"/>
        <v>0</v>
      </c>
      <c r="G35" s="294">
        <f t="shared" ref="G35" si="80">+D35*$C$3</f>
        <v>0</v>
      </c>
      <c r="H35" s="294">
        <f t="shared" ref="H35" si="81">+D35*$D$3</f>
        <v>0</v>
      </c>
      <c r="I35" s="294">
        <f>+[3]Transa_Ltp_Langamarillo!J35</f>
        <v>0</v>
      </c>
      <c r="J35" s="294">
        <f>+[3]Transa_Ltp_Langamarillo!K35</f>
        <v>0</v>
      </c>
      <c r="K35" s="374">
        <f t="shared" ref="K35" si="82">+E35+I35+J35</f>
        <v>0</v>
      </c>
      <c r="L35" s="704">
        <f t="shared" ref="L35" si="83">+K35/$E$5</f>
        <v>0</v>
      </c>
    </row>
    <row r="36" spans="2:12" ht="12" customHeight="1">
      <c r="B36" s="709"/>
      <c r="C36" s="709"/>
      <c r="D36" s="693"/>
      <c r="E36" s="703"/>
      <c r="F36" s="371">
        <f t="shared" si="7"/>
        <v>0</v>
      </c>
      <c r="G36" s="294">
        <f t="shared" ref="G36" si="84">+D35*$C$4</f>
        <v>0</v>
      </c>
      <c r="H36" s="294">
        <f t="shared" ref="H36" si="85">+D35*$D$4</f>
        <v>0</v>
      </c>
      <c r="I36" s="294">
        <f>+[3]Transa_Ltp_Langamarillo!J36</f>
        <v>0</v>
      </c>
      <c r="J36" s="294">
        <f>+[3]Transa_Ltp_Langamarillo!K36</f>
        <v>0</v>
      </c>
      <c r="K36" s="374"/>
      <c r="L36" s="704"/>
    </row>
    <row r="37" spans="2:12" ht="12" customHeight="1">
      <c r="B37" s="709" t="s">
        <v>99</v>
      </c>
      <c r="C37" s="709" t="s">
        <v>99</v>
      </c>
      <c r="D37" s="692">
        <f>+[2]Transa_Ltp_Langamarillo!E37</f>
        <v>1.6790300000000001E-2</v>
      </c>
      <c r="E37" s="702">
        <f t="shared" ref="E37" si="86">+D37*$E$5</f>
        <v>14.5907707</v>
      </c>
      <c r="F37" s="371">
        <f t="shared" si="7"/>
        <v>13.130014600000001</v>
      </c>
      <c r="G37" s="294">
        <f t="shared" ref="G37" si="87">+D37*$C$3</f>
        <v>1.5111270000000001</v>
      </c>
      <c r="H37" s="294">
        <f t="shared" ref="H37" si="88">+D37*$D$3</f>
        <v>11.618887600000001</v>
      </c>
      <c r="I37" s="294">
        <f>+[3]Transa_Ltp_Langamarillo!J37</f>
        <v>0</v>
      </c>
      <c r="J37" s="294">
        <f>+[3]Transa_Ltp_Langamarillo!K37</f>
        <v>0</v>
      </c>
      <c r="K37" s="374">
        <f t="shared" ref="K37" si="89">+E37+I37+J37</f>
        <v>14.5907707</v>
      </c>
      <c r="L37" s="704">
        <f t="shared" ref="L37" si="90">+K37/$E$5</f>
        <v>1.6790300000000001E-2</v>
      </c>
    </row>
    <row r="38" spans="2:12" ht="12" customHeight="1">
      <c r="B38" s="709"/>
      <c r="C38" s="709"/>
      <c r="D38" s="693"/>
      <c r="E38" s="703"/>
      <c r="F38" s="371">
        <f t="shared" si="7"/>
        <v>1.4607561000000002</v>
      </c>
      <c r="G38" s="294">
        <f t="shared" ref="G38" si="91">+D37*$C$4</f>
        <v>0.16790300000000002</v>
      </c>
      <c r="H38" s="294">
        <f t="shared" ref="H38" si="92">+D37*$D$4</f>
        <v>1.2928531000000001</v>
      </c>
      <c r="I38" s="294">
        <f>+[3]Transa_Ltp_Langamarillo!J38</f>
        <v>0</v>
      </c>
      <c r="J38" s="294">
        <f>+[3]Transa_Ltp_Langamarillo!K38</f>
        <v>0</v>
      </c>
      <c r="K38" s="374"/>
      <c r="L38" s="704"/>
    </row>
    <row r="39" spans="2:12" ht="12" customHeight="1">
      <c r="B39" s="700" t="s">
        <v>148</v>
      </c>
      <c r="C39" s="700"/>
      <c r="D39" s="692">
        <f>SUM(D9:D38)</f>
        <v>0.99999990000000016</v>
      </c>
      <c r="E39" s="702">
        <f>SUM(E9:E38)</f>
        <v>868.99991309999996</v>
      </c>
      <c r="F39" s="375">
        <f>+F9+F11+F13+F15+F17+F19+F21+F23+F25+F27+F29+F31+F33+F35+F37</f>
        <v>781.99992179999981</v>
      </c>
      <c r="G39" s="376">
        <f t="shared" ref="G39:H40" si="93">+G9+G11+G13+G15+G17+G19+G21+G23+G25+G27+G29+G31+G33+G35+G37</f>
        <v>89.99999099999998</v>
      </c>
      <c r="H39" s="376">
        <f t="shared" si="93"/>
        <v>691.99993079999979</v>
      </c>
      <c r="I39" s="376">
        <f t="shared" ref="I39:J39" si="94">+I9+I11+I13+I15+I17+I19+I21+I23+I25+I27+I29+I31+I33+I35+I37</f>
        <v>0</v>
      </c>
      <c r="J39" s="376">
        <f t="shared" si="94"/>
        <v>0</v>
      </c>
      <c r="K39" s="710">
        <f>SUM(K9:K38)</f>
        <v>868.99991309999996</v>
      </c>
      <c r="L39" s="705">
        <f>SUM(L9:L38)</f>
        <v>0.99999990000000016</v>
      </c>
    </row>
    <row r="40" spans="2:12" ht="12" customHeight="1">
      <c r="B40" s="700"/>
      <c r="C40" s="700"/>
      <c r="D40" s="693"/>
      <c r="E40" s="703"/>
      <c r="F40" s="375">
        <f>+F10+F12+F14+F16+F18+F20+F22+F24+F26+F28+F30+F32+F34+F36+F38</f>
        <v>86.999991299999976</v>
      </c>
      <c r="G40" s="376">
        <f t="shared" si="93"/>
        <v>9.9999990000000025</v>
      </c>
      <c r="H40" s="376">
        <f t="shared" si="93"/>
        <v>76.999992300000002</v>
      </c>
      <c r="I40" s="376">
        <f t="shared" ref="I40:J40" si="95">+I10+I12+I14+I16+I18+I20+I22+I24+I26+I28+I30+I32+I34+I36+I38</f>
        <v>0</v>
      </c>
      <c r="J40" s="376">
        <f t="shared" si="95"/>
        <v>0</v>
      </c>
      <c r="K40" s="711"/>
      <c r="L40" s="705"/>
    </row>
    <row r="41" spans="2:12" ht="12" customHeight="1">
      <c r="F41" s="377"/>
      <c r="G41" s="377"/>
      <c r="H41" s="377"/>
      <c r="I41" s="377"/>
      <c r="J41" s="377"/>
      <c r="K41" s="377"/>
      <c r="L41" s="377"/>
    </row>
    <row r="43" spans="2:12" ht="12" customHeight="1" thickBot="1">
      <c r="L43" s="263"/>
    </row>
    <row r="44" spans="2:12" ht="12" customHeight="1" thickBot="1">
      <c r="B44" s="706" t="s">
        <v>129</v>
      </c>
      <c r="C44" s="707"/>
      <c r="D44" s="707"/>
      <c r="E44" s="708"/>
      <c r="F44" s="273"/>
      <c r="G44" s="274"/>
      <c r="H44" s="274"/>
      <c r="I44" s="274"/>
      <c r="J44" s="274"/>
      <c r="K44" s="274"/>
      <c r="L44" s="274"/>
    </row>
    <row r="45" spans="2:12" ht="12" customHeight="1">
      <c r="B45" s="275" t="s">
        <v>128</v>
      </c>
      <c r="C45" s="276" t="s">
        <v>114</v>
      </c>
      <c r="D45" s="277" t="s">
        <v>115</v>
      </c>
      <c r="E45" s="278" t="s">
        <v>101</v>
      </c>
      <c r="F45" s="274"/>
      <c r="G45" s="274"/>
      <c r="H45" s="274"/>
      <c r="I45" s="274"/>
      <c r="J45" s="274"/>
      <c r="K45" s="274"/>
      <c r="L45" s="274"/>
    </row>
    <row r="46" spans="2:12" ht="12" customHeight="1">
      <c r="B46" s="279" t="s">
        <v>102</v>
      </c>
      <c r="C46" s="280">
        <v>794</v>
      </c>
      <c r="D46" s="280">
        <v>970</v>
      </c>
      <c r="E46" s="281">
        <f>SUM(C46:D46)</f>
        <v>1764</v>
      </c>
      <c r="F46" s="274"/>
      <c r="G46" s="274"/>
      <c r="H46" s="274"/>
      <c r="I46" s="274"/>
      <c r="J46" s="274"/>
      <c r="K46" s="274"/>
      <c r="L46" s="274"/>
    </row>
    <row r="47" spans="2:12" ht="12" customHeight="1">
      <c r="B47" s="279" t="s">
        <v>103</v>
      </c>
      <c r="C47" s="280">
        <v>88</v>
      </c>
      <c r="D47" s="280">
        <v>108</v>
      </c>
      <c r="E47" s="281">
        <f>SUM(C47:D47)</f>
        <v>196</v>
      </c>
      <c r="F47" s="274"/>
      <c r="G47" s="274"/>
      <c r="H47" s="274"/>
      <c r="I47" s="274"/>
      <c r="J47" s="274"/>
      <c r="K47" s="274"/>
      <c r="L47" s="274"/>
    </row>
    <row r="48" spans="2:12" ht="12" customHeight="1" thickBot="1">
      <c r="B48" s="289" t="s">
        <v>119</v>
      </c>
      <c r="C48" s="290">
        <f>SUM(C46:C47)</f>
        <v>882</v>
      </c>
      <c r="D48" s="290">
        <f t="shared" ref="D48" si="96">SUM(D46:D47)</f>
        <v>1078</v>
      </c>
      <c r="E48" s="291">
        <f>SUM(C48:D48)</f>
        <v>1960</v>
      </c>
      <c r="F48" s="282"/>
      <c r="G48" s="274"/>
      <c r="H48" s="274"/>
      <c r="I48" s="274"/>
      <c r="J48" s="274"/>
      <c r="K48" s="274"/>
      <c r="L48" s="274"/>
    </row>
    <row r="49" spans="2:13" ht="12" customHeight="1">
      <c r="B49" s="283"/>
      <c r="C49" s="284"/>
      <c r="D49" s="284"/>
      <c r="E49" s="284"/>
      <c r="F49" s="282"/>
      <c r="G49" s="274"/>
      <c r="H49" s="274"/>
      <c r="I49" s="274"/>
      <c r="J49" s="274"/>
      <c r="K49" s="274"/>
      <c r="L49" s="274"/>
    </row>
    <row r="50" spans="2:13" ht="27" customHeight="1">
      <c r="B50" s="285"/>
      <c r="D50" s="283"/>
      <c r="E50" s="284"/>
      <c r="F50" s="284"/>
      <c r="G50" s="688" t="s">
        <v>136</v>
      </c>
      <c r="H50" s="689"/>
      <c r="I50" s="690" t="s">
        <v>3</v>
      </c>
      <c r="J50" s="691"/>
      <c r="K50" s="284"/>
      <c r="L50" s="274"/>
      <c r="M50" s="274"/>
    </row>
    <row r="51" spans="2:13" ht="36" customHeight="1">
      <c r="B51" s="699" t="s">
        <v>86</v>
      </c>
      <c r="C51" s="699"/>
      <c r="D51" s="286" t="s">
        <v>120</v>
      </c>
      <c r="E51" s="286" t="s">
        <v>106</v>
      </c>
      <c r="F51" s="370" t="s">
        <v>142</v>
      </c>
      <c r="G51" s="373" t="s">
        <v>137</v>
      </c>
      <c r="H51" s="373" t="s">
        <v>138</v>
      </c>
      <c r="I51" s="372" t="s">
        <v>139</v>
      </c>
      <c r="J51" s="372" t="s">
        <v>140</v>
      </c>
      <c r="K51" s="286" t="s">
        <v>141</v>
      </c>
      <c r="L51" s="293" t="s">
        <v>107</v>
      </c>
      <c r="M51" s="293" t="s">
        <v>118</v>
      </c>
    </row>
    <row r="52" spans="2:13" ht="12" customHeight="1">
      <c r="B52" s="700" t="str">
        <f>+[4]Transa_Pep_Langamarillo!B10</f>
        <v>CAMANCHACA PESCA SUR</v>
      </c>
      <c r="C52" s="700"/>
      <c r="D52" s="712">
        <f>+[4]Transa_Pep_Langamarillo!C10</f>
        <v>0.30851095900000003</v>
      </c>
      <c r="E52" s="364">
        <f>+[4]Transa_Pep_Langamarillo!D10</f>
        <v>604.68147964000002</v>
      </c>
      <c r="F52" s="368">
        <f>+G52+H52</f>
        <v>544.21333167600005</v>
      </c>
      <c r="G52" s="287">
        <f>+D52*$C$46</f>
        <v>244.95770144600002</v>
      </c>
      <c r="H52" s="287">
        <f>+D52*$D$46</f>
        <v>299.25563023000001</v>
      </c>
      <c r="I52" s="288">
        <f>+[4]Transa_Pep_Langamarillo!H10</f>
        <v>-152.55852720919998</v>
      </c>
      <c r="J52" s="288">
        <f>+[4]Transa_Pep_Langamarillo!I10</f>
        <v>334.05620639999995</v>
      </c>
      <c r="K52" s="287">
        <f>+I52+J52</f>
        <v>181.49767919079997</v>
      </c>
      <c r="L52" s="288">
        <f>+E52+K52+K53</f>
        <v>786.17915883080002</v>
      </c>
      <c r="M52" s="288">
        <f>+L52/$E$48</f>
        <v>0.40111181572999999</v>
      </c>
    </row>
    <row r="53" spans="2:13" ht="12" customHeight="1">
      <c r="B53" s="700"/>
      <c r="C53" s="700"/>
      <c r="D53" s="713"/>
      <c r="E53" s="365"/>
      <c r="F53" s="368">
        <f>+G53+H53</f>
        <v>60.468147964000003</v>
      </c>
      <c r="G53" s="287">
        <f>+D52*$C$47</f>
        <v>27.148964392000003</v>
      </c>
      <c r="H53" s="287">
        <f>+D52*$D$47</f>
        <v>33.319183572</v>
      </c>
      <c r="I53" s="288">
        <f>+[4]Transa_Pep_Langamarillo!H11</f>
        <v>0</v>
      </c>
      <c r="J53" s="288">
        <f>+[4]Transa_Pep_Langamarillo!I11</f>
        <v>0</v>
      </c>
      <c r="K53" s="287">
        <f>+I53+J53</f>
        <v>0</v>
      </c>
      <c r="L53" s="288"/>
      <c r="M53" s="288"/>
    </row>
    <row r="54" spans="2:13" ht="12" customHeight="1">
      <c r="B54" s="700" t="str">
        <f>+[4]Transa_Pep_Langamarillo!B12</f>
        <v>QUINTERO S.A. PESQ.</v>
      </c>
      <c r="C54" s="700"/>
      <c r="D54" s="695">
        <f>+[4]Transa_Pep_Langamarillo!C12</f>
        <v>2.1082E-2</v>
      </c>
      <c r="E54" s="364">
        <f>+[4]Transa_Pep_Langamarillo!D12</f>
        <v>41.320720000000001</v>
      </c>
      <c r="F54" s="368">
        <f>+G54+H54</f>
        <v>37.188648000000001</v>
      </c>
      <c r="G54" s="287">
        <f t="shared" ref="G54" si="97">+D54*$C$46</f>
        <v>16.739108000000002</v>
      </c>
      <c r="H54" s="287">
        <f t="shared" ref="H54" si="98">+D54*$D$46</f>
        <v>20.449539999999999</v>
      </c>
      <c r="I54" s="288">
        <f>+[4]Transa_Pep_Langamarillo!H12</f>
        <v>0</v>
      </c>
      <c r="J54" s="288">
        <f>+[4]Transa_Pep_Langamarillo!I12</f>
        <v>0</v>
      </c>
      <c r="K54" s="287">
        <f t="shared" ref="K54:K79" si="99">+I54+J54</f>
        <v>0</v>
      </c>
      <c r="L54" s="288">
        <f>+E54+K54+K55</f>
        <v>41.320720000000001</v>
      </c>
      <c r="M54" s="288">
        <f>+K54/$E$48</f>
        <v>0</v>
      </c>
    </row>
    <row r="55" spans="2:13" ht="12" customHeight="1">
      <c r="B55" s="700"/>
      <c r="C55" s="700"/>
      <c r="D55" s="696"/>
      <c r="E55" s="365"/>
      <c r="F55" s="368">
        <f>+G55+H55</f>
        <v>4.132072</v>
      </c>
      <c r="G55" s="287">
        <f t="shared" ref="G55" si="100">+D54*$C$47</f>
        <v>1.855216</v>
      </c>
      <c r="H55" s="287">
        <f t="shared" ref="H55" si="101">+D54*$D$47</f>
        <v>2.276856</v>
      </c>
      <c r="I55" s="288">
        <f>+[4]Transa_Pep_Langamarillo!H13</f>
        <v>0</v>
      </c>
      <c r="J55" s="288">
        <f>+[4]Transa_Pep_Langamarillo!I13</f>
        <v>0</v>
      </c>
      <c r="K55" s="287">
        <f t="shared" si="99"/>
        <v>0</v>
      </c>
      <c r="L55" s="288"/>
      <c r="M55" s="288"/>
    </row>
    <row r="56" spans="2:13" ht="12" customHeight="1">
      <c r="B56" s="700" t="str">
        <f>+[4]Transa_Pep_Langamarillo!B14</f>
        <v>BRACPESCA S.A.</v>
      </c>
      <c r="C56" s="700"/>
      <c r="D56" s="695">
        <f>+[4]Transa_Pep_Langamarillo!C14</f>
        <v>0.25926339999999998</v>
      </c>
      <c r="E56" s="364">
        <f>+[4]Transa_Pep_Langamarillo!D14</f>
        <v>508.15626399999996</v>
      </c>
      <c r="F56" s="368">
        <f t="shared" ref="F56:F79" si="102">+G56+H56</f>
        <v>457.34063759999992</v>
      </c>
      <c r="G56" s="287">
        <f t="shared" ref="G56" si="103">+D56*$C$46</f>
        <v>205.85513959999997</v>
      </c>
      <c r="H56" s="287">
        <f t="shared" ref="H56" si="104">+D56*$D$46</f>
        <v>251.48549799999998</v>
      </c>
      <c r="I56" s="288">
        <f>+[4]Transa_Pep_Langamarillo!H14</f>
        <v>200.00000719999997</v>
      </c>
      <c r="J56" s="288">
        <f>+[4]Transa_Pep_Langamarillo!I14</f>
        <v>-225.58588640000002</v>
      </c>
      <c r="K56" s="287">
        <f t="shared" si="99"/>
        <v>-25.585879200000051</v>
      </c>
      <c r="L56" s="288">
        <f>+E56+K56+K57</f>
        <v>482.57038479999994</v>
      </c>
      <c r="M56" s="288">
        <f>+K56/$E$48</f>
        <v>-1.3054020000000026E-2</v>
      </c>
    </row>
    <row r="57" spans="2:13" ht="12" customHeight="1">
      <c r="B57" s="700"/>
      <c r="C57" s="700"/>
      <c r="D57" s="696"/>
      <c r="E57" s="365"/>
      <c r="F57" s="368">
        <f t="shared" si="102"/>
        <v>50.815626399999999</v>
      </c>
      <c r="G57" s="287">
        <f t="shared" ref="G57" si="105">+D56*$C$47</f>
        <v>22.815179199999999</v>
      </c>
      <c r="H57" s="287">
        <f t="shared" ref="H57" si="106">+D56*$D$47</f>
        <v>28.000447199999996</v>
      </c>
      <c r="I57" s="288">
        <f>+[4]Transa_Pep_Langamarillo!H15</f>
        <v>0</v>
      </c>
      <c r="J57" s="288">
        <f>+[4]Transa_Pep_Langamarillo!I15</f>
        <v>0</v>
      </c>
      <c r="K57" s="287">
        <f t="shared" si="99"/>
        <v>0</v>
      </c>
      <c r="L57" s="288"/>
      <c r="M57" s="288"/>
    </row>
    <row r="58" spans="2:13" ht="12" customHeight="1">
      <c r="B58" s="700" t="str">
        <f>+[4]Transa_Pep_Langamarillo!B16</f>
        <v>ISLADAMAS S.A. PESQ.</v>
      </c>
      <c r="C58" s="700"/>
      <c r="D58" s="695">
        <f>+[4]Transa_Pep_Langamarillo!C16</f>
        <v>0.15214620000000001</v>
      </c>
      <c r="E58" s="364">
        <f>+[4]Transa_Pep_Langamarillo!D16</f>
        <v>298.20655200000004</v>
      </c>
      <c r="F58" s="368">
        <f t="shared" si="102"/>
        <v>268.38589680000001</v>
      </c>
      <c r="G58" s="287">
        <f t="shared" ref="G58" si="107">+D58*$C$46</f>
        <v>120.8040828</v>
      </c>
      <c r="H58" s="287">
        <f t="shared" ref="H58" si="108">+D58*$D$46</f>
        <v>147.58181400000001</v>
      </c>
      <c r="I58" s="288">
        <f>+[4]Transa_Pep_Langamarillo!H16</f>
        <v>29.547000000000001</v>
      </c>
      <c r="J58" s="288">
        <f>+[4]Transa_Pep_Langamarillo!I16</f>
        <v>36.113</v>
      </c>
      <c r="K58" s="287">
        <f t="shared" si="99"/>
        <v>65.66</v>
      </c>
      <c r="L58" s="288">
        <f>+E58+K58+K59</f>
        <v>363.86655200000007</v>
      </c>
      <c r="M58" s="288">
        <f>+K58/$E$48</f>
        <v>3.3499999999999995E-2</v>
      </c>
    </row>
    <row r="59" spans="2:13" ht="12" customHeight="1">
      <c r="B59" s="700"/>
      <c r="C59" s="700"/>
      <c r="D59" s="696"/>
      <c r="E59" s="365"/>
      <c r="F59" s="368">
        <f t="shared" si="102"/>
        <v>29.820655200000004</v>
      </c>
      <c r="G59" s="287">
        <f t="shared" ref="G59" si="109">+D58*$C$47</f>
        <v>13.388865600000001</v>
      </c>
      <c r="H59" s="287">
        <f t="shared" ref="H59" si="110">+D58*$D$47</f>
        <v>16.431789600000002</v>
      </c>
      <c r="I59" s="288">
        <f>+[4]Transa_Pep_Langamarillo!H17</f>
        <v>0</v>
      </c>
      <c r="J59" s="288">
        <f>+[4]Transa_Pep_Langamarillo!I17</f>
        <v>0</v>
      </c>
      <c r="K59" s="287">
        <f t="shared" si="99"/>
        <v>0</v>
      </c>
      <c r="L59" s="288"/>
      <c r="M59" s="288"/>
    </row>
    <row r="60" spans="2:13" ht="12" customHeight="1">
      <c r="B60" s="700" t="str">
        <f>+[4]Transa_Pep_Langamarillo!B18</f>
        <v>ANTARTIC SEAFOOD S.A.</v>
      </c>
      <c r="C60" s="700"/>
      <c r="D60" s="695">
        <f>+[4]Transa_Pep_Langamarillo!C18</f>
        <v>8.7300000000000003E-2</v>
      </c>
      <c r="E60" s="364">
        <f>+[4]Transa_Pep_Langamarillo!D18</f>
        <v>171.108</v>
      </c>
      <c r="F60" s="368">
        <f t="shared" si="102"/>
        <v>153.99720000000002</v>
      </c>
      <c r="G60" s="287">
        <f t="shared" ref="G60" si="111">+D60*$C$46</f>
        <v>69.316200000000009</v>
      </c>
      <c r="H60" s="287">
        <f t="shared" ref="H60" si="112">+D60*$D$46</f>
        <v>84.680999999999997</v>
      </c>
      <c r="I60" s="288">
        <f>+[4]Transa_Pep_Langamarillo!H18</f>
        <v>40.000000009199994</v>
      </c>
      <c r="J60" s="288">
        <f>+[4]Transa_Pep_Langamarillo!I18</f>
        <v>-83.329399999999993</v>
      </c>
      <c r="K60" s="287">
        <f t="shared" si="99"/>
        <v>-43.329399990799999</v>
      </c>
      <c r="L60" s="288">
        <f>+E60+K60+K61</f>
        <v>127.77860000920001</v>
      </c>
      <c r="M60" s="288">
        <f>+K60/$E$48</f>
        <v>-2.2106836729999999E-2</v>
      </c>
    </row>
    <row r="61" spans="2:13" ht="12" customHeight="1">
      <c r="B61" s="700"/>
      <c r="C61" s="700"/>
      <c r="D61" s="696"/>
      <c r="E61" s="365"/>
      <c r="F61" s="368">
        <f t="shared" si="102"/>
        <v>17.110800000000001</v>
      </c>
      <c r="G61" s="287">
        <f t="shared" ref="G61" si="113">+D60*$C$47</f>
        <v>7.6824000000000003</v>
      </c>
      <c r="H61" s="287">
        <f t="shared" ref="H61" si="114">+D60*$D$47</f>
        <v>9.4283999999999999</v>
      </c>
      <c r="I61" s="288">
        <f>+[4]Transa_Pep_Langamarillo!H19</f>
        <v>0</v>
      </c>
      <c r="J61" s="288">
        <f>+[4]Transa_Pep_Langamarillo!I19</f>
        <v>0</v>
      </c>
      <c r="K61" s="287">
        <f t="shared" si="99"/>
        <v>0</v>
      </c>
      <c r="L61" s="288"/>
      <c r="M61" s="288"/>
    </row>
    <row r="62" spans="2:13" ht="12" customHeight="1">
      <c r="B62" s="700" t="str">
        <f>+[4]Transa_Pep_Langamarillo!B20</f>
        <v>ANTONIO CRUZ CORDOVA NAKOUZI E.I.R.L</v>
      </c>
      <c r="C62" s="700"/>
      <c r="D62" s="695">
        <f>+[4]Transa_Pep_Langamarillo!C20</f>
        <v>1.3669999999999999E-4</v>
      </c>
      <c r="E62" s="364">
        <f>+[4]Transa_Pep_Langamarillo!D20</f>
        <v>0.267932</v>
      </c>
      <c r="F62" s="368">
        <f t="shared" si="102"/>
        <v>0.24113879999999999</v>
      </c>
      <c r="G62" s="287">
        <f t="shared" ref="G62" si="115">+D62*$C$46</f>
        <v>0.10853979999999999</v>
      </c>
      <c r="H62" s="287">
        <f t="shared" ref="H62" si="116">+D62*$D$46</f>
        <v>0.13259899999999999</v>
      </c>
      <c r="I62" s="288">
        <f>+[4]Transa_Pep_Langamarillo!H20</f>
        <v>0</v>
      </c>
      <c r="J62" s="288">
        <f>+[4]Transa_Pep_Langamarillo!I20</f>
        <v>0</v>
      </c>
      <c r="K62" s="287">
        <f t="shared" si="99"/>
        <v>0</v>
      </c>
      <c r="L62" s="288">
        <f>+E62+K62+K63</f>
        <v>0.267932</v>
      </c>
      <c r="M62" s="288">
        <f>+K62/$E$48</f>
        <v>0</v>
      </c>
    </row>
    <row r="63" spans="2:13" ht="12" customHeight="1">
      <c r="B63" s="700"/>
      <c r="C63" s="700"/>
      <c r="D63" s="696"/>
      <c r="E63" s="365"/>
      <c r="F63" s="368">
        <f t="shared" si="102"/>
        <v>2.6793199999999996E-2</v>
      </c>
      <c r="G63" s="287">
        <f t="shared" ref="G63" si="117">+D62*$C$47</f>
        <v>1.20296E-2</v>
      </c>
      <c r="H63" s="287">
        <f t="shared" ref="H63" si="118">+D62*$D$47</f>
        <v>1.4763599999999998E-2</v>
      </c>
      <c r="I63" s="288">
        <f>+[4]Transa_Pep_Langamarillo!H21</f>
        <v>0</v>
      </c>
      <c r="J63" s="288">
        <f>+[4]Transa_Pep_Langamarillo!I21</f>
        <v>0</v>
      </c>
      <c r="K63" s="287">
        <f t="shared" si="99"/>
        <v>0</v>
      </c>
      <c r="L63" s="288"/>
      <c r="M63" s="288"/>
    </row>
    <row r="64" spans="2:13" ht="12" customHeight="1">
      <c r="B64" s="700" t="str">
        <f>+[4]Transa_Pep_Langamarillo!B22</f>
        <v>ENFEMAR LTDA. SOC. PESQ.</v>
      </c>
      <c r="C64" s="700"/>
      <c r="D64" s="695">
        <f>+[4]Transa_Pep_Langamarillo!C22</f>
        <v>5.4599999999999999E-5</v>
      </c>
      <c r="E64" s="364">
        <f>+[4]Transa_Pep_Langamarillo!D22</f>
        <v>0.107016</v>
      </c>
      <c r="F64" s="368">
        <f t="shared" si="102"/>
        <v>9.6314399999999994E-2</v>
      </c>
      <c r="G64" s="287">
        <f t="shared" ref="G64" si="119">+D64*$C$46</f>
        <v>4.3352399999999999E-2</v>
      </c>
      <c r="H64" s="287">
        <f t="shared" ref="H64" si="120">+D64*$D$46</f>
        <v>5.2962000000000002E-2</v>
      </c>
      <c r="I64" s="288">
        <f>+[4]Transa_Pep_Langamarillo!H22</f>
        <v>0</v>
      </c>
      <c r="J64" s="288">
        <f>+[4]Transa_Pep_Langamarillo!I22</f>
        <v>0</v>
      </c>
      <c r="K64" s="287">
        <f>+I64+J64</f>
        <v>0</v>
      </c>
      <c r="L64" s="288">
        <f>+E64+K64+K65</f>
        <v>0.107016</v>
      </c>
      <c r="M64" s="288">
        <f>+K64/$E$48</f>
        <v>0</v>
      </c>
    </row>
    <row r="65" spans="2:13" ht="12" customHeight="1">
      <c r="B65" s="700"/>
      <c r="C65" s="700"/>
      <c r="D65" s="696"/>
      <c r="E65" s="365"/>
      <c r="F65" s="368">
        <f t="shared" si="102"/>
        <v>1.0701599999999999E-2</v>
      </c>
      <c r="G65" s="287">
        <f t="shared" ref="G65" si="121">+D64*$C$47</f>
        <v>4.8047999999999997E-3</v>
      </c>
      <c r="H65" s="287">
        <f t="shared" ref="H65" si="122">+D64*$D$47</f>
        <v>5.8967999999999998E-3</v>
      </c>
      <c r="I65" s="288">
        <f>+[4]Transa_Pep_Langamarillo!H23</f>
        <v>0</v>
      </c>
      <c r="J65" s="288">
        <f>+[4]Transa_Pep_Langamarillo!I23</f>
        <v>0</v>
      </c>
      <c r="K65" s="287">
        <f>+I65+J65</f>
        <v>0</v>
      </c>
      <c r="L65" s="288"/>
      <c r="M65" s="288"/>
    </row>
    <row r="66" spans="2:13" ht="12" customHeight="1">
      <c r="B66" s="700" t="str">
        <f>+[4]Transa_Pep_Langamarillo!B24</f>
        <v>PACIFICBLU SpA.</v>
      </c>
      <c r="C66" s="700"/>
      <c r="D66" s="695">
        <f>+[4]Transa_Pep_Langamarillo!C24</f>
        <v>0.17048904000000001</v>
      </c>
      <c r="E66" s="364">
        <f>+[4]Transa_Pep_Langamarillo!D24</f>
        <v>334.15851839999999</v>
      </c>
      <c r="F66" s="368">
        <f t="shared" si="102"/>
        <v>300.74266656000003</v>
      </c>
      <c r="G66" s="287">
        <f t="shared" ref="G66" si="123">+D66*$C$46</f>
        <v>135.36829776000002</v>
      </c>
      <c r="H66" s="287">
        <f t="shared" ref="H66" si="124">+D66*$D$46</f>
        <v>165.37436880000001</v>
      </c>
      <c r="I66" s="288">
        <f>+[4]Transa_Pep_Langamarillo!H24</f>
        <v>-116.98847999999998</v>
      </c>
      <c r="J66" s="288">
        <f>+[4]Transa_Pep_Langamarillo!I24</f>
        <v>-142.98591999999996</v>
      </c>
      <c r="K66" s="287">
        <f t="shared" si="99"/>
        <v>-259.97439999999995</v>
      </c>
      <c r="L66" s="288">
        <f>+E66+K66+K67</f>
        <v>74.184118400000045</v>
      </c>
      <c r="M66" s="288">
        <f>+K66/$E$48</f>
        <v>-0.13263999999999998</v>
      </c>
    </row>
    <row r="67" spans="2:13" ht="12" customHeight="1">
      <c r="B67" s="700"/>
      <c r="C67" s="700"/>
      <c r="D67" s="696"/>
      <c r="E67" s="365"/>
      <c r="F67" s="368">
        <f t="shared" si="102"/>
        <v>33.415851840000002</v>
      </c>
      <c r="G67" s="287">
        <f t="shared" ref="G67" si="125">+D66*$C$47</f>
        <v>15.003035520000001</v>
      </c>
      <c r="H67" s="287">
        <f t="shared" ref="H67" si="126">+D66*$D$47</f>
        <v>18.412816320000001</v>
      </c>
      <c r="I67" s="288">
        <f>+[4]Transa_Pep_Langamarillo!H25</f>
        <v>0</v>
      </c>
      <c r="J67" s="288">
        <f>+[4]Transa_Pep_Langamarillo!I25</f>
        <v>0</v>
      </c>
      <c r="K67" s="287">
        <f t="shared" si="99"/>
        <v>0</v>
      </c>
      <c r="L67" s="288"/>
      <c r="M67" s="288"/>
    </row>
    <row r="68" spans="2:13" ht="12" customHeight="1">
      <c r="B68" s="700" t="str">
        <f>+[4]Transa_Pep_Langamarillo!B26</f>
        <v xml:space="preserve">ANTONIO DA VENEZIA RETAMALES </v>
      </c>
      <c r="C68" s="700"/>
      <c r="D68" s="695">
        <f>+[4]Transa_Pep_Langamarillo!C26</f>
        <v>2.0100000000000001E-5</v>
      </c>
      <c r="E68" s="364">
        <f>+[4]Transa_Pep_Langamarillo!D26</f>
        <v>3.9396E-2</v>
      </c>
      <c r="F68" s="368">
        <f t="shared" si="102"/>
        <v>3.5456399999999999E-2</v>
      </c>
      <c r="G68" s="287">
        <f t="shared" ref="G68" si="127">+D68*$C$46</f>
        <v>1.5959400000000002E-2</v>
      </c>
      <c r="H68" s="287">
        <f t="shared" ref="H68" si="128">+D68*$D$46</f>
        <v>1.9497E-2</v>
      </c>
      <c r="I68" s="288">
        <f>+[4]Transa_Pep_Langamarillo!H26</f>
        <v>0</v>
      </c>
      <c r="J68" s="288">
        <f>+[4]Transa_Pep_Langamarillo!I26</f>
        <v>0</v>
      </c>
      <c r="K68" s="287">
        <f t="shared" si="99"/>
        <v>0</v>
      </c>
      <c r="L68" s="288">
        <f>+E68+K68+K69</f>
        <v>3.9396E-2</v>
      </c>
      <c r="M68" s="288">
        <f>+K68/$E$48</f>
        <v>0</v>
      </c>
    </row>
    <row r="69" spans="2:13" ht="12" customHeight="1">
      <c r="B69" s="700"/>
      <c r="C69" s="700"/>
      <c r="D69" s="696"/>
      <c r="E69" s="365"/>
      <c r="F69" s="368">
        <f t="shared" si="102"/>
        <v>3.9395999999999997E-3</v>
      </c>
      <c r="G69" s="287">
        <f t="shared" ref="G69" si="129">+D68*$C$47</f>
        <v>1.7688000000000001E-3</v>
      </c>
      <c r="H69" s="287">
        <f t="shared" ref="H69" si="130">+D68*$D$47</f>
        <v>2.1708000000000001E-3</v>
      </c>
      <c r="I69" s="288">
        <f>+[4]Transa_Pep_Langamarillo!H27</f>
        <v>0</v>
      </c>
      <c r="J69" s="288">
        <f>+[4]Transa_Pep_Langamarillo!I27</f>
        <v>0</v>
      </c>
      <c r="K69" s="287">
        <f t="shared" si="99"/>
        <v>0</v>
      </c>
      <c r="L69" s="288"/>
      <c r="M69" s="288"/>
    </row>
    <row r="70" spans="2:13" ht="12" customHeight="1">
      <c r="B70" s="700" t="str">
        <f>+[4]Transa_Pep_Langamarillo!B28</f>
        <v>LANDES S.A. SOC. PESQ.</v>
      </c>
      <c r="C70" s="700"/>
      <c r="D70" s="695">
        <f>+[4]Transa_Pep_Langamarillo!C28</f>
        <v>1E-3</v>
      </c>
      <c r="E70" s="364">
        <f>+[4]Transa_Pep_Langamarillo!D28</f>
        <v>1.96</v>
      </c>
      <c r="F70" s="368">
        <f t="shared" si="102"/>
        <v>1.764</v>
      </c>
      <c r="G70" s="287">
        <f t="shared" ref="G70" si="131">+D70*$C$46</f>
        <v>0.79400000000000004</v>
      </c>
      <c r="H70" s="287">
        <f t="shared" ref="H70" si="132">+D70*$D$46</f>
        <v>0.97</v>
      </c>
      <c r="I70" s="288">
        <f>+[4]Transa_Pep_Langamarillo!H28</f>
        <v>0</v>
      </c>
      <c r="J70" s="288">
        <f>+[4]Transa_Pep_Langamarillo!I28</f>
        <v>0</v>
      </c>
      <c r="K70" s="287">
        <f t="shared" si="99"/>
        <v>0</v>
      </c>
      <c r="L70" s="288">
        <f>+E70+K70+K71</f>
        <v>1.96</v>
      </c>
      <c r="M70" s="288">
        <f>+K70/$E$48</f>
        <v>0</v>
      </c>
    </row>
    <row r="71" spans="2:13" ht="12" customHeight="1">
      <c r="B71" s="700"/>
      <c r="C71" s="700"/>
      <c r="D71" s="696"/>
      <c r="E71" s="365"/>
      <c r="F71" s="368">
        <f t="shared" si="102"/>
        <v>0.19600000000000001</v>
      </c>
      <c r="G71" s="287">
        <f t="shared" ref="G71" si="133">+D70*$C$47</f>
        <v>8.7999999999999995E-2</v>
      </c>
      <c r="H71" s="287">
        <f t="shared" ref="H71" si="134">+D70*$D$47</f>
        <v>0.108</v>
      </c>
      <c r="I71" s="288">
        <f>+[4]Transa_Pep_Langamarillo!H29</f>
        <v>0</v>
      </c>
      <c r="J71" s="288">
        <f>+[4]Transa_Pep_Langamarillo!I29</f>
        <v>0</v>
      </c>
      <c r="K71" s="287">
        <f t="shared" si="99"/>
        <v>0</v>
      </c>
      <c r="L71" s="288"/>
      <c r="M71" s="288"/>
    </row>
    <row r="72" spans="2:13" ht="12" customHeight="1">
      <c r="B72" s="700" t="str">
        <f>+[4]Transa_Pep_Langamarillo!B30</f>
        <v>JORGE COFRE REYES</v>
      </c>
      <c r="C72" s="700"/>
      <c r="D72" s="695">
        <f>+[4]Transa_Pep_Langamarillo!C30</f>
        <v>0</v>
      </c>
      <c r="E72" s="364">
        <f>+[4]Transa_Pep_Langamarillo!D30</f>
        <v>0</v>
      </c>
      <c r="F72" s="368">
        <f t="shared" si="102"/>
        <v>0</v>
      </c>
      <c r="G72" s="287">
        <f t="shared" ref="G72" si="135">+D72*$C$46</f>
        <v>0</v>
      </c>
      <c r="H72" s="287">
        <f t="shared" ref="H72" si="136">+D72*$D$46</f>
        <v>0</v>
      </c>
      <c r="I72" s="288">
        <f>+[4]Transa_Pep_Langamarillo!H30</f>
        <v>0</v>
      </c>
      <c r="J72" s="288">
        <f>+[4]Transa_Pep_Langamarillo!I30</f>
        <v>81.731999999999999</v>
      </c>
      <c r="K72" s="287">
        <f t="shared" si="99"/>
        <v>81.731999999999999</v>
      </c>
      <c r="L72" s="288">
        <f>+E72+K72+K73</f>
        <v>81.731999999999999</v>
      </c>
      <c r="M72" s="288">
        <f>+K72/$E$48</f>
        <v>4.1700000000000001E-2</v>
      </c>
    </row>
    <row r="73" spans="2:13" ht="12" customHeight="1">
      <c r="B73" s="700"/>
      <c r="C73" s="700"/>
      <c r="D73" s="696"/>
      <c r="E73" s="365"/>
      <c r="F73" s="368">
        <f t="shared" si="102"/>
        <v>0</v>
      </c>
      <c r="G73" s="287">
        <f t="shared" ref="G73" si="137">+D72*$C$47</f>
        <v>0</v>
      </c>
      <c r="H73" s="287">
        <f t="shared" ref="H73" si="138">+D72*$D$47</f>
        <v>0</v>
      </c>
      <c r="I73" s="288">
        <f>+[4]Transa_Pep_Langamarillo!H31</f>
        <v>0</v>
      </c>
      <c r="J73" s="288">
        <f>+[4]Transa_Pep_Langamarillo!I31</f>
        <v>0</v>
      </c>
      <c r="K73" s="287">
        <f t="shared" si="99"/>
        <v>0</v>
      </c>
      <c r="L73" s="288"/>
      <c r="M73" s="288"/>
    </row>
    <row r="74" spans="2:13" ht="12" customHeight="1">
      <c r="B74" s="700" t="str">
        <f>+[4]Transa_Pep_Langamarillo!B32</f>
        <v>CRISTIAN RODRIGO ANTONIO MARDONES PANTOJA</v>
      </c>
      <c r="C74" s="700"/>
      <c r="D74" s="695">
        <f>+[4]Transa_Pep_Langamarillo!C32</f>
        <v>0</v>
      </c>
      <c r="E74" s="364">
        <f>+[4]Transa_Pep_Langamarillo!D32</f>
        <v>0</v>
      </c>
      <c r="F74" s="368">
        <f t="shared" si="102"/>
        <v>0</v>
      </c>
      <c r="G74" s="287">
        <f t="shared" ref="G74" si="139">+D74*$C$46</f>
        <v>0</v>
      </c>
      <c r="H74" s="287">
        <f t="shared" ref="H74" si="140">+D74*$D$46</f>
        <v>0</v>
      </c>
      <c r="I74" s="288">
        <f>+[4]Transa_Pep_Langamarillo!H32</f>
        <v>0</v>
      </c>
      <c r="J74" s="288">
        <f>+[4]Transa_Pep_Langamarillo!I32</f>
        <v>0</v>
      </c>
      <c r="K74" s="287">
        <f t="shared" si="99"/>
        <v>0</v>
      </c>
      <c r="L74" s="288">
        <f>+E74+K74+K75</f>
        <v>0</v>
      </c>
      <c r="M74" s="288">
        <f>+K74/$E$48</f>
        <v>0</v>
      </c>
    </row>
    <row r="75" spans="2:13" ht="12" customHeight="1">
      <c r="B75" s="700"/>
      <c r="C75" s="700"/>
      <c r="D75" s="696"/>
      <c r="E75" s="365"/>
      <c r="F75" s="368">
        <f t="shared" si="102"/>
        <v>0</v>
      </c>
      <c r="G75" s="287">
        <f t="shared" ref="G75" si="141">+D74*$C$47</f>
        <v>0</v>
      </c>
      <c r="H75" s="287">
        <f t="shared" ref="H75" si="142">+D74*$D$47</f>
        <v>0</v>
      </c>
      <c r="I75" s="288">
        <f>+[4]Transa_Pep_Langamarillo!H33</f>
        <v>0</v>
      </c>
      <c r="J75" s="288">
        <f>+[4]Transa_Pep_Langamarillo!I33</f>
        <v>0</v>
      </c>
      <c r="K75" s="287">
        <f t="shared" si="99"/>
        <v>0</v>
      </c>
      <c r="L75" s="288"/>
      <c r="M75" s="288"/>
    </row>
    <row r="76" spans="2:13" ht="12" customHeight="1">
      <c r="B76" s="700" t="str">
        <f>+[4]Transa_Pep_Langamarillo!B34</f>
        <v>PESQUERA CMK LTDA.</v>
      </c>
      <c r="C76" s="700"/>
      <c r="D76" s="695">
        <f>+[4]Transa_Pep_Langamarillo!C34</f>
        <v>0</v>
      </c>
      <c r="E76" s="364">
        <f>+[4]Transa_Pep_Langamarillo!D34</f>
        <v>0</v>
      </c>
      <c r="F76" s="368">
        <f t="shared" si="102"/>
        <v>0</v>
      </c>
      <c r="G76" s="287">
        <f t="shared" ref="G76" si="143">+D76*$C$46</f>
        <v>0</v>
      </c>
      <c r="H76" s="287">
        <f t="shared" ref="H76" si="144">+D76*$D$46</f>
        <v>0</v>
      </c>
      <c r="I76" s="288">
        <f>+[4]Transa_Pep_Langamarillo!H34</f>
        <v>0</v>
      </c>
      <c r="J76" s="288">
        <f>+[4]Transa_Pep_Langamarillo!I34</f>
        <v>0</v>
      </c>
      <c r="K76" s="287">
        <f t="shared" si="99"/>
        <v>0</v>
      </c>
      <c r="L76" s="288">
        <f>+E76+K76+K77</f>
        <v>0</v>
      </c>
      <c r="M76" s="288">
        <f>+K76/$E$48</f>
        <v>0</v>
      </c>
    </row>
    <row r="77" spans="2:13" ht="12" customHeight="1">
      <c r="B77" s="700"/>
      <c r="C77" s="700"/>
      <c r="D77" s="696"/>
      <c r="E77" s="365"/>
      <c r="F77" s="368">
        <f t="shared" si="102"/>
        <v>0</v>
      </c>
      <c r="G77" s="287">
        <f t="shared" ref="G77" si="145">+D76*$C$47</f>
        <v>0</v>
      </c>
      <c r="H77" s="287">
        <f t="shared" ref="H77" si="146">+D76*$D$47</f>
        <v>0</v>
      </c>
      <c r="I77" s="288">
        <f>+[4]Transa_Pep_Langamarillo!H35</f>
        <v>0</v>
      </c>
      <c r="J77" s="288">
        <f>+[4]Transa_Pep_Langamarillo!I35</f>
        <v>0</v>
      </c>
      <c r="K77" s="287">
        <f t="shared" si="99"/>
        <v>0</v>
      </c>
      <c r="L77" s="288"/>
      <c r="M77" s="288"/>
    </row>
    <row r="78" spans="2:13" ht="12" customHeight="1">
      <c r="B78" s="700" t="str">
        <f>+[4]Transa_Pep_Langamarillo!B36</f>
        <v>RUBIO Y MAUAD</v>
      </c>
      <c r="C78" s="700"/>
      <c r="D78" s="695">
        <f>+[4]Transa_Pep_Langamarillo!C36</f>
        <v>0</v>
      </c>
      <c r="E78" s="364">
        <f>+[4]Transa_Pep_Langamarillo!D36</f>
        <v>0</v>
      </c>
      <c r="F78" s="368">
        <f t="shared" si="102"/>
        <v>0</v>
      </c>
      <c r="G78" s="287">
        <f t="shared" ref="G78" si="147">+D78*$C$46</f>
        <v>0</v>
      </c>
      <c r="H78" s="287">
        <f t="shared" ref="H78" si="148">+D78*$D$46</f>
        <v>0</v>
      </c>
      <c r="I78" s="288">
        <f>+[4]Transa_Pep_Langamarillo!H36</f>
        <v>0</v>
      </c>
      <c r="J78" s="288">
        <f>+[4]Transa_Pep_Langamarillo!I36</f>
        <v>0</v>
      </c>
      <c r="K78" s="287">
        <f t="shared" si="99"/>
        <v>0</v>
      </c>
      <c r="L78" s="288">
        <f>+E78+K78+K79</f>
        <v>0</v>
      </c>
      <c r="M78" s="288">
        <f>+K78/$E$48</f>
        <v>0</v>
      </c>
    </row>
    <row r="79" spans="2:13" ht="12" customHeight="1">
      <c r="B79" s="700"/>
      <c r="C79" s="700"/>
      <c r="D79" s="696"/>
      <c r="E79" s="365"/>
      <c r="F79" s="368">
        <f t="shared" si="102"/>
        <v>0</v>
      </c>
      <c r="G79" s="287">
        <f t="shared" ref="G79" si="149">+D78*$C$47</f>
        <v>0</v>
      </c>
      <c r="H79" s="287">
        <f t="shared" ref="H79" si="150">+D78*$D$47</f>
        <v>0</v>
      </c>
      <c r="I79" s="288">
        <f>+[4]Transa_Pep_Langamarillo!H37</f>
        <v>0</v>
      </c>
      <c r="J79" s="288">
        <f>+[4]Transa_Pep_Langamarillo!I37</f>
        <v>0</v>
      </c>
      <c r="K79" s="287">
        <f t="shared" si="99"/>
        <v>0</v>
      </c>
      <c r="L79" s="288"/>
      <c r="M79" s="288"/>
    </row>
    <row r="80" spans="2:13" ht="12" customHeight="1">
      <c r="B80" s="700" t="s">
        <v>148</v>
      </c>
      <c r="C80" s="700"/>
      <c r="D80" s="694">
        <f>SUM(D52:D79)</f>
        <v>1.0000029989999999</v>
      </c>
      <c r="E80" s="697">
        <f>SUM(E52:E79)</f>
        <v>1960.00587804</v>
      </c>
      <c r="F80" s="369">
        <f t="shared" ref="F80:K81" si="151">+F52+F54+F56+F58+F60+F62+F64+F66+F68+F70+F72+F74+F76+F78</f>
        <v>1764.0052902360001</v>
      </c>
      <c r="G80" s="367">
        <f t="shared" si="151"/>
        <v>794.002381206</v>
      </c>
      <c r="H80" s="367">
        <f t="shared" si="151"/>
        <v>970.00290903000018</v>
      </c>
      <c r="I80" s="367">
        <f t="shared" si="151"/>
        <v>0</v>
      </c>
      <c r="J80" s="367">
        <f t="shared" si="151"/>
        <v>-2.8421709430404007E-14</v>
      </c>
      <c r="K80" s="367">
        <f t="shared" si="151"/>
        <v>-2.8421709430404007E-14</v>
      </c>
      <c r="L80" s="367">
        <f>+L52+L54+L56+L58+L60+L62+L64+L66+L68+L70+L72+L74+L76+L78</f>
        <v>1960.00587804</v>
      </c>
      <c r="M80" s="366">
        <f>+M52+M54+M56+M58+M60+M62+M64+M66+M68+M70+M72+M74+M76+M78</f>
        <v>0.30851095899999997</v>
      </c>
    </row>
    <row r="81" spans="2:13" ht="12" customHeight="1">
      <c r="B81" s="700"/>
      <c r="C81" s="700"/>
      <c r="D81" s="694"/>
      <c r="E81" s="698"/>
      <c r="F81" s="369">
        <f t="shared" si="151"/>
        <v>196.00058780400002</v>
      </c>
      <c r="G81" s="367">
        <f t="shared" si="151"/>
        <v>88.000263911999994</v>
      </c>
      <c r="H81" s="367">
        <f t="shared" si="151"/>
        <v>108.000323892</v>
      </c>
      <c r="I81" s="367">
        <f t="shared" si="151"/>
        <v>0</v>
      </c>
      <c r="J81" s="367">
        <f t="shared" si="151"/>
        <v>0</v>
      </c>
      <c r="K81" s="367">
        <f t="shared" si="151"/>
        <v>0</v>
      </c>
      <c r="L81" s="367"/>
      <c r="M81" s="366"/>
    </row>
  </sheetData>
  <mergeCells count="104">
    <mergeCell ref="D68:D69"/>
    <mergeCell ref="D52:D53"/>
    <mergeCell ref="D54:D55"/>
    <mergeCell ref="D56:D57"/>
    <mergeCell ref="D58:D59"/>
    <mergeCell ref="B1:E1"/>
    <mergeCell ref="D60:D61"/>
    <mergeCell ref="D62:D63"/>
    <mergeCell ref="D64:D65"/>
    <mergeCell ref="D66:D67"/>
    <mergeCell ref="B9:C10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44:E44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B37:C38"/>
    <mergeCell ref="D15:D16"/>
    <mergeCell ref="E29:E30"/>
    <mergeCell ref="D31:D32"/>
    <mergeCell ref="E31:E32"/>
    <mergeCell ref="D33:D34"/>
    <mergeCell ref="E33:E34"/>
    <mergeCell ref="D35:D36"/>
    <mergeCell ref="E35:E36"/>
    <mergeCell ref="D37:D38"/>
    <mergeCell ref="E37:E38"/>
    <mergeCell ref="K39:K40"/>
    <mergeCell ref="B39:C40"/>
    <mergeCell ref="D76:D77"/>
    <mergeCell ref="D78:D79"/>
    <mergeCell ref="L35:L36"/>
    <mergeCell ref="E15:E16"/>
    <mergeCell ref="D17:D18"/>
    <mergeCell ref="E17:E18"/>
    <mergeCell ref="D19:D20"/>
    <mergeCell ref="E19:E20"/>
    <mergeCell ref="D21:D22"/>
    <mergeCell ref="E21:E22"/>
    <mergeCell ref="D23:D24"/>
    <mergeCell ref="E23:E24"/>
    <mergeCell ref="D25:D26"/>
    <mergeCell ref="E25:E26"/>
    <mergeCell ref="D27:D28"/>
    <mergeCell ref="E27:E28"/>
    <mergeCell ref="D29:D30"/>
    <mergeCell ref="L37:L38"/>
    <mergeCell ref="L27:L28"/>
    <mergeCell ref="L39:L40"/>
    <mergeCell ref="L29:L30"/>
    <mergeCell ref="L31:L32"/>
    <mergeCell ref="L33:L34"/>
    <mergeCell ref="E39:E40"/>
    <mergeCell ref="B8:C8"/>
    <mergeCell ref="G7:H7"/>
    <mergeCell ref="I7:J7"/>
    <mergeCell ref="D9:D10"/>
    <mergeCell ref="E9:E10"/>
    <mergeCell ref="D11:D12"/>
    <mergeCell ref="E11:E12"/>
    <mergeCell ref="D13:D14"/>
    <mergeCell ref="E13:E14"/>
    <mergeCell ref="G50:H50"/>
    <mergeCell ref="I50:J50"/>
    <mergeCell ref="D39:D40"/>
    <mergeCell ref="D80:D81"/>
    <mergeCell ref="D70:D71"/>
    <mergeCell ref="E80:E81"/>
    <mergeCell ref="B51:C51"/>
    <mergeCell ref="B52:C53"/>
    <mergeCell ref="B54:C55"/>
    <mergeCell ref="B56:C57"/>
    <mergeCell ref="B58:C59"/>
    <mergeCell ref="B60:C61"/>
    <mergeCell ref="B62:C63"/>
    <mergeCell ref="B64:C65"/>
    <mergeCell ref="B66:C67"/>
    <mergeCell ref="B68:C69"/>
    <mergeCell ref="B70:C71"/>
    <mergeCell ref="B72:C73"/>
    <mergeCell ref="B74:C75"/>
    <mergeCell ref="B76:C77"/>
    <mergeCell ref="B78:C79"/>
    <mergeCell ref="B80:C81"/>
    <mergeCell ref="D72:D73"/>
    <mergeCell ref="D74:D75"/>
  </mergeCells>
  <conditionalFormatting sqref="I51:J51 M52:M79">
    <cfRule type="cellIs" dxfId="3" priority="10" operator="lessThan">
      <formula>0</formula>
    </cfRule>
  </conditionalFormatting>
  <conditionalFormatting sqref="I52:M79">
    <cfRule type="cellIs" dxfId="2" priority="7" operator="greaterThan">
      <formula>0</formula>
    </cfRule>
    <cfRule type="cellIs" dxfId="1" priority="8" operator="lessThan">
      <formula>0</formula>
    </cfRule>
  </conditionalFormatting>
  <conditionalFormatting sqref="I8:J8">
    <cfRule type="cellIs" dxfId="0" priority="1" operator="lessThan">
      <formula>0</formula>
    </cfRule>
  </conditionalFormatting>
  <hyperlinks>
    <hyperlink ref="C25" location="'RUBIO Y MAUAD LTDA.'!A1" display="RUBIO Y MAUAD LTDA."/>
    <hyperlink ref="C13" location="'BRACPESCA S.A.'!A1" display="BRACPESCA S.A."/>
    <hyperlink ref="C11" location="'BAYCIC BAYCIC MARIA'!A1" display="BAYCIC BAYCIC MARIA"/>
    <hyperlink ref="C15" location="'GRIMAR S.A. PESQ.'!A1" display="GRIMAR S.A. PESQ."/>
    <hyperlink ref="C19" location="'MOROZIN BAYCIC MARIA ANA'!A1" display="MOROZIN BAYCIC MARIA ANA"/>
    <hyperlink ref="C21" location="'MOROZIN YURECIC MARIO'!A1" display="MOROZIN YURECIC MARIO"/>
    <hyperlink ref="C23" location="'QUINTERO S.A. PESQ.'!A1" display="QUINTERO S.A. PESQ."/>
    <hyperlink ref="C29" location="'ENFEMAR LTDA. SOC. PESQ.'!A1" display="ENFEMAR LTDA. SOC. PESQ."/>
    <hyperlink ref="C31" location="'ALIMENTOS ALSAN LTDA'!A1" display="ALIMENTOS ALSAN LTDA"/>
    <hyperlink ref="C33" location="'SOC. DISTRIMAR LTDA'!A1" display="SOC. DISTRIBUIDORA DE PRODUCTOS DEL MAR LTDA."/>
    <hyperlink ref="C35" location="'DA VENEZIA'!A1" display="DA VENEZIA RETAMALES ANTONIO"/>
    <hyperlink ref="C37" location="'NICANOR GONZALEZ VEGA'!A1" display="NICANOR GONZALEZ VEGA"/>
    <hyperlink ref="C17" location="'ISLADAMAS S.A. PESQ.'!A1" display="ISLADAMAS S.A. PESQ."/>
    <hyperlink ref="B25" location="'RUBIO Y MAUAD LTDA.'!A1" display="RUBIO Y MAUAD LTDA."/>
    <hyperlink ref="B13" location="'BRACPESCA S.A.'!A1" display="BRACPESCA S.A."/>
    <hyperlink ref="B11" location="'BAYCIC BAYCIC MARIA'!A1" display="BAYCIC BAYCIC MARIA"/>
    <hyperlink ref="B15" location="'GRIMAR S.A. PESQ.'!A1" display="GRIMAR S.A. PESQ."/>
    <hyperlink ref="B19" location="'MOROZIN BAYCIC MARIA ANA'!A1" display="MOROZIN BAYCIC MARIA ANA"/>
    <hyperlink ref="B21" location="'MOROZIN YURECIC MARIO'!A1" display="MOROZIN YURECIC MARIO"/>
    <hyperlink ref="B23" location="'QUINTERO S.A. PESQ.'!A1" display="QUINTERO S.A. PESQ."/>
    <hyperlink ref="B29" location="'ENFEMAR LTDA. SOC. PESQ.'!A1" display="ENFEMAR LTDA. SOC. PESQ."/>
    <hyperlink ref="B31" location="'ALIMENTOS ALSAN LTDA'!A1" display="ALIMENTOS ALSAN LTDA"/>
    <hyperlink ref="B33" location="'SOC. DISTRIMAR LTDA'!A1" display="SOC. DISTRIBUIDORA DE PRODUCTOS DEL MAR LTDA."/>
    <hyperlink ref="B35" location="'DA VENEZIA'!A1" display="DA VENEZIA RETAMALES ANTONIO"/>
    <hyperlink ref="B37" location="'NICANOR GONZALEZ VEGA'!A1" display="NICANOR GONZALEZ VEGA"/>
    <hyperlink ref="B17" location="'ISLADAMAS S.A. PESQ.'!A1" display="ISLADAMAS S.A. PESQ."/>
    <hyperlink ref="B9" location="'ANTARTIC SEAFOOD S.A.'!A1" display="ANTARTIC SEAFOOD S.A."/>
  </hyperlinks>
  <pageMargins left="0.7" right="0.7" top="0.75" bottom="0.75" header="0.3" footer="0.3"/>
  <pageSetup paperSize="16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Resumen anual</vt:lpstr>
      <vt:lpstr>P.Invest-Fauna Acomp</vt:lpstr>
      <vt:lpstr>Resumen periodo</vt:lpstr>
      <vt:lpstr>Control Cuota Artesanal III-IV</vt:lpstr>
      <vt:lpstr>FUP</vt:lpstr>
      <vt:lpstr>Control Cuota LTP III-IV</vt:lpstr>
      <vt:lpstr>Control Cuota Licitada V-VIII </vt:lpstr>
      <vt:lpstr>Transa_Ltp_pep_Langamarillo</vt:lpstr>
      <vt:lpstr>Hoja1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2019-04-05T23:12:56Z</dcterms:modified>
</cp:coreProperties>
</file>