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1.- Bentonicos\"/>
    </mc:Choice>
  </mc:AlternateContent>
  <bookViews>
    <workbookView xWindow="-15" yWindow="1050" windowWidth="19260" windowHeight="9975" tabRatio="863"/>
  </bookViews>
  <sheets>
    <sheet name="Resumen anual" sheetId="7" r:id="rId1"/>
    <sheet name="Hoja2" sheetId="24" r:id="rId2"/>
    <sheet name="Resumen periodo" sheetId="6" state="hidden" r:id="rId3"/>
    <sheet name="Control Cuota Artesanal XV-IV" sheetId="3" r:id="rId4"/>
    <sheet name="Control Cuota LTP XV-IV" sheetId="18" r:id="rId5"/>
    <sheet name="Control Cuota_PEP_V-VIII" sheetId="20" r:id="rId6"/>
    <sheet name="Pesca Invest_FA" sheetId="21" r:id="rId7"/>
    <sheet name="Movimientos_LtpPep" sheetId="14" r:id="rId8"/>
    <sheet name="Adjudicacions Pep SSP" sheetId="22" r:id="rId9"/>
  </sheets>
  <definedNames>
    <definedName name="_xlnm._FilterDatabase" localSheetId="7" hidden="1">Movimientos_LtpPep!$B$86:$L$96</definedName>
    <definedName name="_xlnm.Print_Area" localSheetId="0">'Resumen anual'!$A$1:$J$17</definedName>
  </definedNames>
  <calcPr calcId="152511"/>
</workbook>
</file>

<file path=xl/calcChain.xml><?xml version="1.0" encoding="utf-8"?>
<calcChain xmlns="http://schemas.openxmlformats.org/spreadsheetml/2006/main">
  <c r="F9" i="24" l="1"/>
  <c r="F8" i="24"/>
  <c r="F6" i="24"/>
  <c r="F16" i="24"/>
  <c r="F15" i="24"/>
  <c r="D17" i="24"/>
  <c r="D16" i="24"/>
  <c r="D15" i="24"/>
  <c r="E15" i="24" s="1"/>
  <c r="D14" i="24"/>
  <c r="D10" i="24"/>
  <c r="D9" i="24"/>
  <c r="D8" i="24"/>
  <c r="D7" i="24"/>
  <c r="E7" i="24" s="1"/>
  <c r="D6" i="24"/>
  <c r="F36" i="24"/>
  <c r="F37" i="24"/>
  <c r="H37" i="24" s="1"/>
  <c r="F34" i="24"/>
  <c r="D38" i="24"/>
  <c r="D37" i="24"/>
  <c r="D35" i="24"/>
  <c r="E35" i="24" s="1"/>
  <c r="D36" i="24"/>
  <c r="D34" i="24"/>
  <c r="E34" i="24" s="1"/>
  <c r="F27" i="24"/>
  <c r="F25" i="24"/>
  <c r="F24" i="24"/>
  <c r="F23" i="24"/>
  <c r="F22" i="24"/>
  <c r="F21" i="24"/>
  <c r="D28" i="24"/>
  <c r="D27" i="24"/>
  <c r="D25" i="24"/>
  <c r="E25" i="24" s="1"/>
  <c r="H25" i="24" s="1"/>
  <c r="D26" i="24"/>
  <c r="E26" i="24" s="1"/>
  <c r="D24" i="24"/>
  <c r="E24" i="24" s="1"/>
  <c r="D23" i="24"/>
  <c r="D22" i="24"/>
  <c r="D21" i="24"/>
  <c r="E21" i="24" s="1"/>
  <c r="H21" i="24" s="1"/>
  <c r="C38" i="24"/>
  <c r="E37" i="24"/>
  <c r="E36" i="24"/>
  <c r="H36" i="24" s="1"/>
  <c r="C28" i="24"/>
  <c r="E28" i="24" s="1"/>
  <c r="E27" i="24"/>
  <c r="H27" i="24" s="1"/>
  <c r="E23" i="24"/>
  <c r="H23" i="24" s="1"/>
  <c r="E22" i="24"/>
  <c r="H22" i="24" s="1"/>
  <c r="C17" i="24"/>
  <c r="E17" i="24" s="1"/>
  <c r="E16" i="24"/>
  <c r="G16" i="24" s="1"/>
  <c r="E14" i="24"/>
  <c r="C10" i="24"/>
  <c r="E10" i="24" s="1"/>
  <c r="E9" i="24"/>
  <c r="H9" i="24" s="1"/>
  <c r="E8" i="24"/>
  <c r="G8" i="24" s="1"/>
  <c r="E6" i="24"/>
  <c r="H6" i="24" s="1"/>
  <c r="H16" i="24" l="1"/>
  <c r="G15" i="24"/>
  <c r="H15" i="24"/>
  <c r="H8" i="24"/>
  <c r="G37" i="24"/>
  <c r="E38" i="24"/>
  <c r="G34" i="24"/>
  <c r="H34" i="24"/>
  <c r="G27" i="24"/>
  <c r="G24" i="24"/>
  <c r="H24" i="24"/>
  <c r="G23" i="24"/>
  <c r="G6" i="24"/>
  <c r="G22" i="24"/>
  <c r="G36" i="24"/>
  <c r="G9" i="24"/>
  <c r="G21" i="24"/>
  <c r="G25" i="24"/>
  <c r="E10" i="18" l="1"/>
  <c r="E9" i="18"/>
  <c r="E8" i="18"/>
  <c r="E7" i="18"/>
  <c r="E12" i="18"/>
  <c r="E11" i="18"/>
  <c r="E14" i="18"/>
  <c r="E13" i="18"/>
  <c r="K7" i="18"/>
  <c r="E18" i="18" l="1"/>
  <c r="E24" i="18" s="1"/>
  <c r="E17" i="18"/>
  <c r="E23" i="18" s="1"/>
  <c r="G9" i="14"/>
  <c r="D11" i="7"/>
  <c r="E22" i="3"/>
  <c r="E21" i="3"/>
  <c r="N14" i="20" l="1"/>
  <c r="H14" i="20"/>
  <c r="K50" i="14" l="1"/>
  <c r="K78" i="14"/>
  <c r="K49" i="14" l="1"/>
  <c r="J49" i="14"/>
  <c r="K67" i="14"/>
  <c r="J67" i="14"/>
  <c r="K99" i="14"/>
  <c r="J99" i="14"/>
  <c r="L99" i="14"/>
  <c r="I87" i="14"/>
  <c r="L91" i="14"/>
  <c r="T10" i="14" l="1"/>
  <c r="T9" i="14"/>
  <c r="I9" i="14"/>
  <c r="K75" i="14" l="1"/>
  <c r="K77" i="14" l="1"/>
  <c r="J77" i="14"/>
  <c r="L49" i="14"/>
  <c r="M49" i="14" s="1"/>
  <c r="L97" i="14"/>
  <c r="L96" i="14"/>
  <c r="J95" i="14"/>
  <c r="J55" i="14"/>
  <c r="L9" i="18" l="1"/>
  <c r="I96" i="14"/>
  <c r="I95" i="14"/>
  <c r="T32" i="20" l="1"/>
  <c r="L32" i="20"/>
  <c r="F32" i="20"/>
  <c r="T31" i="20"/>
  <c r="L31" i="20"/>
  <c r="F31" i="20"/>
  <c r="E73" i="14"/>
  <c r="B73" i="14"/>
  <c r="C31" i="20" s="1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H20" i="22"/>
  <c r="Z31" i="20" l="1"/>
  <c r="R31" i="20"/>
  <c r="R32" i="20"/>
  <c r="X31" i="20" s="1"/>
  <c r="I73" i="14"/>
  <c r="K31" i="20" s="1"/>
  <c r="M31" i="20" s="1"/>
  <c r="O31" i="20" s="1"/>
  <c r="I74" i="14"/>
  <c r="K32" i="20" s="1"/>
  <c r="H74" i="14"/>
  <c r="E32" i="20" s="1"/>
  <c r="H73" i="14"/>
  <c r="K5" i="21"/>
  <c r="K6" i="21"/>
  <c r="K7" i="21"/>
  <c r="K8" i="21"/>
  <c r="K9" i="21"/>
  <c r="G20" i="22"/>
  <c r="F20" i="22"/>
  <c r="P31" i="20" l="1"/>
  <c r="Q32" i="20"/>
  <c r="M32" i="20"/>
  <c r="O32" i="20" s="1"/>
  <c r="G73" i="14"/>
  <c r="E31" i="20"/>
  <c r="G74" i="14"/>
  <c r="H46" i="20"/>
  <c r="H47" i="20"/>
  <c r="H48" i="20"/>
  <c r="H49" i="20"/>
  <c r="N33" i="20"/>
  <c r="N13" i="20"/>
  <c r="N7" i="20"/>
  <c r="H7" i="20"/>
  <c r="H9" i="20"/>
  <c r="H15" i="20"/>
  <c r="E21" i="21"/>
  <c r="F21" i="21"/>
  <c r="E22" i="21" s="1"/>
  <c r="G10" i="7" s="1"/>
  <c r="E10" i="21"/>
  <c r="F10" i="21"/>
  <c r="J21" i="21"/>
  <c r="I21" i="21"/>
  <c r="H21" i="21"/>
  <c r="G21" i="21"/>
  <c r="K20" i="21"/>
  <c r="K19" i="21"/>
  <c r="K18" i="21"/>
  <c r="K17" i="21"/>
  <c r="K16" i="21"/>
  <c r="K15" i="21"/>
  <c r="J10" i="21"/>
  <c r="I10" i="21"/>
  <c r="H10" i="21"/>
  <c r="G10" i="21"/>
  <c r="K4" i="21"/>
  <c r="K10" i="21" s="1"/>
  <c r="P32" i="20" l="1"/>
  <c r="Q31" i="20"/>
  <c r="G31" i="20"/>
  <c r="G11" i="21"/>
  <c r="K21" i="21"/>
  <c r="G22" i="21"/>
  <c r="G25" i="7" s="1"/>
  <c r="E11" i="21"/>
  <c r="G15" i="7" s="1"/>
  <c r="G26" i="7"/>
  <c r="W31" i="20" l="1"/>
  <c r="Y31" i="20" s="1"/>
  <c r="S31" i="20"/>
  <c r="J31" i="20"/>
  <c r="I31" i="20"/>
  <c r="G32" i="20" s="1"/>
  <c r="B3" i="18"/>
  <c r="E53" i="14"/>
  <c r="E57" i="14"/>
  <c r="E59" i="14"/>
  <c r="E63" i="14"/>
  <c r="E65" i="14"/>
  <c r="E67" i="14"/>
  <c r="E49" i="14"/>
  <c r="E71" i="14"/>
  <c r="E69" i="14"/>
  <c r="E61" i="14"/>
  <c r="E55" i="14"/>
  <c r="E20" i="22"/>
  <c r="AA31" i="20" l="1"/>
  <c r="AB31" i="20"/>
  <c r="U31" i="20"/>
  <c r="S32" i="20" s="1"/>
  <c r="V31" i="20"/>
  <c r="I32" i="20"/>
  <c r="J32" i="20"/>
  <c r="B20" i="22"/>
  <c r="E51" i="14"/>
  <c r="U32" i="20" l="1"/>
  <c r="V32" i="20"/>
  <c r="E79" i="14"/>
  <c r="D50" i="20"/>
  <c r="E50" i="20"/>
  <c r="B3" i="20"/>
  <c r="G50" i="20"/>
  <c r="H45" i="20"/>
  <c r="H50" i="20" s="1"/>
  <c r="N38" i="20"/>
  <c r="N39" i="20" s="1"/>
  <c r="H38" i="20"/>
  <c r="H39" i="20" s="1"/>
  <c r="L8" i="20"/>
  <c r="L10" i="20"/>
  <c r="L11" i="20"/>
  <c r="L12" i="20"/>
  <c r="L14" i="20"/>
  <c r="L16" i="20"/>
  <c r="L17" i="20"/>
  <c r="L18" i="20"/>
  <c r="L19" i="20"/>
  <c r="L20" i="20"/>
  <c r="L21" i="20"/>
  <c r="L22" i="20"/>
  <c r="L23" i="20"/>
  <c r="L24" i="20"/>
  <c r="L26" i="20"/>
  <c r="L27" i="20"/>
  <c r="L28" i="20"/>
  <c r="L29" i="20"/>
  <c r="L30" i="20"/>
  <c r="L34" i="20"/>
  <c r="L36" i="20"/>
  <c r="F10" i="20"/>
  <c r="F11" i="20"/>
  <c r="F12" i="20"/>
  <c r="F14" i="20"/>
  <c r="F16" i="20"/>
  <c r="F17" i="20"/>
  <c r="F18" i="20"/>
  <c r="F19" i="20"/>
  <c r="F20" i="20"/>
  <c r="F21" i="20"/>
  <c r="F22" i="20"/>
  <c r="F23" i="20"/>
  <c r="F24" i="20"/>
  <c r="F26" i="20"/>
  <c r="F27" i="20"/>
  <c r="F28" i="20"/>
  <c r="F29" i="20"/>
  <c r="F30" i="20"/>
  <c r="F33" i="20"/>
  <c r="F34" i="20"/>
  <c r="F36" i="20"/>
  <c r="F8" i="20"/>
  <c r="C29" i="20"/>
  <c r="C33" i="20"/>
  <c r="C35" i="20"/>
  <c r="C27" i="20"/>
  <c r="C25" i="20"/>
  <c r="C23" i="20"/>
  <c r="C21" i="20"/>
  <c r="C19" i="20"/>
  <c r="C17" i="20"/>
  <c r="C15" i="20"/>
  <c r="C13" i="20"/>
  <c r="C11" i="20"/>
  <c r="C9" i="20"/>
  <c r="C7" i="20"/>
  <c r="I78" i="14"/>
  <c r="K36" i="20" s="1"/>
  <c r="H78" i="14"/>
  <c r="I77" i="14"/>
  <c r="K35" i="20" s="1"/>
  <c r="H77" i="14"/>
  <c r="G77" i="14" s="1"/>
  <c r="T36" i="20"/>
  <c r="G78" i="14" l="1"/>
  <c r="L38" i="20"/>
  <c r="F38" i="20"/>
  <c r="E35" i="20"/>
  <c r="Q35" i="20" s="1"/>
  <c r="E36" i="20"/>
  <c r="Q36" i="20" s="1"/>
  <c r="R36" i="20"/>
  <c r="W35" i="20" l="1"/>
  <c r="I94" i="14"/>
  <c r="R18" i="20" l="1"/>
  <c r="T15" i="20"/>
  <c r="H13" i="20"/>
  <c r="R12" i="20"/>
  <c r="R20" i="20"/>
  <c r="F50" i="20"/>
  <c r="F51" i="20" s="1"/>
  <c r="H26" i="6"/>
  <c r="H24" i="6"/>
  <c r="T34" i="20"/>
  <c r="T33" i="20"/>
  <c r="T30" i="20"/>
  <c r="T29" i="20"/>
  <c r="T28" i="20"/>
  <c r="T27" i="20"/>
  <c r="T26" i="20"/>
  <c r="T25" i="20"/>
  <c r="T24" i="20"/>
  <c r="T23" i="20"/>
  <c r="T22" i="20"/>
  <c r="T21" i="20"/>
  <c r="Z21" i="20" s="1"/>
  <c r="T20" i="20"/>
  <c r="T19" i="20"/>
  <c r="R19" i="20"/>
  <c r="T18" i="20"/>
  <c r="T17" i="20"/>
  <c r="T16" i="20"/>
  <c r="T14" i="20"/>
  <c r="T12" i="20"/>
  <c r="T11" i="20"/>
  <c r="T10" i="20"/>
  <c r="T9" i="20"/>
  <c r="T8" i="20"/>
  <c r="Z19" i="20" l="1"/>
  <c r="Z11" i="20"/>
  <c r="Z27" i="20"/>
  <c r="Z33" i="20"/>
  <c r="D51" i="20"/>
  <c r="T7" i="20"/>
  <c r="Z7" i="20" s="1"/>
  <c r="N37" i="20"/>
  <c r="F52" i="20" s="1"/>
  <c r="H37" i="20"/>
  <c r="R17" i="20"/>
  <c r="X17" i="20" s="1"/>
  <c r="R21" i="20"/>
  <c r="R30" i="20"/>
  <c r="R26" i="20"/>
  <c r="R22" i="20"/>
  <c r="R14" i="20"/>
  <c r="R10" i="20"/>
  <c r="X19" i="20"/>
  <c r="R28" i="20"/>
  <c r="R16" i="20"/>
  <c r="R8" i="20"/>
  <c r="Z23" i="20"/>
  <c r="Z29" i="20"/>
  <c r="Z25" i="20"/>
  <c r="R34" i="20"/>
  <c r="R24" i="20"/>
  <c r="F26" i="6"/>
  <c r="R29" i="20"/>
  <c r="R27" i="20"/>
  <c r="R11" i="20"/>
  <c r="X11" i="20" s="1"/>
  <c r="R23" i="20"/>
  <c r="F24" i="6"/>
  <c r="T38" i="20"/>
  <c r="Z9" i="20"/>
  <c r="Z17" i="20"/>
  <c r="Z15" i="20"/>
  <c r="T13" i="20"/>
  <c r="X29" i="20" l="1"/>
  <c r="H23" i="6"/>
  <c r="D52" i="20"/>
  <c r="H25" i="6"/>
  <c r="T35" i="20"/>
  <c r="X21" i="20"/>
  <c r="X27" i="20"/>
  <c r="R38" i="20"/>
  <c r="X23" i="20"/>
  <c r="Z13" i="20"/>
  <c r="T37" i="20"/>
  <c r="Z35" i="20" l="1"/>
  <c r="Z37" i="20" s="1"/>
  <c r="I50" i="20" s="1"/>
  <c r="L13" i="18" l="1"/>
  <c r="L14" i="18"/>
  <c r="L15" i="18"/>
  <c r="L16" i="18"/>
  <c r="L18" i="18"/>
  <c r="L19" i="18"/>
  <c r="L20" i="18"/>
  <c r="L22" i="18"/>
  <c r="L11" i="18"/>
  <c r="L12" i="18"/>
  <c r="L10" i="18"/>
  <c r="L7" i="18"/>
  <c r="F8" i="18"/>
  <c r="F9" i="18"/>
  <c r="F10" i="18"/>
  <c r="F11" i="18"/>
  <c r="R11" i="18" s="1"/>
  <c r="F12" i="18"/>
  <c r="F13" i="18"/>
  <c r="F14" i="18"/>
  <c r="F15" i="18"/>
  <c r="F16" i="18"/>
  <c r="F18" i="18"/>
  <c r="F19" i="18"/>
  <c r="R19" i="18" s="1"/>
  <c r="F20" i="18"/>
  <c r="F22" i="18"/>
  <c r="F7" i="18"/>
  <c r="D34" i="18"/>
  <c r="N24" i="18"/>
  <c r="H24" i="18"/>
  <c r="H13" i="6" s="1"/>
  <c r="H23" i="18"/>
  <c r="H12" i="6" s="1"/>
  <c r="T22" i="18"/>
  <c r="T21" i="18"/>
  <c r="T20" i="18"/>
  <c r="T19" i="18"/>
  <c r="T18" i="18"/>
  <c r="T17" i="18"/>
  <c r="T16" i="18"/>
  <c r="T15" i="18"/>
  <c r="T14" i="18"/>
  <c r="T13" i="18"/>
  <c r="T12" i="18"/>
  <c r="N11" i="18"/>
  <c r="T11" i="18" s="1"/>
  <c r="T10" i="18"/>
  <c r="N9" i="18"/>
  <c r="T9" i="18" s="1"/>
  <c r="T8" i="18"/>
  <c r="T7" i="18"/>
  <c r="Z13" i="18" l="1"/>
  <c r="Z17" i="18"/>
  <c r="R20" i="18"/>
  <c r="X19" i="18" s="1"/>
  <c r="Z9" i="18"/>
  <c r="H15" i="6"/>
  <c r="R10" i="18"/>
  <c r="R8" i="18"/>
  <c r="R14" i="18"/>
  <c r="Z19" i="18"/>
  <c r="R9" i="18"/>
  <c r="X9" i="18" s="1"/>
  <c r="R12" i="18"/>
  <c r="R16" i="18"/>
  <c r="R18" i="18"/>
  <c r="R15" i="18"/>
  <c r="R22" i="18"/>
  <c r="R13" i="18"/>
  <c r="L24" i="18"/>
  <c r="F15" i="6" s="1"/>
  <c r="R7" i="18"/>
  <c r="T24" i="18"/>
  <c r="Z15" i="18"/>
  <c r="Z7" i="18"/>
  <c r="T23" i="18"/>
  <c r="Z11" i="18"/>
  <c r="Z21" i="18"/>
  <c r="N23" i="18"/>
  <c r="H14" i="6" s="1"/>
  <c r="F24" i="18"/>
  <c r="F13" i="6" s="1"/>
  <c r="N25" i="18" l="1"/>
  <c r="X7" i="18"/>
  <c r="X13" i="18"/>
  <c r="X15" i="18"/>
  <c r="R24" i="18"/>
  <c r="X11" i="18"/>
  <c r="Z23" i="18"/>
  <c r="I93" i="14" l="1"/>
  <c r="I91" i="14"/>
  <c r="I90" i="14"/>
  <c r="I88" i="14"/>
  <c r="I89" i="14"/>
  <c r="I92" i="14"/>
  <c r="H53" i="14" l="1"/>
  <c r="E11" i="20" s="1"/>
  <c r="I53" i="14"/>
  <c r="K11" i="20" s="1"/>
  <c r="H54" i="14"/>
  <c r="E12" i="20" s="1"/>
  <c r="I54" i="14"/>
  <c r="K12" i="20" s="1"/>
  <c r="H55" i="14"/>
  <c r="E13" i="20" s="1"/>
  <c r="I55" i="14"/>
  <c r="K13" i="20" s="1"/>
  <c r="H56" i="14"/>
  <c r="E14" i="20" s="1"/>
  <c r="I56" i="14"/>
  <c r="K14" i="20" s="1"/>
  <c r="H57" i="14"/>
  <c r="E15" i="20" s="1"/>
  <c r="I57" i="14"/>
  <c r="K15" i="20" s="1"/>
  <c r="H58" i="14"/>
  <c r="E16" i="20" s="1"/>
  <c r="I58" i="14"/>
  <c r="K16" i="20" s="1"/>
  <c r="H59" i="14"/>
  <c r="E17" i="20" s="1"/>
  <c r="I59" i="14"/>
  <c r="K17" i="20" s="1"/>
  <c r="H60" i="14"/>
  <c r="E18" i="20" s="1"/>
  <c r="I60" i="14"/>
  <c r="K18" i="20" s="1"/>
  <c r="H61" i="14"/>
  <c r="E19" i="20" s="1"/>
  <c r="I61" i="14"/>
  <c r="K19" i="20" s="1"/>
  <c r="H62" i="14"/>
  <c r="E20" i="20" s="1"/>
  <c r="I62" i="14"/>
  <c r="K20" i="20" s="1"/>
  <c r="H63" i="14"/>
  <c r="E21" i="20" s="1"/>
  <c r="I63" i="14"/>
  <c r="K21" i="20" s="1"/>
  <c r="H64" i="14"/>
  <c r="E22" i="20" s="1"/>
  <c r="I64" i="14"/>
  <c r="K22" i="20" s="1"/>
  <c r="H65" i="14"/>
  <c r="E23" i="20" s="1"/>
  <c r="I65" i="14"/>
  <c r="K23" i="20" s="1"/>
  <c r="H66" i="14"/>
  <c r="E24" i="20" s="1"/>
  <c r="I66" i="14"/>
  <c r="K24" i="20" s="1"/>
  <c r="H67" i="14"/>
  <c r="E25" i="20" s="1"/>
  <c r="I67" i="14"/>
  <c r="H68" i="14"/>
  <c r="E26" i="20" s="1"/>
  <c r="I68" i="14"/>
  <c r="K26" i="20" s="1"/>
  <c r="H69" i="14"/>
  <c r="E27" i="20" s="1"/>
  <c r="I69" i="14"/>
  <c r="H70" i="14"/>
  <c r="E28" i="20" s="1"/>
  <c r="I70" i="14"/>
  <c r="K28" i="20" s="1"/>
  <c r="H71" i="14"/>
  <c r="E29" i="20" s="1"/>
  <c r="I71" i="14"/>
  <c r="H72" i="14"/>
  <c r="E30" i="20" s="1"/>
  <c r="I72" i="14"/>
  <c r="K30" i="20" s="1"/>
  <c r="H75" i="14"/>
  <c r="I75" i="14"/>
  <c r="K33" i="20" s="1"/>
  <c r="H76" i="14"/>
  <c r="E34" i="20" s="1"/>
  <c r="I76" i="14"/>
  <c r="K34" i="20" s="1"/>
  <c r="I52" i="14"/>
  <c r="K10" i="20" s="1"/>
  <c r="H52" i="14"/>
  <c r="E10" i="20" s="1"/>
  <c r="I51" i="14"/>
  <c r="K9" i="20" s="1"/>
  <c r="H51" i="14"/>
  <c r="E9" i="20" s="1"/>
  <c r="I50" i="14"/>
  <c r="I49" i="14"/>
  <c r="H50" i="14"/>
  <c r="H49" i="14"/>
  <c r="I19" i="14"/>
  <c r="K17" i="18" s="1"/>
  <c r="I20" i="14"/>
  <c r="K18" i="18" s="1"/>
  <c r="I10" i="14"/>
  <c r="K8" i="18" s="1"/>
  <c r="H19" i="14"/>
  <c r="H20" i="14"/>
  <c r="H10" i="14"/>
  <c r="H9" i="14"/>
  <c r="E12" i="14"/>
  <c r="H11" i="14" s="1"/>
  <c r="E16" i="14"/>
  <c r="H15" i="14" s="1"/>
  <c r="M19" i="20" l="1"/>
  <c r="M17" i="20"/>
  <c r="M11" i="20"/>
  <c r="P11" i="20" s="1"/>
  <c r="M21" i="20"/>
  <c r="P21" i="20" s="1"/>
  <c r="E33" i="20"/>
  <c r="Q33" i="20" s="1"/>
  <c r="M7" i="18"/>
  <c r="K29" i="20"/>
  <c r="K27" i="20"/>
  <c r="Q27" i="20" s="1"/>
  <c r="K25" i="20"/>
  <c r="Q22" i="20"/>
  <c r="Q21" i="20"/>
  <c r="S21" i="20" s="1"/>
  <c r="G21" i="20"/>
  <c r="Q20" i="20"/>
  <c r="G19" i="20"/>
  <c r="Q19" i="20"/>
  <c r="G17" i="20"/>
  <c r="Q17" i="20"/>
  <c r="S17" i="20" s="1"/>
  <c r="U17" i="20" s="1"/>
  <c r="Q18" i="20"/>
  <c r="Q15" i="20"/>
  <c r="Q16" i="20"/>
  <c r="Q13" i="20"/>
  <c r="Q14" i="20"/>
  <c r="Q12" i="20"/>
  <c r="G11" i="20"/>
  <c r="Q11" i="20"/>
  <c r="Q9" i="20"/>
  <c r="Q10" i="20"/>
  <c r="I80" i="14"/>
  <c r="K8" i="20"/>
  <c r="I79" i="14"/>
  <c r="K7" i="20"/>
  <c r="E8" i="20"/>
  <c r="H80" i="14"/>
  <c r="H79" i="14"/>
  <c r="E7" i="20"/>
  <c r="Q34" i="20"/>
  <c r="G29" i="20"/>
  <c r="G27" i="20"/>
  <c r="G23" i="20"/>
  <c r="Q23" i="20"/>
  <c r="M23" i="20"/>
  <c r="Q30" i="20"/>
  <c r="Q24" i="20"/>
  <c r="Q28" i="20"/>
  <c r="Q26" i="20"/>
  <c r="G49" i="14"/>
  <c r="G59" i="14"/>
  <c r="G60" i="14"/>
  <c r="I12" i="14"/>
  <c r="K10" i="18" s="1"/>
  <c r="H12" i="14"/>
  <c r="I11" i="14"/>
  <c r="K9" i="18" s="1"/>
  <c r="M9" i="18" s="1"/>
  <c r="H16" i="14"/>
  <c r="I15" i="14"/>
  <c r="K13" i="18" s="1"/>
  <c r="M13" i="18" s="1"/>
  <c r="E26" i="14"/>
  <c r="I16" i="14"/>
  <c r="K14" i="18" s="1"/>
  <c r="E13" i="14"/>
  <c r="D37" i="3"/>
  <c r="H15" i="3"/>
  <c r="H13" i="3"/>
  <c r="G33" i="20" l="1"/>
  <c r="I33" i="20" s="1"/>
  <c r="G34" i="20" s="1"/>
  <c r="I34" i="20" s="1"/>
  <c r="O21" i="20"/>
  <c r="M22" i="20" s="1"/>
  <c r="P22" i="20" s="1"/>
  <c r="I17" i="20"/>
  <c r="Q29" i="20"/>
  <c r="S29" i="20" s="1"/>
  <c r="O19" i="20"/>
  <c r="I27" i="20"/>
  <c r="Q25" i="20"/>
  <c r="W25" i="20" s="1"/>
  <c r="O17" i="20"/>
  <c r="K38" i="20"/>
  <c r="E26" i="6" s="1"/>
  <c r="G26" i="6" s="1"/>
  <c r="I19" i="20"/>
  <c r="M27" i="20"/>
  <c r="O11" i="20"/>
  <c r="P7" i="18"/>
  <c r="O7" i="18"/>
  <c r="M8" i="18" s="1"/>
  <c r="G7" i="18"/>
  <c r="Q7" i="18"/>
  <c r="P13" i="18"/>
  <c r="O13" i="18"/>
  <c r="M14" i="18" s="1"/>
  <c r="O9" i="18"/>
  <c r="M10" i="18" s="1"/>
  <c r="P9" i="18"/>
  <c r="M29" i="20"/>
  <c r="V21" i="20"/>
  <c r="U21" i="20"/>
  <c r="S22" i="20" s="1"/>
  <c r="J21" i="20"/>
  <c r="I21" i="20"/>
  <c r="W21" i="20"/>
  <c r="Y21" i="20" s="1"/>
  <c r="W19" i="20"/>
  <c r="Y19" i="20" s="1"/>
  <c r="AA19" i="20" s="1"/>
  <c r="S19" i="20"/>
  <c r="U19" i="20" s="1"/>
  <c r="S20" i="20" s="1"/>
  <c r="U20" i="20" s="1"/>
  <c r="W17" i="20"/>
  <c r="Y17" i="20" s="1"/>
  <c r="AA17" i="20" s="1"/>
  <c r="S18" i="20"/>
  <c r="U18" i="20" s="1"/>
  <c r="W15" i="20"/>
  <c r="W13" i="20"/>
  <c r="S11" i="20"/>
  <c r="W11" i="20"/>
  <c r="Y11" i="20" s="1"/>
  <c r="I11" i="20"/>
  <c r="J11" i="20"/>
  <c r="W9" i="20"/>
  <c r="E38" i="20"/>
  <c r="E24" i="6" s="1"/>
  <c r="G24" i="6" s="1"/>
  <c r="Q8" i="20"/>
  <c r="Q38" i="20" s="1"/>
  <c r="Q7" i="20"/>
  <c r="E37" i="20"/>
  <c r="E23" i="6" s="1"/>
  <c r="K37" i="20"/>
  <c r="E25" i="6" s="1"/>
  <c r="I23" i="20"/>
  <c r="J23" i="20"/>
  <c r="P23" i="20"/>
  <c r="O23" i="20"/>
  <c r="W23" i="20"/>
  <c r="S23" i="20"/>
  <c r="S27" i="20"/>
  <c r="U27" i="20" s="1"/>
  <c r="S28" i="20" s="1"/>
  <c r="U28" i="20" s="1"/>
  <c r="W27" i="20"/>
  <c r="Y27" i="20" s="1"/>
  <c r="AA27" i="20" s="1"/>
  <c r="I29" i="20"/>
  <c r="J29" i="20"/>
  <c r="W33" i="20"/>
  <c r="I14" i="14"/>
  <c r="K12" i="18" s="1"/>
  <c r="I13" i="14"/>
  <c r="K11" i="18" s="1"/>
  <c r="M11" i="18" s="1"/>
  <c r="H14" i="14"/>
  <c r="H13" i="14"/>
  <c r="G24" i="3"/>
  <c r="J24" i="3" s="1"/>
  <c r="W29" i="20" l="1"/>
  <c r="Y29" i="20" s="1"/>
  <c r="AA29" i="20" s="1"/>
  <c r="O22" i="20"/>
  <c r="M12" i="20"/>
  <c r="G20" i="20"/>
  <c r="G28" i="20"/>
  <c r="Q37" i="20"/>
  <c r="G22" i="20"/>
  <c r="M24" i="20"/>
  <c r="P24" i="20" s="1"/>
  <c r="O27" i="20"/>
  <c r="M18" i="20"/>
  <c r="M20" i="20"/>
  <c r="G18" i="20"/>
  <c r="G30" i="20"/>
  <c r="I30" i="20" s="1"/>
  <c r="G24" i="20"/>
  <c r="G12" i="20"/>
  <c r="O14" i="18"/>
  <c r="P14" i="18"/>
  <c r="S7" i="18"/>
  <c r="O8" i="18"/>
  <c r="P8" i="18"/>
  <c r="I7" i="18"/>
  <c r="J7" i="18"/>
  <c r="P10" i="18"/>
  <c r="O10" i="18"/>
  <c r="O11" i="18"/>
  <c r="M12" i="18" s="1"/>
  <c r="P11" i="18"/>
  <c r="P29" i="20"/>
  <c r="O29" i="20"/>
  <c r="U22" i="20"/>
  <c r="V22" i="20"/>
  <c r="AA21" i="20"/>
  <c r="AB21" i="20"/>
  <c r="V11" i="20"/>
  <c r="U11" i="20"/>
  <c r="S12" i="20" s="1"/>
  <c r="AB11" i="20"/>
  <c r="AA11" i="20"/>
  <c r="W7" i="20"/>
  <c r="V29" i="20"/>
  <c r="U29" i="20"/>
  <c r="S30" i="20" s="1"/>
  <c r="Y23" i="20"/>
  <c r="U23" i="20"/>
  <c r="S24" i="20" s="1"/>
  <c r="V23" i="20"/>
  <c r="O24" i="20"/>
  <c r="I24" i="3"/>
  <c r="AB29" i="20" l="1"/>
  <c r="J30" i="20"/>
  <c r="I12" i="20"/>
  <c r="J12" i="20"/>
  <c r="I20" i="20"/>
  <c r="O18" i="20"/>
  <c r="O20" i="20"/>
  <c r="J24" i="20"/>
  <c r="I22" i="20"/>
  <c r="M30" i="20"/>
  <c r="I18" i="20"/>
  <c r="I28" i="20"/>
  <c r="P12" i="20"/>
  <c r="O12" i="20"/>
  <c r="M28" i="20"/>
  <c r="I24" i="20"/>
  <c r="J22" i="20"/>
  <c r="U7" i="18"/>
  <c r="V7" i="18"/>
  <c r="P12" i="18"/>
  <c r="O12" i="18"/>
  <c r="U12" i="20"/>
  <c r="V12" i="20"/>
  <c r="W37" i="20"/>
  <c r="U24" i="20"/>
  <c r="V24" i="20"/>
  <c r="AA23" i="20"/>
  <c r="AB23" i="20"/>
  <c r="U30" i="20"/>
  <c r="V30" i="20"/>
  <c r="H22" i="3"/>
  <c r="H21" i="3"/>
  <c r="F22" i="3"/>
  <c r="F21" i="3"/>
  <c r="D45" i="14"/>
  <c r="K94" i="14" s="1"/>
  <c r="L35" i="20" s="1"/>
  <c r="M35" i="20" s="1"/>
  <c r="C45" i="14"/>
  <c r="J94" i="14" s="1"/>
  <c r="F35" i="20" s="1"/>
  <c r="E44" i="14"/>
  <c r="E43" i="14"/>
  <c r="D5" i="14"/>
  <c r="C5" i="14"/>
  <c r="E4" i="14"/>
  <c r="E3" i="14"/>
  <c r="J32" i="14" l="1"/>
  <c r="J33" i="14"/>
  <c r="J34" i="14"/>
  <c r="J30" i="14"/>
  <c r="J31" i="14"/>
  <c r="K33" i="14"/>
  <c r="K34" i="14"/>
  <c r="K30" i="14"/>
  <c r="K31" i="14"/>
  <c r="K32" i="14"/>
  <c r="P30" i="20"/>
  <c r="O30" i="20"/>
  <c r="O28" i="20"/>
  <c r="O35" i="20"/>
  <c r="M36" i="20" s="1"/>
  <c r="P35" i="20"/>
  <c r="G35" i="20"/>
  <c r="I35" i="20" s="1"/>
  <c r="G36" i="20" s="1"/>
  <c r="I36" i="20" s="1"/>
  <c r="R35" i="20"/>
  <c r="K87" i="14"/>
  <c r="K91" i="14"/>
  <c r="J91" i="14"/>
  <c r="J87" i="14"/>
  <c r="I17" i="14"/>
  <c r="K15" i="18" s="1"/>
  <c r="I18" i="14"/>
  <c r="K16" i="18" s="1"/>
  <c r="H18" i="14"/>
  <c r="H17" i="14"/>
  <c r="H23" i="14"/>
  <c r="I24" i="14"/>
  <c r="K22" i="18" s="1"/>
  <c r="H24" i="14"/>
  <c r="I23" i="14"/>
  <c r="K21" i="18" s="1"/>
  <c r="I22" i="14"/>
  <c r="K20" i="18" s="1"/>
  <c r="H22" i="14"/>
  <c r="I21" i="14"/>
  <c r="K19" i="18" s="1"/>
  <c r="M19" i="18" s="1"/>
  <c r="H21" i="14"/>
  <c r="E25" i="14"/>
  <c r="E5" i="14"/>
  <c r="E45" i="14"/>
  <c r="G21" i="3"/>
  <c r="I21" i="3" s="1"/>
  <c r="G22" i="3" s="1"/>
  <c r="J22" i="3" s="1"/>
  <c r="F75" i="14" l="1"/>
  <c r="L95" i="14"/>
  <c r="K96" i="14"/>
  <c r="F73" i="14"/>
  <c r="L73" i="14" s="1"/>
  <c r="M73" i="14" s="1"/>
  <c r="K19" i="14"/>
  <c r="L17" i="18" s="1"/>
  <c r="K23" i="14"/>
  <c r="L21" i="18" s="1"/>
  <c r="M21" i="18" s="1"/>
  <c r="O21" i="18" s="1"/>
  <c r="M22" i="18" s="1"/>
  <c r="O22" i="18" s="1"/>
  <c r="J19" i="14"/>
  <c r="F17" i="18" s="1"/>
  <c r="J23" i="14"/>
  <c r="F21" i="18" s="1"/>
  <c r="R21" i="18" s="1"/>
  <c r="X21" i="18" s="1"/>
  <c r="F17" i="14"/>
  <c r="L34" i="14"/>
  <c r="L30" i="14"/>
  <c r="L31" i="14"/>
  <c r="L32" i="14"/>
  <c r="L33" i="14"/>
  <c r="K55" i="14"/>
  <c r="L13" i="20" s="1"/>
  <c r="F13" i="20"/>
  <c r="S35" i="20"/>
  <c r="U35" i="20" s="1"/>
  <c r="S36" i="20" s="1"/>
  <c r="U36" i="20" s="1"/>
  <c r="X35" i="20"/>
  <c r="O19" i="18"/>
  <c r="M20" i="18" s="1"/>
  <c r="P19" i="18"/>
  <c r="M15" i="18"/>
  <c r="O15" i="18" s="1"/>
  <c r="M16" i="18" s="1"/>
  <c r="O16" i="18" s="1"/>
  <c r="K23" i="18"/>
  <c r="F77" i="14"/>
  <c r="L77" i="14" s="1"/>
  <c r="M77" i="14" s="1"/>
  <c r="L94" i="14"/>
  <c r="O36" i="20"/>
  <c r="K24" i="18"/>
  <c r="E15" i="6" s="1"/>
  <c r="G15" i="6" s="1"/>
  <c r="L25" i="20"/>
  <c r="F25" i="20"/>
  <c r="L88" i="14"/>
  <c r="K88" i="14" s="1"/>
  <c r="L33" i="20" s="1"/>
  <c r="L92" i="14"/>
  <c r="K92" i="14" s="1"/>
  <c r="K57" i="14" s="1"/>
  <c r="L15" i="20" s="1"/>
  <c r="L87" i="14"/>
  <c r="L93" i="14"/>
  <c r="J93" i="14" s="1"/>
  <c r="J57" i="14" s="1"/>
  <c r="F15" i="20" s="1"/>
  <c r="L89" i="14"/>
  <c r="K89" i="14" s="1"/>
  <c r="K51" i="14" s="1"/>
  <c r="L9" i="20" s="1"/>
  <c r="L90" i="14"/>
  <c r="J90" i="14" s="1"/>
  <c r="J51" i="14" s="1"/>
  <c r="F9" i="20" s="1"/>
  <c r="F59" i="14"/>
  <c r="L59" i="14" s="1"/>
  <c r="M59" i="14" s="1"/>
  <c r="F55" i="14"/>
  <c r="F63" i="14"/>
  <c r="F71" i="14"/>
  <c r="F51" i="14"/>
  <c r="F53" i="14"/>
  <c r="F61" i="14"/>
  <c r="F69" i="14"/>
  <c r="F49" i="14"/>
  <c r="F57" i="14"/>
  <c r="F65" i="14"/>
  <c r="F67" i="14"/>
  <c r="F11" i="14"/>
  <c r="L11" i="14" s="1"/>
  <c r="M11" i="14" s="1"/>
  <c r="F19" i="14"/>
  <c r="F9" i="14"/>
  <c r="F15" i="14"/>
  <c r="F13" i="14"/>
  <c r="F21" i="14"/>
  <c r="F23" i="14"/>
  <c r="J21" i="3"/>
  <c r="I22" i="3"/>
  <c r="R17" i="18" l="1"/>
  <c r="F23" i="18"/>
  <c r="F12" i="6" s="1"/>
  <c r="L23" i="18"/>
  <c r="F14" i="6" s="1"/>
  <c r="M17" i="18"/>
  <c r="G13" i="20"/>
  <c r="R13" i="20"/>
  <c r="X13" i="20" s="1"/>
  <c r="Y13" i="20" s="1"/>
  <c r="M9" i="20"/>
  <c r="P9" i="20" s="1"/>
  <c r="M15" i="20"/>
  <c r="M25" i="20"/>
  <c r="M13" i="20"/>
  <c r="Y35" i="20"/>
  <c r="AA35" i="20" s="1"/>
  <c r="F7" i="20"/>
  <c r="S13" i="20"/>
  <c r="E14" i="6"/>
  <c r="R15" i="20"/>
  <c r="G15" i="20"/>
  <c r="R33" i="20"/>
  <c r="M33" i="20"/>
  <c r="I13" i="20"/>
  <c r="J13" i="20"/>
  <c r="P20" i="18"/>
  <c r="O20" i="18"/>
  <c r="O9" i="20"/>
  <c r="M10" i="20" s="1"/>
  <c r="R25" i="20"/>
  <c r="G25" i="20"/>
  <c r="R9" i="20"/>
  <c r="G9" i="20"/>
  <c r="P25" i="20"/>
  <c r="O25" i="20"/>
  <c r="F79" i="14"/>
  <c r="L51" i="14"/>
  <c r="M51" i="14" s="1"/>
  <c r="G28" i="6"/>
  <c r="E25" i="7"/>
  <c r="D25" i="7"/>
  <c r="G27" i="6"/>
  <c r="G16" i="6"/>
  <c r="B21" i="6"/>
  <c r="C3" i="3"/>
  <c r="B3" i="6"/>
  <c r="B20" i="7"/>
  <c r="L9" i="14"/>
  <c r="F26" i="7"/>
  <c r="F15" i="7"/>
  <c r="P11" i="3"/>
  <c r="E10" i="7"/>
  <c r="D10" i="7"/>
  <c r="H10" i="6"/>
  <c r="H9" i="6"/>
  <c r="H8" i="6"/>
  <c r="H7" i="6"/>
  <c r="H6" i="6"/>
  <c r="H5" i="6"/>
  <c r="F7" i="6"/>
  <c r="F8" i="6"/>
  <c r="F10" i="6"/>
  <c r="F5" i="6"/>
  <c r="F6" i="6"/>
  <c r="E10" i="6"/>
  <c r="E9" i="6"/>
  <c r="E8" i="6"/>
  <c r="E7" i="6"/>
  <c r="E6" i="6"/>
  <c r="E5" i="6"/>
  <c r="G5" i="6" s="1"/>
  <c r="G19" i="3"/>
  <c r="G11" i="3"/>
  <c r="I11" i="3" s="1"/>
  <c r="G17" i="3"/>
  <c r="J17" i="3" s="1"/>
  <c r="G9" i="3"/>
  <c r="I9" i="3" s="1"/>
  <c r="G7" i="3"/>
  <c r="G11" i="6"/>
  <c r="I11" i="6" s="1"/>
  <c r="P19" i="3"/>
  <c r="N19" i="3"/>
  <c r="M19" i="3"/>
  <c r="P13" i="3"/>
  <c r="M13" i="3"/>
  <c r="N11" i="3"/>
  <c r="M11" i="3"/>
  <c r="P17" i="3"/>
  <c r="N17" i="3"/>
  <c r="M17" i="3"/>
  <c r="P15" i="3"/>
  <c r="M15" i="3"/>
  <c r="P9" i="3"/>
  <c r="N9" i="3"/>
  <c r="M9" i="3"/>
  <c r="P7" i="3"/>
  <c r="N7" i="3"/>
  <c r="M7" i="3"/>
  <c r="N13" i="3"/>
  <c r="G13" i="3"/>
  <c r="N15" i="3"/>
  <c r="F9" i="6"/>
  <c r="G15" i="3"/>
  <c r="G14" i="6" l="1"/>
  <c r="O17" i="18"/>
  <c r="M18" i="18" s="1"/>
  <c r="P17" i="18"/>
  <c r="I5" i="6"/>
  <c r="G6" i="6" s="1"/>
  <c r="J6" i="6" s="1"/>
  <c r="M23" i="18"/>
  <c r="M24" i="18" s="1"/>
  <c r="X17" i="18"/>
  <c r="X23" i="18" s="1"/>
  <c r="R23" i="18"/>
  <c r="P15" i="20"/>
  <c r="P13" i="20"/>
  <c r="O13" i="20"/>
  <c r="O15" i="20"/>
  <c r="J79" i="14"/>
  <c r="G14" i="20"/>
  <c r="M26" i="20"/>
  <c r="X25" i="20"/>
  <c r="Y25" i="20" s="1"/>
  <c r="S25" i="20"/>
  <c r="J15" i="20"/>
  <c r="I15" i="20"/>
  <c r="O23" i="18"/>
  <c r="AB13" i="20"/>
  <c r="AA13" i="20"/>
  <c r="J9" i="20"/>
  <c r="I9" i="20"/>
  <c r="K79" i="14"/>
  <c r="L7" i="20"/>
  <c r="X15" i="20"/>
  <c r="Y15" i="20" s="1"/>
  <c r="S15" i="20"/>
  <c r="I25" i="20"/>
  <c r="J25" i="20"/>
  <c r="P10" i="20"/>
  <c r="O10" i="20"/>
  <c r="X33" i="20"/>
  <c r="Y33" i="20" s="1"/>
  <c r="S33" i="20"/>
  <c r="U33" i="20" s="1"/>
  <c r="S34" i="20" s="1"/>
  <c r="U34" i="20" s="1"/>
  <c r="X9" i="20"/>
  <c r="Y9" i="20" s="1"/>
  <c r="S9" i="20"/>
  <c r="P33" i="20"/>
  <c r="O33" i="20"/>
  <c r="F37" i="20"/>
  <c r="G7" i="20"/>
  <c r="U13" i="20"/>
  <c r="S14" i="20" s="1"/>
  <c r="V13" i="20"/>
  <c r="J11" i="6"/>
  <c r="F25" i="7"/>
  <c r="E8" i="7"/>
  <c r="G8" i="7"/>
  <c r="N21" i="3"/>
  <c r="E9" i="7"/>
  <c r="O19" i="3"/>
  <c r="R19" i="3" s="1"/>
  <c r="F10" i="7"/>
  <c r="I10" i="7" s="1"/>
  <c r="M21" i="3"/>
  <c r="J9" i="3"/>
  <c r="J13" i="3"/>
  <c r="I13" i="3"/>
  <c r="G14" i="3" s="1"/>
  <c r="I14" i="3" s="1"/>
  <c r="O9" i="3"/>
  <c r="Q9" i="3" s="1"/>
  <c r="I17" i="3"/>
  <c r="I7" i="3"/>
  <c r="O13" i="3"/>
  <c r="R13" i="3" s="1"/>
  <c r="D8" i="7"/>
  <c r="F8" i="7" s="1"/>
  <c r="E7" i="7"/>
  <c r="D9" i="7"/>
  <c r="G12" i="7"/>
  <c r="G24" i="14"/>
  <c r="Q22" i="18" s="1"/>
  <c r="G15" i="14"/>
  <c r="G16" i="14"/>
  <c r="Q14" i="18" s="1"/>
  <c r="G10" i="14"/>
  <c r="G14" i="14"/>
  <c r="G17" i="14"/>
  <c r="G20" i="14"/>
  <c r="Q18" i="18" s="1"/>
  <c r="E12" i="7"/>
  <c r="G12" i="14"/>
  <c r="Q10" i="18" s="1"/>
  <c r="H25" i="14"/>
  <c r="I26" i="14"/>
  <c r="G23" i="14"/>
  <c r="F25" i="14"/>
  <c r="G13" i="14"/>
  <c r="G11" i="14"/>
  <c r="G19" i="14"/>
  <c r="G21" i="14"/>
  <c r="G18" i="14"/>
  <c r="Q16" i="18" s="1"/>
  <c r="G22" i="14"/>
  <c r="Q20" i="18" s="1"/>
  <c r="H26" i="14"/>
  <c r="I25" i="14"/>
  <c r="L13" i="14"/>
  <c r="M13" i="14" s="1"/>
  <c r="N13" i="14" s="1"/>
  <c r="O15" i="3"/>
  <c r="R15" i="3" s="1"/>
  <c r="O17" i="3"/>
  <c r="R17" i="3" s="1"/>
  <c r="O11" i="3"/>
  <c r="Q11" i="3" s="1"/>
  <c r="J11" i="3"/>
  <c r="G10" i="3"/>
  <c r="I10" i="3" s="1"/>
  <c r="Q19" i="3"/>
  <c r="G9" i="6"/>
  <c r="I9" i="6" s="1"/>
  <c r="G10" i="6" s="1"/>
  <c r="I10" i="6" s="1"/>
  <c r="O7" i="3"/>
  <c r="Q7" i="3" s="1"/>
  <c r="J19" i="3"/>
  <c r="J15" i="3"/>
  <c r="J7" i="3"/>
  <c r="I19" i="3"/>
  <c r="I15" i="3"/>
  <c r="D7" i="7"/>
  <c r="G7" i="6"/>
  <c r="I7" i="6" s="1"/>
  <c r="G8" i="6" s="1"/>
  <c r="I8" i="6" s="1"/>
  <c r="G7" i="7"/>
  <c r="J5" i="6"/>
  <c r="G9" i="7"/>
  <c r="F26" i="24" s="1"/>
  <c r="F17" i="6"/>
  <c r="E13" i="7"/>
  <c r="P21" i="3"/>
  <c r="G12" i="3"/>
  <c r="L17" i="14"/>
  <c r="M17" i="14" s="1"/>
  <c r="N11" i="14"/>
  <c r="L15" i="14"/>
  <c r="M15" i="14" s="1"/>
  <c r="N15" i="14" s="1"/>
  <c r="L19" i="14"/>
  <c r="M19" i="14" s="1"/>
  <c r="K25" i="14"/>
  <c r="J27" i="6"/>
  <c r="I27" i="6"/>
  <c r="M9" i="14"/>
  <c r="N9" i="14" s="1"/>
  <c r="L21" i="14"/>
  <c r="M21" i="14" s="1"/>
  <c r="G24" i="7"/>
  <c r="F35" i="24" s="1"/>
  <c r="L23" i="14"/>
  <c r="M23" i="14" s="1"/>
  <c r="N23" i="14" s="1"/>
  <c r="J25" i="14"/>
  <c r="F38" i="24" l="1"/>
  <c r="F14" i="24"/>
  <c r="H35" i="24"/>
  <c r="G35" i="24"/>
  <c r="F28" i="24"/>
  <c r="F7" i="24"/>
  <c r="G26" i="24"/>
  <c r="H26" i="24"/>
  <c r="P23" i="18"/>
  <c r="N21" i="14"/>
  <c r="O21" i="14" s="1"/>
  <c r="Q21" i="14"/>
  <c r="O18" i="18"/>
  <c r="P18" i="18"/>
  <c r="O19" i="14"/>
  <c r="M16" i="20"/>
  <c r="M34" i="20"/>
  <c r="P34" i="20" s="1"/>
  <c r="R7" i="20"/>
  <c r="S7" i="20" s="1"/>
  <c r="J14" i="20"/>
  <c r="M14" i="20"/>
  <c r="I14" i="20"/>
  <c r="P26" i="20"/>
  <c r="G26" i="20"/>
  <c r="G10" i="20"/>
  <c r="G16" i="20"/>
  <c r="O26" i="20"/>
  <c r="Q8" i="18"/>
  <c r="W7" i="18" s="1"/>
  <c r="E13" i="6"/>
  <c r="G13" i="6" s="1"/>
  <c r="G8" i="18"/>
  <c r="X7" i="20"/>
  <c r="U9" i="20"/>
  <c r="S10" i="20" s="1"/>
  <c r="V9" i="20"/>
  <c r="P24" i="18"/>
  <c r="O24" i="18"/>
  <c r="AA25" i="20"/>
  <c r="AB25" i="20"/>
  <c r="Q19" i="18"/>
  <c r="G19" i="18"/>
  <c r="Q12" i="18"/>
  <c r="J7" i="20"/>
  <c r="I7" i="20"/>
  <c r="AB33" i="20"/>
  <c r="AA33" i="20"/>
  <c r="J26" i="20"/>
  <c r="AB15" i="20"/>
  <c r="AA15" i="20"/>
  <c r="U25" i="20"/>
  <c r="S26" i="20" s="1"/>
  <c r="V25" i="20"/>
  <c r="G21" i="18"/>
  <c r="I21" i="18" s="1"/>
  <c r="G22" i="18" s="1"/>
  <c r="I22" i="18" s="1"/>
  <c r="Q21" i="18"/>
  <c r="S21" i="18" s="1"/>
  <c r="G11" i="18"/>
  <c r="Q11" i="18"/>
  <c r="G15" i="18"/>
  <c r="I15" i="18" s="1"/>
  <c r="G16" i="18" s="1"/>
  <c r="I16" i="18" s="1"/>
  <c r="Q15" i="18"/>
  <c r="S15" i="18" s="1"/>
  <c r="Q13" i="18"/>
  <c r="S13" i="18" s="1"/>
  <c r="G13" i="18"/>
  <c r="U14" i="20"/>
  <c r="V14" i="20"/>
  <c r="U15" i="20"/>
  <c r="S16" i="20" s="1"/>
  <c r="V15" i="20"/>
  <c r="L37" i="20"/>
  <c r="M7" i="20"/>
  <c r="Q17" i="18"/>
  <c r="G17" i="18"/>
  <c r="G9" i="18"/>
  <c r="Q9" i="18"/>
  <c r="F23" i="6"/>
  <c r="G37" i="20"/>
  <c r="AA9" i="20"/>
  <c r="AB9" i="20"/>
  <c r="N17" i="14"/>
  <c r="M25" i="14"/>
  <c r="R7" i="3"/>
  <c r="R9" i="3"/>
  <c r="Q13" i="3"/>
  <c r="R11" i="3"/>
  <c r="O21" i="3"/>
  <c r="F9" i="7"/>
  <c r="I9" i="7" s="1"/>
  <c r="E14" i="7"/>
  <c r="E11" i="7"/>
  <c r="H10" i="7"/>
  <c r="G11" i="7"/>
  <c r="I6" i="6"/>
  <c r="G8" i="3"/>
  <c r="J9" i="6"/>
  <c r="Q15" i="3"/>
  <c r="G18" i="3"/>
  <c r="J18" i="3" s="1"/>
  <c r="H8" i="7"/>
  <c r="I8" i="7"/>
  <c r="F7" i="7"/>
  <c r="H7" i="7" s="1"/>
  <c r="G25" i="14"/>
  <c r="G26" i="14"/>
  <c r="G16" i="3"/>
  <c r="J16" i="3" s="1"/>
  <c r="Q17" i="3"/>
  <c r="J14" i="3"/>
  <c r="J10" i="3"/>
  <c r="G20" i="3"/>
  <c r="J7" i="6"/>
  <c r="J8" i="6"/>
  <c r="J10" i="6"/>
  <c r="I12" i="3"/>
  <c r="J12" i="3"/>
  <c r="G13" i="7"/>
  <c r="G14" i="7" s="1"/>
  <c r="I25" i="7"/>
  <c r="H25" i="7"/>
  <c r="J28" i="6"/>
  <c r="I28" i="6"/>
  <c r="I16" i="6"/>
  <c r="J16" i="6"/>
  <c r="H17" i="6"/>
  <c r="L25" i="14"/>
  <c r="H29" i="6"/>
  <c r="G23" i="7"/>
  <c r="F17" i="24" l="1"/>
  <c r="G14" i="24"/>
  <c r="H14" i="24"/>
  <c r="G38" i="24"/>
  <c r="H38" i="24"/>
  <c r="G28" i="24"/>
  <c r="H28" i="24"/>
  <c r="F10" i="24"/>
  <c r="G7" i="24"/>
  <c r="H7" i="24"/>
  <c r="E16" i="7"/>
  <c r="R37" i="20"/>
  <c r="S37" i="20" s="1"/>
  <c r="W13" i="18"/>
  <c r="Y13" i="18" s="1"/>
  <c r="AB13" i="18" s="1"/>
  <c r="O14" i="20"/>
  <c r="P14" i="20"/>
  <c r="O34" i="20"/>
  <c r="O16" i="20"/>
  <c r="J10" i="20"/>
  <c r="P16" i="20"/>
  <c r="W15" i="18"/>
  <c r="Y15" i="18" s="1"/>
  <c r="AA15" i="18" s="1"/>
  <c r="I10" i="20"/>
  <c r="J16" i="20"/>
  <c r="G8" i="20"/>
  <c r="I16" i="20"/>
  <c r="I26" i="20"/>
  <c r="J17" i="18"/>
  <c r="I17" i="18"/>
  <c r="G18" i="18" s="1"/>
  <c r="U26" i="20"/>
  <c r="V26" i="20"/>
  <c r="J9" i="18"/>
  <c r="I9" i="18"/>
  <c r="G10" i="18" s="1"/>
  <c r="I19" i="18"/>
  <c r="G20" i="18" s="1"/>
  <c r="U7" i="20"/>
  <c r="S8" i="20" s="1"/>
  <c r="V7" i="20"/>
  <c r="S11" i="18"/>
  <c r="W11" i="18"/>
  <c r="Y11" i="18" s="1"/>
  <c r="V37" i="20"/>
  <c r="U37" i="20"/>
  <c r="S38" i="20" s="1"/>
  <c r="J37" i="20"/>
  <c r="I37" i="20"/>
  <c r="G38" i="20" s="1"/>
  <c r="W9" i="18"/>
  <c r="Y9" i="18" s="1"/>
  <c r="S9" i="18"/>
  <c r="Q23" i="18"/>
  <c r="S23" i="18" s="1"/>
  <c r="U15" i="18"/>
  <c r="S16" i="18" s="1"/>
  <c r="V15" i="18"/>
  <c r="V10" i="20"/>
  <c r="U10" i="20"/>
  <c r="J8" i="18"/>
  <c r="I8" i="18"/>
  <c r="W21" i="18"/>
  <c r="Y21" i="18" s="1"/>
  <c r="AA21" i="18" s="1"/>
  <c r="O7" i="20"/>
  <c r="P7" i="20"/>
  <c r="J13" i="18"/>
  <c r="I13" i="18"/>
  <c r="G14" i="18" s="1"/>
  <c r="V21" i="18"/>
  <c r="U21" i="18"/>
  <c r="S22" i="18" s="1"/>
  <c r="W19" i="18"/>
  <c r="Y19" i="18" s="1"/>
  <c r="S19" i="18"/>
  <c r="Q24" i="18"/>
  <c r="S8" i="18"/>
  <c r="V16" i="20"/>
  <c r="U16" i="20"/>
  <c r="E12" i="6"/>
  <c r="G23" i="18"/>
  <c r="W17" i="18"/>
  <c r="Y17" i="18" s="1"/>
  <c r="S17" i="18"/>
  <c r="F25" i="6"/>
  <c r="M37" i="20"/>
  <c r="U13" i="18"/>
  <c r="S14" i="18" s="1"/>
  <c r="V13" i="18"/>
  <c r="J11" i="18"/>
  <c r="I11" i="18"/>
  <c r="G12" i="18" s="1"/>
  <c r="X37" i="20"/>
  <c r="Y7" i="20"/>
  <c r="G16" i="7"/>
  <c r="H9" i="7"/>
  <c r="F11" i="7"/>
  <c r="I11" i="7" s="1"/>
  <c r="Q21" i="3"/>
  <c r="R21" i="3"/>
  <c r="I8" i="3"/>
  <c r="J8" i="3"/>
  <c r="I18" i="3"/>
  <c r="I7" i="7"/>
  <c r="I16" i="3"/>
  <c r="J20" i="3"/>
  <c r="I20" i="3"/>
  <c r="I26" i="7"/>
  <c r="H26" i="7"/>
  <c r="I15" i="7"/>
  <c r="H15" i="7"/>
  <c r="G27" i="7"/>
  <c r="G17" i="24" l="1"/>
  <c r="H17" i="24"/>
  <c r="H10" i="24"/>
  <c r="G10" i="24"/>
  <c r="AA13" i="18"/>
  <c r="E17" i="6"/>
  <c r="D12" i="7"/>
  <c r="Y37" i="20"/>
  <c r="AB37" i="20" s="1"/>
  <c r="I8" i="20"/>
  <c r="M8" i="20"/>
  <c r="J8" i="20"/>
  <c r="I12" i="18"/>
  <c r="J12" i="18"/>
  <c r="O37" i="20"/>
  <c r="M38" i="20" s="1"/>
  <c r="P37" i="20"/>
  <c r="AA19" i="18"/>
  <c r="AB19" i="18"/>
  <c r="AA9" i="18"/>
  <c r="AB9" i="18"/>
  <c r="V11" i="18"/>
  <c r="U11" i="18"/>
  <c r="S12" i="18" s="1"/>
  <c r="V14" i="18"/>
  <c r="U14" i="18"/>
  <c r="AA17" i="18"/>
  <c r="AB17" i="18"/>
  <c r="U19" i="18"/>
  <c r="S20" i="18" s="1"/>
  <c r="V19" i="18"/>
  <c r="J14" i="18"/>
  <c r="I14" i="18"/>
  <c r="U9" i="18"/>
  <c r="S10" i="18" s="1"/>
  <c r="V9" i="18"/>
  <c r="J38" i="20"/>
  <c r="I38" i="20"/>
  <c r="AB11" i="18"/>
  <c r="AA11" i="18"/>
  <c r="I20" i="18"/>
  <c r="I10" i="18"/>
  <c r="J10" i="18"/>
  <c r="I18" i="18"/>
  <c r="J18" i="18"/>
  <c r="U8" i="18"/>
  <c r="V8" i="18"/>
  <c r="AB7" i="20"/>
  <c r="AA7" i="20"/>
  <c r="AA37" i="20" s="1"/>
  <c r="U17" i="18"/>
  <c r="S18" i="18" s="1"/>
  <c r="V17" i="18"/>
  <c r="U23" i="18"/>
  <c r="S24" i="18"/>
  <c r="V23" i="18"/>
  <c r="U8" i="20"/>
  <c r="V8" i="20"/>
  <c r="G24" i="18"/>
  <c r="J23" i="18"/>
  <c r="I23" i="18"/>
  <c r="Y7" i="18"/>
  <c r="W23" i="18"/>
  <c r="Y23" i="18" s="1"/>
  <c r="V22" i="18"/>
  <c r="U22" i="18"/>
  <c r="V16" i="18"/>
  <c r="U16" i="18"/>
  <c r="V38" i="20"/>
  <c r="U38" i="20"/>
  <c r="H11" i="7"/>
  <c r="G12" i="6"/>
  <c r="I12" i="6" s="1"/>
  <c r="G17" i="6"/>
  <c r="D13" i="7"/>
  <c r="F13" i="7" s="1"/>
  <c r="F12" i="7" l="1"/>
  <c r="D14" i="7"/>
  <c r="D16" i="7" s="1"/>
  <c r="P8" i="20"/>
  <c r="O8" i="20"/>
  <c r="V12" i="18"/>
  <c r="U12" i="18"/>
  <c r="AB7" i="18"/>
  <c r="AA7" i="18"/>
  <c r="V18" i="18"/>
  <c r="U18" i="18"/>
  <c r="V10" i="18"/>
  <c r="U10" i="18"/>
  <c r="U20" i="18"/>
  <c r="V20" i="18"/>
  <c r="O38" i="20"/>
  <c r="P38" i="20"/>
  <c r="AA23" i="18"/>
  <c r="AB23" i="18"/>
  <c r="J24" i="18"/>
  <c r="I24" i="18"/>
  <c r="V24" i="18"/>
  <c r="U24" i="18"/>
  <c r="J12" i="6"/>
  <c r="I13" i="7"/>
  <c r="H13" i="7"/>
  <c r="I17" i="6"/>
  <c r="J17" i="6"/>
  <c r="J14" i="6"/>
  <c r="I14" i="6"/>
  <c r="F14" i="7" l="1"/>
  <c r="F16" i="7"/>
  <c r="I16" i="7" s="1"/>
  <c r="J15" i="6"/>
  <c r="I15" i="6"/>
  <c r="H12" i="7"/>
  <c r="I12" i="7"/>
  <c r="J13" i="6"/>
  <c r="I13" i="6"/>
  <c r="H14" i="7" l="1"/>
  <c r="I14" i="7"/>
  <c r="H16" i="7"/>
  <c r="G51" i="14" l="1"/>
  <c r="G53" i="14"/>
  <c r="G50" i="14"/>
  <c r="G61" i="14"/>
  <c r="G52" i="14"/>
  <c r="G57" i="14"/>
  <c r="G69" i="14"/>
  <c r="G54" i="14"/>
  <c r="G68" i="14"/>
  <c r="G66" i="14"/>
  <c r="G64" i="14"/>
  <c r="G67" i="14"/>
  <c r="G56" i="14"/>
  <c r="G72" i="14"/>
  <c r="G55" i="14"/>
  <c r="G65" i="14"/>
  <c r="G63" i="14"/>
  <c r="G58" i="14"/>
  <c r="G71" i="14"/>
  <c r="G70" i="14"/>
  <c r="G62" i="14"/>
  <c r="G75" i="14" l="1"/>
  <c r="G79" i="14" s="1"/>
  <c r="G76" i="14"/>
  <c r="G80" i="14" s="1"/>
  <c r="L61" i="14" l="1"/>
  <c r="M61" i="14" s="1"/>
  <c r="E29" i="6"/>
  <c r="L75" i="14"/>
  <c r="M75" i="14" s="1"/>
  <c r="L71" i="14"/>
  <c r="M71" i="14" s="1"/>
  <c r="L69" i="14"/>
  <c r="M69" i="14" s="1"/>
  <c r="L57" i="14"/>
  <c r="M57" i="14" s="1"/>
  <c r="L65" i="14"/>
  <c r="M65" i="14" s="1"/>
  <c r="L53" i="14"/>
  <c r="M53" i="14" s="1"/>
  <c r="L67" i="14" l="1"/>
  <c r="M67" i="14" s="1"/>
  <c r="D27" i="7"/>
  <c r="L55" i="14" l="1"/>
  <c r="M55" i="14" s="1"/>
  <c r="L63" i="14" l="1"/>
  <c r="M63" i="14" s="1"/>
  <c r="L79" i="14" l="1"/>
  <c r="M79" i="14" s="1"/>
  <c r="G25" i="6" l="1"/>
  <c r="E23" i="7"/>
  <c r="G23" i="6"/>
  <c r="E24" i="7" l="1"/>
  <c r="F24" i="7" s="1"/>
  <c r="I24" i="7" s="1"/>
  <c r="F29" i="6"/>
  <c r="G29" i="6" s="1"/>
  <c r="I29" i="6" s="1"/>
  <c r="I23" i="6"/>
  <c r="J23" i="6"/>
  <c r="I25" i="6"/>
  <c r="J25" i="6"/>
  <c r="F23" i="7"/>
  <c r="E27" i="7" l="1"/>
  <c r="F27" i="7" s="1"/>
  <c r="H27" i="7" s="1"/>
  <c r="J29" i="6"/>
  <c r="H24" i="7"/>
  <c r="J26" i="6"/>
  <c r="I26" i="6"/>
  <c r="I23" i="7"/>
  <c r="H23" i="7"/>
  <c r="I24" i="6"/>
  <c r="J24" i="6"/>
  <c r="I27" i="7" l="1"/>
</calcChain>
</file>

<file path=xl/comments1.xml><?xml version="1.0" encoding="utf-8"?>
<comments xmlns="http://schemas.openxmlformats.org/spreadsheetml/2006/main">
  <authors>
    <author>rgarcia</author>
  </authors>
  <commentList>
    <comment ref="G25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Emb POLOLITO III</t>
        </r>
      </text>
    </comment>
  </commentList>
</comments>
</file>

<file path=xl/comments2.xml><?xml version="1.0" encoding="utf-8"?>
<comments xmlns="http://schemas.openxmlformats.org/spreadsheetml/2006/main">
  <authors>
    <author>ZULETA ESPINOZA, GERALDINE</author>
    <author>rgarcia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N°38 cesion de 100 ton desde la embarcacion Trauwun I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SUSTITUCIONES DE FERNANDO ANDRES RPA 963747 (S) / BONI MAURI RPA 923204 (S)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33 modificada por res n° 39, cede 100 ton en favor de  antartic seafood</t>
        </r>
      </text>
    </comment>
    <comment ref="F15" authorId="1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 / 27-02-2019_Cesion  Artesanal PUNTA TALCA de 68,943 ton a BRASPESCA.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38 cede 100 ton en favor de  la embarcacion chafic I </t>
        </r>
      </text>
    </comment>
  </commentList>
</comments>
</file>

<file path=xl/comments3.xml><?xml version="1.0" encoding="utf-8"?>
<comments xmlns="http://schemas.openxmlformats.org/spreadsheetml/2006/main">
  <authors>
    <author>ZULETA ESPINOZA, GERALDINE</author>
    <author>Autor</author>
  </authors>
  <commentList>
    <comment ref="L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33 modificada por res n° 39,  cesion de 100 ton en desde la embarcacion Isala Tabon. </t>
        </r>
      </text>
    </comment>
    <comment ref="L9" authorId="1" shapeId="0">
      <text>
        <r>
          <rPr>
            <b/>
            <sz val="9"/>
            <color indexed="81"/>
            <rFont val="Tahoma"/>
            <family val="2"/>
          </rPr>
          <t xml:space="preserve">rgarcia:
</t>
        </r>
        <r>
          <rPr>
            <sz val="9"/>
            <color indexed="81"/>
            <rFont val="Tahoma"/>
            <family val="2"/>
          </rPr>
          <t>R.Ex.N° 752 / 27-02-2019_Cesion  Artesanal PUNTA TALCA de 68,943 ton a BRASPESCA.</t>
        </r>
      </text>
    </comment>
  </commentList>
</comments>
</file>

<file path=xl/comments4.xml><?xml version="1.0" encoding="utf-8"?>
<comments xmlns="http://schemas.openxmlformats.org/spreadsheetml/2006/main">
  <authors>
    <author>rgarcia</author>
  </authors>
  <commentList>
    <comment ref="K11" authorId="0" shapeId="0">
      <text>
        <r>
          <rPr>
            <b/>
            <sz val="9"/>
            <color indexed="81"/>
            <rFont val="Tahoma"/>
            <family val="2"/>
          </rPr>
          <t>rgarcia:
R.Ex.N° 752 / 27-02-2019_Cesion  Artesanal PUNTA TALCA de 68,943 ton a BRASPESCA. Invcluida en planilla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CORREGIDO POR CERT 157027 26-08-2019</t>
        </r>
      </text>
    </comment>
  </commentList>
</comments>
</file>

<file path=xl/sharedStrings.xml><?xml version="1.0" encoding="utf-8"?>
<sst xmlns="http://schemas.openxmlformats.org/spreadsheetml/2006/main" count="552" uniqueCount="245">
  <si>
    <t>Región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</si>
  <si>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</si>
  <si>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</si>
  <si>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</si>
  <si>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</si>
  <si>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</si>
  <si>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</si>
  <si>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</si>
  <si>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</si>
  <si>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II Región de Antofagasta</t>
  </si>
  <si>
    <t>Oct-Dic</t>
  </si>
  <si>
    <t>III Región de Atacama</t>
  </si>
  <si>
    <t>Mar-Ago</t>
  </si>
  <si>
    <t>Recurso</t>
  </si>
  <si>
    <t>Cuota anual asignada</t>
  </si>
  <si>
    <t xml:space="preserve">IV Región de Coquimbo 
</t>
  </si>
  <si>
    <t>Asignatario de Cuota</t>
  </si>
  <si>
    <t>Consumo%</t>
  </si>
  <si>
    <t>Resumen Anual Control Cuota Artesanal Langostino Colorado III-IV</t>
  </si>
  <si>
    <t xml:space="preserve">Control Cuota Artesanal Langostino Colorado III-IV </t>
  </si>
  <si>
    <t>Fauna Acompañante</t>
  </si>
  <si>
    <t>Movimiento</t>
  </si>
  <si>
    <t>Saldo (t)</t>
  </si>
  <si>
    <t>Consumo %</t>
  </si>
  <si>
    <t xml:space="preserve">Cuota Asignada </t>
  </si>
  <si>
    <t>QUINTERO S.A. PESQ.</t>
  </si>
  <si>
    <t>Cuota Asignada  XV-IV</t>
  </si>
  <si>
    <t>Langostino Colorado  XV-IV Región</t>
  </si>
  <si>
    <t>ANTARTIC SEAFOOD S.A.</t>
  </si>
  <si>
    <t>RUBIO Y MAUAD LTDA.</t>
  </si>
  <si>
    <t>Octubre  - Diciembre</t>
  </si>
  <si>
    <t>Marzo -Agosto</t>
  </si>
  <si>
    <t>Artesanal II</t>
  </si>
  <si>
    <t>Artesanal III</t>
  </si>
  <si>
    <t>Artesanal IV</t>
  </si>
  <si>
    <t>Fauna Acompañante XV-IV</t>
  </si>
  <si>
    <t>Cuota Asignada</t>
  </si>
  <si>
    <t>Traspaso, Cesión, Arriendo etc.</t>
  </si>
  <si>
    <t>Control Cuota IV Región (t)</t>
  </si>
  <si>
    <t>Control Cuota II-III Región (t)</t>
  </si>
  <si>
    <t>Armador Asignatario</t>
  </si>
  <si>
    <t xml:space="preserve"> Resumen periodo Control Cuota Langostino colorado II-IV</t>
  </si>
  <si>
    <t>Resumen Anual Control Cuota Langostino colorado II-IV</t>
  </si>
  <si>
    <t xml:space="preserve">Cuota Total </t>
  </si>
  <si>
    <t xml:space="preserve">Captura </t>
  </si>
  <si>
    <t>Captura XV-IV</t>
  </si>
  <si>
    <t xml:space="preserve">U Pesquería </t>
  </si>
  <si>
    <t>Industrial Ltp II-III</t>
  </si>
  <si>
    <t>Industrial Ltp IV</t>
  </si>
  <si>
    <t>Licitada V-VI</t>
  </si>
  <si>
    <t>Licitada VII-VIII</t>
  </si>
  <si>
    <t xml:space="preserve"> Artesanal III</t>
  </si>
  <si>
    <t>Artesanal IV (RAE)</t>
  </si>
  <si>
    <t>U Pesquería</t>
  </si>
  <si>
    <t xml:space="preserve">Fracionamientos </t>
  </si>
  <si>
    <t>Investigación</t>
  </si>
  <si>
    <t>Licitada Pep V-VI</t>
  </si>
  <si>
    <t>Licitada Pep VII-VIII</t>
  </si>
  <si>
    <t>Langostino colorado XV-IV</t>
  </si>
  <si>
    <t>Cuota Global Langostino colorado XV-IV</t>
  </si>
  <si>
    <t>La información contenida en los consumos y movimientos, según corresponda, es preliminar,  sujeta a validación, verificación de consistencia</t>
  </si>
  <si>
    <t xml:space="preserve">Notas: </t>
  </si>
  <si>
    <t>La Vedas del langostino Colorado;  01 enero al 28 febrero  y de 01 al 30 de septiembre</t>
  </si>
  <si>
    <t>Cuota anual licitada</t>
  </si>
  <si>
    <t>Cuota licitada</t>
  </si>
  <si>
    <t xml:space="preserve">RESUMEN POR PERIODO DE CONSUMO DE CUOTA LANGOSTINO COLORADO PEP V-VIII. AÑO 2018
</t>
  </si>
  <si>
    <t xml:space="preserve">RESUMEN ANUAL DE CONSUMO DE CUOTA LANGOSTINO COLORADO V-VIII. AÑO 2018
</t>
  </si>
  <si>
    <t xml:space="preserve">Langostino Colorado XV-IV </t>
  </si>
  <si>
    <t xml:space="preserve">Langostino Colorado V-VIII </t>
  </si>
  <si>
    <t>IV</t>
  </si>
  <si>
    <t>ISLADAMAS S.A. PESQ.</t>
  </si>
  <si>
    <t>BRACPESCA S.A.</t>
  </si>
  <si>
    <t>DA VENEZIA RETAMALES ANTONIO</t>
  </si>
  <si>
    <t>SUNRISE S.A. PESQ.</t>
  </si>
  <si>
    <t>II_IIII</t>
  </si>
  <si>
    <t>Total periodo</t>
  </si>
  <si>
    <t>Marzo-Agosto</t>
  </si>
  <si>
    <t>Octubre-Dic</t>
  </si>
  <si>
    <t xml:space="preserve">Total </t>
  </si>
  <si>
    <t>Distribucion asignacion cuota</t>
  </si>
  <si>
    <t>Nombre</t>
  </si>
  <si>
    <t>Total Inicial periodo</t>
  </si>
  <si>
    <t>IIII</t>
  </si>
  <si>
    <t>II-IIII</t>
  </si>
  <si>
    <t>Cuota final</t>
  </si>
  <si>
    <t>ALIMENTOS ALSAN LTDA</t>
  </si>
  <si>
    <t>REGION</t>
  </si>
  <si>
    <t>Global Langostino colorado XV-IV</t>
  </si>
  <si>
    <t>Marzo-Diciembre</t>
  </si>
  <si>
    <t>Global Langostino colorado V-VIII</t>
  </si>
  <si>
    <t>Fauna Acompañante V-VIII</t>
  </si>
  <si>
    <t>Periodos</t>
  </si>
  <si>
    <t>BOLSON RESIDUAL</t>
  </si>
  <si>
    <t>TOTAL ASIGNATARIOS LTP</t>
  </si>
  <si>
    <t>LANGOSTINO COLORADO V-VIII</t>
  </si>
  <si>
    <t>V-VI</t>
  </si>
  <si>
    <t>VII-VIII</t>
  </si>
  <si>
    <t>Langostino colorado licitado V-VIII 2018 (D.Ex. Nº 673-17)</t>
  </si>
  <si>
    <t>Coeficiente final</t>
  </si>
  <si>
    <t>LANGOSTINO COLORADO PEP (V-VIII)</t>
  </si>
  <si>
    <t>Resumen cuota transada</t>
  </si>
  <si>
    <t>-</t>
  </si>
  <si>
    <t xml:space="preserve">Cuota </t>
  </si>
  <si>
    <t>Investigación  XV-IV</t>
  </si>
  <si>
    <t>Investigación V-VIII</t>
  </si>
  <si>
    <t>Cuota Inicial</t>
  </si>
  <si>
    <t xml:space="preserve"> Asignacion V-VI</t>
  </si>
  <si>
    <t>Asignación VII-VIII</t>
  </si>
  <si>
    <t>Transaccion V-VI</t>
  </si>
  <si>
    <t>Transaccion VII-VIII</t>
  </si>
  <si>
    <t>SALDO CUOTA</t>
  </si>
  <si>
    <t>CHAFIC I RPA 955658</t>
  </si>
  <si>
    <t>TRAUWUN I RPA 920731</t>
  </si>
  <si>
    <t>PUNTA TALCA RPA 913399</t>
  </si>
  <si>
    <t>ISLA TABON RPA 966378</t>
  </si>
  <si>
    <t>Investigación II-IV</t>
  </si>
  <si>
    <t xml:space="preserve">RESUMEN POR PERIODO CONSUMO DE CUOTA LANGOSTINO COLORADO XV-IV. AÑO 2019
</t>
  </si>
  <si>
    <t>CONTROL DE CUOTA LANGOSTINO COLORADO  XV-IV ARTESANAL. AÑO 2019</t>
  </si>
  <si>
    <t>CONTROL DE CUOTA LANGOSTINO COLORADO LTP XV-IV. AÑO 2019</t>
  </si>
  <si>
    <t>Total D.Ex N° 526-2018</t>
  </si>
  <si>
    <t>TOTAL ASIGNATARIOS ARTESANALES</t>
  </si>
  <si>
    <t>Dec Ex N° 526 de 21-12-2018</t>
  </si>
  <si>
    <t>FRACION INDUSTRIAL LTP</t>
  </si>
  <si>
    <t>FRACCION ARTESANAL</t>
  </si>
  <si>
    <t>TOTAL FAUNA ACOMPAÑANTE</t>
  </si>
  <si>
    <t>Ene-Dic</t>
  </si>
  <si>
    <t>N/A</t>
  </si>
  <si>
    <t xml:space="preserve">Nota: </t>
  </si>
  <si>
    <t>CHAFIC I</t>
  </si>
  <si>
    <t>ISLA TABON</t>
  </si>
  <si>
    <t>PUNTA TALCA</t>
  </si>
  <si>
    <t>TRAUWÜN I</t>
  </si>
  <si>
    <t>Total general</t>
  </si>
  <si>
    <t>PESQ. ISLADAMAS S.A.</t>
  </si>
  <si>
    <t>LANGOSTINO COLORADO XV-IV</t>
  </si>
  <si>
    <t>LANGOSTINO COLORADO LTP (V-IV)</t>
  </si>
  <si>
    <t>Coeficiente inicial A-B</t>
  </si>
  <si>
    <t>% Licitado</t>
  </si>
  <si>
    <t>CAMANCHACA PESCA SUR</t>
  </si>
  <si>
    <t>BRACPESCA</t>
  </si>
  <si>
    <t>ALIMAR</t>
  </si>
  <si>
    <t>ISLA DAMAS S.A.</t>
  </si>
  <si>
    <t>PESQ. QUINTERO S.A.</t>
  </si>
  <si>
    <t>SOC. PESQ. ENFEMAR LTDA.</t>
  </si>
  <si>
    <t xml:space="preserve">PESQ. ANTONIO CRUZ CORDOVA </t>
  </si>
  <si>
    <t>PACIFICBLU SpA</t>
  </si>
  <si>
    <t xml:space="preserve">ANTONIO DA VENEZIA RETAMALES </t>
  </si>
  <si>
    <t>SOC. PESQ. LANDES S.A.</t>
  </si>
  <si>
    <t>JORGE COFRE REYES</t>
  </si>
  <si>
    <t>D.Ex. Nº 456-18</t>
  </si>
  <si>
    <t>Total</t>
  </si>
  <si>
    <t>Fecha</t>
  </si>
  <si>
    <t>Coeficiente</t>
  </si>
  <si>
    <t>N° doc</t>
  </si>
  <si>
    <t>Pacific</t>
  </si>
  <si>
    <t>DE -</t>
  </si>
  <si>
    <t>A+</t>
  </si>
  <si>
    <t>Jorge Cofre</t>
  </si>
  <si>
    <t>Braspesca</t>
  </si>
  <si>
    <t>Camanchaca PS</t>
  </si>
  <si>
    <t>Isla Damas</t>
  </si>
  <si>
    <t>Antartic Seafood</t>
  </si>
  <si>
    <t>USUFRUCTO DE PACIFICBLU SpA A CAMANCHACA PESCA SUR</t>
  </si>
  <si>
    <t>COMODATO DE BRACPESCA S.A. (VII-VIII) A CAMANCHACA PESCA SUR (VII-VIII)</t>
  </si>
  <si>
    <t>COMODATO DE CAMANCHACA PS (VII-VIII) A JORGE COFRE REYES (VII-VIII)</t>
  </si>
  <si>
    <t>COMODATO V-VI DESDE CAMANCHACA PS (V-VI) A BRACPESCA SA (V-VI)</t>
  </si>
  <si>
    <t>COMODATO DESDE CAMANCHACA PS (V-VI) A ANTARTIC SEAFOOD S.A.(V-VI)</t>
  </si>
  <si>
    <t xml:space="preserve"> VII-VIII</t>
  </si>
  <si>
    <t>COMODATO DESDE CAMANCHACA PS A SOC. PESQ. ISLADAMAS S.A.</t>
  </si>
  <si>
    <t>COMODATO DESDE ANTARTIC SEAFOOD SA (VII-VIII) A CAMANCHACA PS (VII-VIII)</t>
  </si>
  <si>
    <t>Descripcion</t>
  </si>
  <si>
    <t>CONTROL DE CUOTA LANGOSTINO COLORADO PEP V-VIII POR TITULAR 2019</t>
  </si>
  <si>
    <t xml:space="preserve">Unidad de pesquería </t>
  </si>
  <si>
    <t xml:space="preserve">Armador </t>
  </si>
  <si>
    <t xml:space="preserve">Periodo </t>
  </si>
  <si>
    <t>Control Cuota V-VI Región (t)</t>
  </si>
  <si>
    <t>Control Cuota VII-VIII Región (t)</t>
  </si>
  <si>
    <t>Resumen periodo Control Cuota Langostino Colorado PEP V-VIII</t>
  </si>
  <si>
    <t>Resumen Anual Control Cuota Langostino colorado PEP V-VIII</t>
  </si>
  <si>
    <t>Cuota Licitada (t)</t>
  </si>
  <si>
    <t>Cuota Asignada  V-VIII</t>
  </si>
  <si>
    <t>Traspaso, Cesión, Arriendo etc</t>
  </si>
  <si>
    <t>Cuota Total Licitada</t>
  </si>
  <si>
    <t>Captura  (t)</t>
  </si>
  <si>
    <t>Traspaso,Cesión, Arriendo etc.</t>
  </si>
  <si>
    <t>Mar-Ago.</t>
  </si>
  <si>
    <t>TOTAL ASIGNATARIOS PEP</t>
  </si>
  <si>
    <t>titulares PEP</t>
  </si>
  <si>
    <t>CAMANCHACA PESCA SUR S.A.</t>
  </si>
  <si>
    <t>Cuota Global Langostino Colorado V - VIII</t>
  </si>
  <si>
    <t>Pesq. CMK</t>
  </si>
  <si>
    <t>PESQUERA CMK LTDA.</t>
  </si>
  <si>
    <t>Artesanal</t>
  </si>
  <si>
    <t>EMPRESAS</t>
  </si>
  <si>
    <t>ISLADAMAS S.A.</t>
  </si>
  <si>
    <t>PESQ. ANTONIO CRUZ CORDOVA</t>
  </si>
  <si>
    <t>PACIFICBLUE SpA.</t>
  </si>
  <si>
    <t>ANTONIO DA VENEZIA RETAMALES</t>
  </si>
  <si>
    <t>TOTAL</t>
  </si>
  <si>
    <t>COMODATO DE CAMANCHACA PS a PESQUERA CMK LTDA. (V-VIII)</t>
  </si>
  <si>
    <t>ADJUDICACIONES PERMISOS EXTRAORDINARIOS DE PESCA</t>
  </si>
  <si>
    <t>RECURSO LANGOSTINO COLORADO</t>
  </si>
  <si>
    <t>Tipo</t>
  </si>
  <si>
    <t>Nave autorizada</t>
  </si>
  <si>
    <t>III REGION</t>
  </si>
  <si>
    <t>IV REGION</t>
  </si>
  <si>
    <t>V REGION</t>
  </si>
  <si>
    <t>VI REGION</t>
  </si>
  <si>
    <t>VII REGION</t>
  </si>
  <si>
    <t>VIII REGION</t>
  </si>
  <si>
    <t>ALTAIR I</t>
  </si>
  <si>
    <t>Total Region</t>
  </si>
  <si>
    <t>FAUNA ACOMPAÑANTE LANGOSTINO COLORADO 2019</t>
  </si>
  <si>
    <t>PESCA INVESTIGACION LANGOSTINO COLORADO 2019</t>
  </si>
  <si>
    <t>POLOLITO III</t>
  </si>
  <si>
    <t xml:space="preserve">RESUMEN ANUAL DE CONSUMO DE CUOTA LANGOSTINO COLORADO XV-IV. AÑO 2019
</t>
  </si>
  <si>
    <t>Total Area</t>
  </si>
  <si>
    <t>JORGE COFRE  (Emb TOME artesanal)</t>
  </si>
  <si>
    <t>ELBE</t>
  </si>
  <si>
    <t>Reportes SSP_2019</t>
  </si>
  <si>
    <t>% Licitado_actualizado</t>
  </si>
  <si>
    <t>DON STEFAN</t>
  </si>
  <si>
    <t>GONZALO ZUÑIGA ROMERO</t>
  </si>
  <si>
    <t>COMODATO DE ISLA DAMAS a CAMANCHACA PS (V-VI)</t>
  </si>
  <si>
    <t>COMODATO DE ISLA DAMAS a CAMANCHACA PS (VII-VIII)</t>
  </si>
  <si>
    <t>Detalle Negocios Langostino Colorado LTP (III-IV)</t>
  </si>
  <si>
    <t>Detalle Negocios Langostino Colorado PEP (V-VIII) periodo Mar-Ago.</t>
  </si>
  <si>
    <t>GONZALO ANDRES ZUÑIGA ROMERO</t>
  </si>
  <si>
    <t>CV PESQ QUINTERO A GONZALO ZUÑIGA</t>
  </si>
  <si>
    <t>Pesq Quintero</t>
  </si>
  <si>
    <t>Gonzalo Zuñiga</t>
  </si>
  <si>
    <t xml:space="preserve">RESTITUCION </t>
  </si>
  <si>
    <t>COMODATO</t>
  </si>
  <si>
    <t>Pacificblu</t>
  </si>
  <si>
    <t xml:space="preserve">Saldo </t>
  </si>
  <si>
    <t xml:space="preserve">% Consumido </t>
  </si>
  <si>
    <t>Fraccion Industrial  LTP Objetivo</t>
  </si>
  <si>
    <t>Fraccion Artesanal Objetivo</t>
  </si>
  <si>
    <t>Fauna acompañante</t>
  </si>
  <si>
    <t>Fraccion Industrial  PEP Objetivo</t>
  </si>
  <si>
    <t>Industrial II- III</t>
  </si>
  <si>
    <t>Industrial  IV</t>
  </si>
  <si>
    <t>F.A.</t>
  </si>
  <si>
    <t>Industrial PEP  V-VI</t>
  </si>
  <si>
    <t>Industrial PEP  VII-VIII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</si>
</sst>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0.0000"/>
    <numFmt numFmtId="171" formatCode="#,##0.000"/>
    <numFmt numFmtId="172" formatCode="[$-340A]dddd\,\ dd&quot; de &quot;mmmm&quot; de &quot;yyyy;@"/>
    <numFmt numFmtId="173" formatCode="0.000000"/>
    <numFmt numFmtId="174" formatCode="0.0000000"/>
    <numFmt numFmtId="175" formatCode="_-* #,##0.000_-;\-* #,##0.000_-;_-* &quot;-&quot;??_-;_-@_-"/>
    <numFmt numFmtId="176" formatCode="0.0_ ;[Red]\-0.0\ "/>
    <numFmt numFmtId="177" formatCode="0.000%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3"/>
      <name val="Calibri"/>
      <family val="2"/>
      <scheme val="minor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b/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0"/>
      <name val="Verdana"/>
      <family val="2"/>
    </font>
    <font>
      <b/>
      <sz val="12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5D5D5D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8E2D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rgb="FFF8E2DE"/>
        <bgColor theme="4" tint="0.79998168889431442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1C9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FFFF"/>
      </bottom>
      <diagonal/>
    </border>
  </borders>
  <cellStyleXfs count="42097">
    <xf numFmtId="0" fontId="0" fillId="0" borderId="0"/>
    <xf numFmtId="9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7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32" fillId="0" borderId="0"/>
    <xf numFmtId="0" fontId="32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67" applyNumberFormat="0" applyAlignment="0" applyProtection="0"/>
    <xf numFmtId="0" fontId="13" fillId="18" borderId="31" applyNumberFormat="0" applyAlignment="0" applyProtection="0"/>
    <xf numFmtId="0" fontId="14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6" fillId="8" borderId="67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7" fillId="4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3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24" borderId="68" applyNumberFormat="0" applyFont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17" borderId="6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6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37" applyNumberFormat="0" applyFill="0" applyAlignment="0" applyProtection="0"/>
    <xf numFmtId="0" fontId="15" fillId="0" borderId="38" applyNumberFormat="0" applyFill="0" applyAlignment="0" applyProtection="0"/>
    <xf numFmtId="0" fontId="29" fillId="0" borderId="70" applyNumberFormat="0" applyFill="0" applyAlignment="0" applyProtection="0"/>
    <xf numFmtId="43" fontId="1" fillId="0" borderId="0" applyFont="0" applyFill="0" applyBorder="0" applyAlignment="0" applyProtection="0"/>
  </cellStyleXfs>
  <cellXfs count="821">
    <xf numFmtId="0" fontId="0" fillId="0" borderId="0" xfId="0"/>
    <xf numFmtId="0" fontId="0" fillId="28" borderId="0" xfId="0" applyFill="1"/>
    <xf numFmtId="1" fontId="0" fillId="2" borderId="57" xfId="0" applyNumberFormat="1" applyFill="1" applyBorder="1" applyAlignment="1">
      <alignment horizontal="center"/>
    </xf>
    <xf numFmtId="1" fontId="0" fillId="2" borderId="59" xfId="0" applyNumberFormat="1" applyFill="1" applyBorder="1" applyAlignment="1">
      <alignment horizontal="center"/>
    </xf>
    <xf numFmtId="1" fontId="0" fillId="2" borderId="44" xfId="0" applyNumberForma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164" fontId="0" fillId="2" borderId="57" xfId="0" applyNumberFormat="1" applyFill="1" applyBorder="1" applyAlignment="1">
      <alignment horizontal="center"/>
    </xf>
    <xf numFmtId="164" fontId="0" fillId="2" borderId="24" xfId="0" applyNumberFormat="1" applyFont="1" applyFill="1" applyBorder="1" applyAlignment="1">
      <alignment horizontal="center" vertical="center"/>
    </xf>
    <xf numFmtId="164" fontId="0" fillId="2" borderId="19" xfId="0" applyNumberFormat="1" applyFont="1" applyFill="1" applyBorder="1" applyAlignment="1">
      <alignment horizontal="center" vertical="center"/>
    </xf>
    <xf numFmtId="164" fontId="0" fillId="32" borderId="0" xfId="0" applyNumberFormat="1" applyFont="1" applyFill="1" applyBorder="1" applyAlignment="1">
      <alignment horizontal="center" vertical="center"/>
    </xf>
    <xf numFmtId="164" fontId="0" fillId="32" borderId="20" xfId="0" applyNumberFormat="1" applyFont="1" applyFill="1" applyBorder="1" applyAlignment="1">
      <alignment horizontal="center" vertical="center"/>
    </xf>
    <xf numFmtId="164" fontId="0" fillId="27" borderId="0" xfId="0" applyNumberFormat="1" applyFont="1" applyFill="1" applyBorder="1" applyAlignment="1">
      <alignment horizontal="center" vertical="center"/>
    </xf>
    <xf numFmtId="164" fontId="0" fillId="27" borderId="20" xfId="0" applyNumberFormat="1" applyFont="1" applyFill="1" applyBorder="1" applyAlignment="1">
      <alignment horizontal="center" vertical="center"/>
    </xf>
    <xf numFmtId="164" fontId="0" fillId="27" borderId="54" xfId="0" applyNumberFormat="1" applyFont="1" applyFill="1" applyBorder="1" applyAlignment="1">
      <alignment horizontal="center" vertical="center"/>
    </xf>
    <xf numFmtId="164" fontId="0" fillId="30" borderId="24" xfId="0" applyNumberFormat="1" applyFont="1" applyFill="1" applyBorder="1" applyAlignment="1">
      <alignment horizontal="center" vertical="center"/>
    </xf>
    <xf numFmtId="164" fontId="0" fillId="30" borderId="0" xfId="0" applyNumberFormat="1" applyFont="1" applyFill="1" applyBorder="1" applyAlignment="1">
      <alignment horizontal="center" vertical="center"/>
    </xf>
    <xf numFmtId="10" fontId="0" fillId="30" borderId="42" xfId="1" applyNumberFormat="1" applyFont="1" applyFill="1" applyBorder="1" applyAlignment="1">
      <alignment horizontal="center" vertical="center"/>
    </xf>
    <xf numFmtId="164" fontId="0" fillId="30" borderId="19" xfId="0" applyNumberFormat="1" applyFont="1" applyFill="1" applyBorder="1" applyAlignment="1">
      <alignment horizontal="center" vertical="center"/>
    </xf>
    <xf numFmtId="164" fontId="0" fillId="30" borderId="20" xfId="0" applyNumberFormat="1" applyFont="1" applyFill="1" applyBorder="1" applyAlignment="1">
      <alignment horizontal="center" vertical="center"/>
    </xf>
    <xf numFmtId="164" fontId="0" fillId="30" borderId="54" xfId="0" applyNumberFormat="1" applyFont="1" applyFill="1" applyBorder="1" applyAlignment="1">
      <alignment horizontal="center" vertical="center"/>
    </xf>
    <xf numFmtId="10" fontId="0" fillId="30" borderId="45" xfId="1" applyNumberFormat="1" applyFont="1" applyFill="1" applyBorder="1" applyAlignment="1">
      <alignment horizontal="center" vertical="center"/>
    </xf>
    <xf numFmtId="0" fontId="0" fillId="31" borderId="0" xfId="0" applyFill="1"/>
    <xf numFmtId="166" fontId="0" fillId="31" borderId="0" xfId="0" applyNumberFormat="1" applyFill="1"/>
    <xf numFmtId="164" fontId="0" fillId="31" borderId="0" xfId="0" applyNumberFormat="1" applyFill="1"/>
    <xf numFmtId="171" fontId="6" fillId="32" borderId="66" xfId="0" applyNumberFormat="1" applyFont="1" applyFill="1" applyBorder="1" applyAlignment="1">
      <alignment horizontal="center" vertical="center"/>
    </xf>
    <xf numFmtId="171" fontId="6" fillId="32" borderId="24" xfId="0" applyNumberFormat="1" applyFont="1" applyFill="1" applyBorder="1" applyAlignment="1">
      <alignment horizontal="center" vertical="center"/>
    </xf>
    <xf numFmtId="171" fontId="0" fillId="32" borderId="0" xfId="0" applyNumberFormat="1" applyFill="1" applyBorder="1" applyAlignment="1">
      <alignment horizontal="center" vertical="center"/>
    </xf>
    <xf numFmtId="171" fontId="0" fillId="32" borderId="24" xfId="0" applyNumberFormat="1" applyFill="1" applyBorder="1" applyAlignment="1">
      <alignment horizontal="center" vertical="center"/>
    </xf>
    <xf numFmtId="171" fontId="6" fillId="32" borderId="54" xfId="0" applyNumberFormat="1" applyFont="1" applyFill="1" applyBorder="1" applyAlignment="1">
      <alignment horizontal="center" vertical="center"/>
    </xf>
    <xf numFmtId="171" fontId="0" fillId="32" borderId="20" xfId="0" applyNumberFormat="1" applyFill="1" applyBorder="1" applyAlignment="1">
      <alignment horizontal="center" vertical="center"/>
    </xf>
    <xf numFmtId="171" fontId="0" fillId="32" borderId="19" xfId="0" applyNumberFormat="1" applyFill="1" applyBorder="1" applyAlignment="1">
      <alignment horizontal="center" vertical="center"/>
    </xf>
    <xf numFmtId="0" fontId="6" fillId="32" borderId="19" xfId="0" applyFont="1" applyFill="1" applyBorder="1" applyAlignment="1">
      <alignment horizontal="center" vertical="center"/>
    </xf>
    <xf numFmtId="0" fontId="6" fillId="32" borderId="24" xfId="0" applyFont="1" applyFill="1" applyBorder="1" applyAlignment="1">
      <alignment horizontal="center" vertical="center"/>
    </xf>
    <xf numFmtId="171" fontId="6" fillId="32" borderId="26" xfId="0" applyNumberFormat="1" applyFont="1" applyFill="1" applyBorder="1" applyAlignment="1">
      <alignment horizontal="center" vertical="center"/>
    </xf>
    <xf numFmtId="171" fontId="6" fillId="32" borderId="21" xfId="0" applyNumberFormat="1" applyFont="1" applyFill="1" applyBorder="1" applyAlignment="1">
      <alignment horizontal="center" vertical="center"/>
    </xf>
    <xf numFmtId="10" fontId="0" fillId="32" borderId="48" xfId="1" applyNumberFormat="1" applyFont="1" applyFill="1" applyBorder="1" applyAlignment="1">
      <alignment horizontal="center" vertical="center"/>
    </xf>
    <xf numFmtId="10" fontId="0" fillId="32" borderId="49" xfId="1" applyNumberFormat="1" applyFont="1" applyFill="1" applyBorder="1" applyAlignment="1">
      <alignment horizontal="center" vertical="center"/>
    </xf>
    <xf numFmtId="0" fontId="5" fillId="25" borderId="56" xfId="0" applyFont="1" applyFill="1" applyBorder="1" applyAlignment="1">
      <alignment horizontal="center" vertical="center" wrapText="1"/>
    </xf>
    <xf numFmtId="171" fontId="0" fillId="32" borderId="26" xfId="0" applyNumberFormat="1" applyFill="1" applyBorder="1" applyAlignment="1">
      <alignment horizontal="center" vertical="center"/>
    </xf>
    <xf numFmtId="10" fontId="6" fillId="32" borderId="48" xfId="42082" applyNumberFormat="1" applyFont="1" applyFill="1" applyBorder="1" applyAlignment="1">
      <alignment horizontal="center" vertical="center"/>
    </xf>
    <xf numFmtId="164" fontId="0" fillId="32" borderId="24" xfId="0" applyNumberFormat="1" applyFill="1" applyBorder="1" applyAlignment="1">
      <alignment horizontal="center" vertical="center"/>
    </xf>
    <xf numFmtId="164" fontId="0" fillId="32" borderId="19" xfId="0" applyNumberFormat="1" applyFill="1" applyBorder="1" applyAlignment="1">
      <alignment horizontal="center" vertical="center"/>
    </xf>
    <xf numFmtId="164" fontId="0" fillId="32" borderId="20" xfId="0" applyNumberFormat="1" applyFill="1" applyBorder="1" applyAlignment="1">
      <alignment horizontal="center" vertical="center"/>
    </xf>
    <xf numFmtId="10" fontId="6" fillId="32" borderId="49" xfId="42082" applyNumberFormat="1" applyFont="1" applyFill="1" applyBorder="1" applyAlignment="1">
      <alignment horizontal="center" vertical="center"/>
    </xf>
    <xf numFmtId="164" fontId="0" fillId="32" borderId="0" xfId="0" applyNumberFormat="1" applyFill="1" applyBorder="1" applyAlignment="1">
      <alignment horizontal="center" vertical="center"/>
    </xf>
    <xf numFmtId="164" fontId="6" fillId="32" borderId="24" xfId="0" applyNumberFormat="1" applyFont="1" applyFill="1" applyBorder="1" applyAlignment="1">
      <alignment horizontal="center" vertical="center"/>
    </xf>
    <xf numFmtId="164" fontId="6" fillId="32" borderId="19" xfId="0" applyNumberFormat="1" applyFont="1" applyFill="1" applyBorder="1" applyAlignment="1">
      <alignment horizontal="center" vertical="center"/>
    </xf>
    <xf numFmtId="10" fontId="6" fillId="32" borderId="48" xfId="1" applyNumberFormat="1" applyFont="1" applyFill="1" applyBorder="1" applyAlignment="1">
      <alignment horizontal="center" vertical="center"/>
    </xf>
    <xf numFmtId="10" fontId="6" fillId="32" borderId="49" xfId="1" applyNumberFormat="1" applyFont="1" applyFill="1" applyBorder="1" applyAlignment="1">
      <alignment horizontal="center" vertical="center"/>
    </xf>
    <xf numFmtId="1" fontId="0" fillId="2" borderId="62" xfId="0" applyNumberFormat="1" applyFill="1" applyBorder="1" applyAlignment="1">
      <alignment horizontal="center"/>
    </xf>
    <xf numFmtId="1" fontId="0" fillId="2" borderId="54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2" borderId="57" xfId="0" applyNumberFormat="1" applyFill="1" applyBorder="1" applyAlignment="1">
      <alignment horizontal="center" vertical="center"/>
    </xf>
    <xf numFmtId="1" fontId="0" fillId="2" borderId="54" xfId="0" applyNumberForma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/>
    </xf>
    <xf numFmtId="1" fontId="0" fillId="2" borderId="55" xfId="0" applyNumberFormat="1" applyFill="1" applyBorder="1" applyAlignment="1">
      <alignment horizontal="center" vertical="center"/>
    </xf>
    <xf numFmtId="1" fontId="6" fillId="2" borderId="59" xfId="0" applyNumberFormat="1" applyFont="1" applyFill="1" applyBorder="1" applyAlignment="1">
      <alignment horizontal="center"/>
    </xf>
    <xf numFmtId="164" fontId="0" fillId="2" borderId="77" xfId="0" applyNumberFormat="1" applyFont="1" applyFill="1" applyBorder="1" applyAlignment="1">
      <alignment horizontal="center"/>
    </xf>
    <xf numFmtId="164" fontId="0" fillId="30" borderId="71" xfId="0" applyNumberFormat="1" applyFont="1" applyFill="1" applyBorder="1" applyAlignment="1">
      <alignment horizontal="center" vertical="center"/>
    </xf>
    <xf numFmtId="164" fontId="0" fillId="2" borderId="59" xfId="0" applyNumberFormat="1" applyFill="1" applyBorder="1" applyAlignment="1">
      <alignment horizontal="center"/>
    </xf>
    <xf numFmtId="164" fontId="0" fillId="33" borderId="71" xfId="0" applyNumberFormat="1" applyFont="1" applyFill="1" applyBorder="1" applyAlignment="1">
      <alignment horizontal="center" vertical="center"/>
    </xf>
    <xf numFmtId="164" fontId="0" fillId="33" borderId="0" xfId="0" applyNumberFormat="1" applyFont="1" applyFill="1" applyBorder="1" applyAlignment="1">
      <alignment horizontal="center" vertical="center"/>
    </xf>
    <xf numFmtId="164" fontId="0" fillId="33" borderId="24" xfId="0" applyNumberFormat="1" applyFont="1" applyFill="1" applyBorder="1" applyAlignment="1">
      <alignment horizontal="center" vertical="center"/>
    </xf>
    <xf numFmtId="10" fontId="0" fillId="33" borderId="42" xfId="1" applyNumberFormat="1" applyFont="1" applyFill="1" applyBorder="1" applyAlignment="1">
      <alignment horizontal="center" vertical="center"/>
    </xf>
    <xf numFmtId="0" fontId="0" fillId="32" borderId="75" xfId="0" applyFill="1" applyBorder="1" applyAlignment="1">
      <alignment horizontal="center" vertical="center"/>
    </xf>
    <xf numFmtId="164" fontId="0" fillId="2" borderId="75" xfId="0" applyNumberFormat="1" applyFill="1" applyBorder="1" applyAlignment="1">
      <alignment horizontal="center" vertical="center"/>
    </xf>
    <xf numFmtId="164" fontId="0" fillId="27" borderId="71" xfId="0" applyNumberFormat="1" applyFont="1" applyFill="1" applyBorder="1" applyAlignment="1">
      <alignment horizontal="center" vertical="center"/>
    </xf>
    <xf numFmtId="0" fontId="0" fillId="32" borderId="77" xfId="0" applyFill="1" applyBorder="1" applyAlignment="1">
      <alignment horizontal="center" vertical="center"/>
    </xf>
    <xf numFmtId="164" fontId="0" fillId="32" borderId="77" xfId="0" applyNumberFormat="1" applyFill="1" applyBorder="1" applyAlignment="1">
      <alignment horizontal="center" vertical="center"/>
    </xf>
    <xf numFmtId="164" fontId="6" fillId="32" borderId="77" xfId="0" applyNumberFormat="1" applyFont="1" applyFill="1" applyBorder="1" applyAlignment="1">
      <alignment horizontal="center" vertical="center"/>
    </xf>
    <xf numFmtId="10" fontId="6" fillId="32" borderId="87" xfId="42082" applyNumberFormat="1" applyFont="1" applyFill="1" applyBorder="1" applyAlignment="1">
      <alignment horizontal="center" vertical="center"/>
    </xf>
    <xf numFmtId="1" fontId="3" fillId="29" borderId="46" xfId="0" applyNumberFormat="1" applyFont="1" applyFill="1" applyBorder="1" applyAlignment="1">
      <alignment horizontal="center" vertical="center"/>
    </xf>
    <xf numFmtId="1" fontId="3" fillId="29" borderId="63" xfId="0" applyNumberFormat="1" applyFont="1" applyFill="1" applyBorder="1" applyAlignment="1">
      <alignment horizontal="center" vertical="center"/>
    </xf>
    <xf numFmtId="1" fontId="3" fillId="29" borderId="44" xfId="0" applyNumberFormat="1" applyFont="1" applyFill="1" applyBorder="1" applyAlignment="1">
      <alignment horizontal="center" vertical="center"/>
    </xf>
    <xf numFmtId="9" fontId="3" fillId="29" borderId="65" xfId="1" applyFont="1" applyFill="1" applyBorder="1" applyAlignment="1">
      <alignment horizontal="center" vertical="center"/>
    </xf>
    <xf numFmtId="0" fontId="5" fillId="25" borderId="77" xfId="0" applyFont="1" applyFill="1" applyBorder="1" applyAlignment="1">
      <alignment horizontal="center" vertical="center" wrapText="1"/>
    </xf>
    <xf numFmtId="166" fontId="5" fillId="25" borderId="77" xfId="0" applyNumberFormat="1" applyFont="1" applyFill="1" applyBorder="1" applyAlignment="1">
      <alignment horizontal="center" vertical="center" wrapText="1"/>
    </xf>
    <xf numFmtId="164" fontId="5" fillId="25" borderId="77" xfId="0" applyNumberFormat="1" applyFont="1" applyFill="1" applyBorder="1" applyAlignment="1">
      <alignment horizontal="center" vertical="center" wrapText="1"/>
    </xf>
    <xf numFmtId="0" fontId="5" fillId="25" borderId="80" xfId="0" applyFont="1" applyFill="1" applyBorder="1" applyAlignment="1">
      <alignment horizontal="center" vertical="center" wrapText="1"/>
    </xf>
    <xf numFmtId="0" fontId="6" fillId="32" borderId="75" xfId="0" applyFont="1" applyFill="1" applyBorder="1" applyAlignment="1">
      <alignment horizontal="center" vertical="center"/>
    </xf>
    <xf numFmtId="171" fontId="6" fillId="32" borderId="72" xfId="0" applyNumberFormat="1" applyFont="1" applyFill="1" applyBorder="1" applyAlignment="1">
      <alignment horizontal="center" vertical="center"/>
    </xf>
    <xf numFmtId="171" fontId="6" fillId="32" borderId="73" xfId="0" applyNumberFormat="1" applyFont="1" applyFill="1" applyBorder="1" applyAlignment="1">
      <alignment horizontal="center" vertical="center"/>
    </xf>
    <xf numFmtId="171" fontId="0" fillId="32" borderId="75" xfId="0" applyNumberFormat="1" applyFill="1" applyBorder="1" applyAlignment="1">
      <alignment horizontal="center" vertical="center"/>
    </xf>
    <xf numFmtId="171" fontId="0" fillId="32" borderId="71" xfId="0" applyNumberFormat="1" applyFill="1" applyBorder="1" applyAlignment="1">
      <alignment horizontal="center" vertical="center"/>
    </xf>
    <xf numFmtId="10" fontId="0" fillId="32" borderId="81" xfId="1" applyNumberFormat="1" applyFont="1" applyFill="1" applyBorder="1" applyAlignment="1">
      <alignment horizontal="center" vertical="center"/>
    </xf>
    <xf numFmtId="0" fontId="0" fillId="30" borderId="73" xfId="0" applyFill="1" applyBorder="1" applyAlignment="1">
      <alignment horizontal="center" vertical="center"/>
    </xf>
    <xf numFmtId="171" fontId="0" fillId="32" borderId="73" xfId="0" applyNumberFormat="1" applyFill="1" applyBorder="1" applyAlignment="1">
      <alignment horizontal="center" vertical="center"/>
    </xf>
    <xf numFmtId="10" fontId="6" fillId="32" borderId="81" xfId="1" applyNumberFormat="1" applyFont="1" applyFill="1" applyBorder="1" applyAlignment="1">
      <alignment horizontal="center" vertical="center"/>
    </xf>
    <xf numFmtId="0" fontId="5" fillId="25" borderId="85" xfId="0" applyFont="1" applyFill="1" applyBorder="1" applyAlignment="1">
      <alignment horizontal="center" vertical="center" wrapText="1"/>
    </xf>
    <xf numFmtId="0" fontId="5" fillId="25" borderId="78" xfId="0" applyFont="1" applyFill="1" applyBorder="1" applyAlignment="1">
      <alignment horizontal="center" vertical="center" wrapText="1"/>
    </xf>
    <xf numFmtId="0" fontId="5" fillId="25" borderId="84" xfId="0" applyFont="1" applyFill="1" applyBorder="1" applyAlignment="1">
      <alignment horizontal="center" vertical="center" wrapText="1"/>
    </xf>
    <xf numFmtId="0" fontId="5" fillId="25" borderId="87" xfId="0" applyFont="1" applyFill="1" applyBorder="1" applyAlignment="1">
      <alignment horizontal="center" vertical="center" wrapText="1"/>
    </xf>
    <xf numFmtId="164" fontId="0" fillId="32" borderId="75" xfId="0" applyNumberFormat="1" applyFill="1" applyBorder="1" applyAlignment="1">
      <alignment horizontal="center" vertical="center"/>
    </xf>
    <xf numFmtId="164" fontId="0" fillId="2" borderId="77" xfId="0" applyNumberFormat="1" applyFill="1" applyBorder="1" applyAlignment="1">
      <alignment horizontal="center" vertical="center"/>
    </xf>
    <xf numFmtId="0" fontId="0" fillId="30" borderId="59" xfId="0" applyFill="1" applyBorder="1" applyAlignment="1">
      <alignment horizontal="center" vertical="center"/>
    </xf>
    <xf numFmtId="170" fontId="0" fillId="2" borderId="44" xfId="0" applyNumberFormat="1" applyFill="1" applyBorder="1" applyAlignment="1">
      <alignment horizontal="center"/>
    </xf>
    <xf numFmtId="0" fontId="0" fillId="27" borderId="57" xfId="0" applyFill="1" applyBorder="1" applyAlignment="1">
      <alignment horizontal="center" vertical="center"/>
    </xf>
    <xf numFmtId="1" fontId="6" fillId="2" borderId="57" xfId="0" applyNumberFormat="1" applyFont="1" applyFill="1" applyBorder="1" applyAlignment="1">
      <alignment horizontal="center" vertical="center"/>
    </xf>
    <xf numFmtId="9" fontId="6" fillId="2" borderId="58" xfId="1" applyFont="1" applyFill="1" applyBorder="1" applyAlignment="1">
      <alignment horizontal="center" vertical="center"/>
    </xf>
    <xf numFmtId="164" fontId="0" fillId="2" borderId="57" xfId="0" applyNumberFormat="1" applyFill="1" applyBorder="1" applyAlignment="1">
      <alignment horizontal="center" vertical="center"/>
    </xf>
    <xf numFmtId="0" fontId="0" fillId="27" borderId="77" xfId="0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77" xfId="0" applyNumberFormat="1" applyFont="1" applyFill="1" applyBorder="1" applyAlignment="1">
      <alignment horizontal="center"/>
    </xf>
    <xf numFmtId="164" fontId="0" fillId="2" borderId="91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0" fontId="0" fillId="27" borderId="3" xfId="0" applyFont="1" applyFill="1" applyBorder="1"/>
    <xf numFmtId="0" fontId="0" fillId="27" borderId="43" xfId="0" applyFont="1" applyFill="1" applyBorder="1"/>
    <xf numFmtId="0" fontId="0" fillId="27" borderId="76" xfId="0" applyFont="1" applyFill="1" applyBorder="1"/>
    <xf numFmtId="0" fontId="6" fillId="36" borderId="80" xfId="0" applyFont="1" applyFill="1" applyBorder="1" applyAlignment="1">
      <alignment horizontal="center" vertical="center"/>
    </xf>
    <xf numFmtId="0" fontId="6" fillId="36" borderId="97" xfId="0" applyFont="1" applyFill="1" applyBorder="1" applyAlignment="1">
      <alignment horizontal="center" vertical="center"/>
    </xf>
    <xf numFmtId="0" fontId="6" fillId="36" borderId="6" xfId="0" applyFont="1" applyFill="1" applyBorder="1" applyAlignment="1">
      <alignment horizontal="center" vertical="center"/>
    </xf>
    <xf numFmtId="0" fontId="40" fillId="34" borderId="98" xfId="0" applyFont="1" applyFill="1" applyBorder="1" applyAlignment="1">
      <alignment horizontal="center" vertical="center" wrapText="1"/>
    </xf>
    <xf numFmtId="0" fontId="40" fillId="34" borderId="99" xfId="0" applyFont="1" applyFill="1" applyBorder="1" applyAlignment="1">
      <alignment horizontal="center" vertical="center" wrapText="1"/>
    </xf>
    <xf numFmtId="0" fontId="40" fillId="34" borderId="100" xfId="0" applyFont="1" applyFill="1" applyBorder="1" applyAlignment="1">
      <alignment horizontal="center" vertical="center" wrapText="1"/>
    </xf>
    <xf numFmtId="0" fontId="40" fillId="34" borderId="15" xfId="0" applyFont="1" applyFill="1" applyBorder="1" applyAlignment="1">
      <alignment horizontal="center" vertical="center" wrapText="1"/>
    </xf>
    <xf numFmtId="0" fontId="40" fillId="34" borderId="5" xfId="0" applyFont="1" applyFill="1" applyBorder="1" applyAlignment="1">
      <alignment horizontal="center" vertical="center" wrapText="1"/>
    </xf>
    <xf numFmtId="0" fontId="0" fillId="27" borderId="96" xfId="0" applyFont="1" applyFill="1" applyBorder="1"/>
    <xf numFmtId="1" fontId="40" fillId="34" borderId="53" xfId="0" applyNumberFormat="1" applyFont="1" applyFill="1" applyBorder="1" applyAlignment="1">
      <alignment horizontal="center"/>
    </xf>
    <xf numFmtId="1" fontId="40" fillId="34" borderId="44" xfId="0" applyNumberFormat="1" applyFont="1" applyFill="1" applyBorder="1" applyAlignment="1">
      <alignment horizontal="center"/>
    </xf>
    <xf numFmtId="1" fontId="40" fillId="34" borderId="51" xfId="0" applyNumberFormat="1" applyFont="1" applyFill="1" applyBorder="1" applyAlignment="1">
      <alignment horizontal="center"/>
    </xf>
    <xf numFmtId="0" fontId="0" fillId="36" borderId="0" xfId="0" applyFill="1"/>
    <xf numFmtId="167" fontId="6" fillId="36" borderId="0" xfId="0" applyNumberFormat="1" applyFont="1" applyFill="1" applyBorder="1" applyAlignment="1">
      <alignment horizontal="center"/>
    </xf>
    <xf numFmtId="0" fontId="31" fillId="36" borderId="0" xfId="0" applyFont="1" applyFill="1"/>
    <xf numFmtId="0" fontId="6" fillId="36" borderId="0" xfId="0" applyFont="1" applyFill="1"/>
    <xf numFmtId="168" fontId="0" fillId="36" borderId="0" xfId="0" applyNumberFormat="1" applyFont="1" applyFill="1" applyBorder="1" applyAlignment="1">
      <alignment horizontal="center" vertical="center"/>
    </xf>
    <xf numFmtId="0" fontId="0" fillId="36" borderId="0" xfId="0" applyFill="1" applyBorder="1"/>
    <xf numFmtId="0" fontId="0" fillId="27" borderId="49" xfId="0" applyFont="1" applyFill="1" applyBorder="1" applyAlignment="1">
      <alignment horizontal="left"/>
    </xf>
    <xf numFmtId="0" fontId="0" fillId="27" borderId="87" xfId="0" applyFont="1" applyFill="1" applyBorder="1" applyAlignment="1">
      <alignment horizontal="left"/>
    </xf>
    <xf numFmtId="0" fontId="0" fillId="27" borderId="65" xfId="0" applyFill="1" applyBorder="1" applyAlignment="1">
      <alignment horizontal="left"/>
    </xf>
    <xf numFmtId="0" fontId="40" fillId="34" borderId="60" xfId="0" applyFont="1" applyFill="1" applyBorder="1" applyAlignment="1">
      <alignment horizontal="left"/>
    </xf>
    <xf numFmtId="0" fontId="0" fillId="27" borderId="49" xfId="0" applyFill="1" applyBorder="1" applyAlignment="1">
      <alignment horizontal="left"/>
    </xf>
    <xf numFmtId="0" fontId="0" fillId="27" borderId="101" xfId="0" applyFont="1" applyFill="1" applyBorder="1" applyAlignment="1">
      <alignment horizontal="left"/>
    </xf>
    <xf numFmtId="1" fontId="40" fillId="34" borderId="53" xfId="0" applyNumberFormat="1" applyFont="1" applyFill="1" applyBorder="1" applyAlignment="1">
      <alignment horizontal="center" vertical="center"/>
    </xf>
    <xf numFmtId="1" fontId="40" fillId="34" borderId="51" xfId="0" applyNumberFormat="1" applyFont="1" applyFill="1" applyBorder="1" applyAlignment="1">
      <alignment horizontal="center" vertical="center"/>
    </xf>
    <xf numFmtId="0" fontId="42" fillId="34" borderId="40" xfId="0" applyFont="1" applyFill="1" applyBorder="1" applyAlignment="1">
      <alignment horizontal="center" vertical="center" wrapText="1"/>
    </xf>
    <xf numFmtId="0" fontId="42" fillId="34" borderId="60" xfId="0" applyFont="1" applyFill="1" applyBorder="1" applyAlignment="1">
      <alignment horizontal="center" vertical="center" wrapText="1"/>
    </xf>
    <xf numFmtId="0" fontId="42" fillId="34" borderId="53" xfId="0" applyFont="1" applyFill="1" applyBorder="1" applyAlignment="1">
      <alignment horizontal="center" vertical="center" wrapText="1"/>
    </xf>
    <xf numFmtId="0" fontId="42" fillId="34" borderId="51" xfId="0" applyFont="1" applyFill="1" applyBorder="1" applyAlignment="1">
      <alignment horizontal="center" vertical="center" wrapText="1"/>
    </xf>
    <xf numFmtId="0" fontId="42" fillId="34" borderId="52" xfId="0" applyFont="1" applyFill="1" applyBorder="1" applyAlignment="1">
      <alignment horizontal="center" vertical="center" wrapText="1"/>
    </xf>
    <xf numFmtId="0" fontId="0" fillId="27" borderId="54" xfId="0" applyFill="1" applyBorder="1"/>
    <xf numFmtId="0" fontId="40" fillId="34" borderId="47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wrapText="1"/>
    </xf>
    <xf numFmtId="14" fontId="6" fillId="36" borderId="6" xfId="0" applyNumberFormat="1" applyFont="1" applyFill="1" applyBorder="1" applyAlignment="1">
      <alignment horizontal="center" vertical="center"/>
    </xf>
    <xf numFmtId="0" fontId="40" fillId="34" borderId="76" xfId="0" applyFont="1" applyFill="1" applyBorder="1" applyAlignment="1">
      <alignment horizontal="center" vertical="center"/>
    </xf>
    <xf numFmtId="164" fontId="40" fillId="34" borderId="77" xfId="0" applyNumberFormat="1" applyFont="1" applyFill="1" applyBorder="1" applyAlignment="1">
      <alignment horizontal="center" vertical="center"/>
    </xf>
    <xf numFmtId="164" fontId="40" fillId="34" borderId="90" xfId="0" applyNumberFormat="1" applyFont="1" applyFill="1" applyBorder="1" applyAlignment="1">
      <alignment horizontal="center" vertical="center"/>
    </xf>
    <xf numFmtId="164" fontId="40" fillId="34" borderId="79" xfId="0" applyNumberFormat="1" applyFont="1" applyFill="1" applyBorder="1" applyAlignment="1">
      <alignment horizontal="center" vertical="center"/>
    </xf>
    <xf numFmtId="0" fontId="30" fillId="34" borderId="77" xfId="0" applyFont="1" applyFill="1" applyBorder="1" applyAlignment="1">
      <alignment horizontal="center" vertical="center"/>
    </xf>
    <xf numFmtId="164" fontId="2" fillId="30" borderId="77" xfId="0" applyNumberFormat="1" applyFont="1" applyFill="1" applyBorder="1" applyAlignment="1">
      <alignment horizontal="center"/>
    </xf>
    <xf numFmtId="0" fontId="41" fillId="29" borderId="77" xfId="0" applyFont="1" applyFill="1" applyBorder="1" applyAlignment="1">
      <alignment horizontal="center" vertical="center" wrapText="1"/>
    </xf>
    <xf numFmtId="164" fontId="0" fillId="32" borderId="71" xfId="0" applyNumberFormat="1" applyFont="1" applyFill="1" applyBorder="1" applyAlignment="1">
      <alignment horizontal="center" vertical="center"/>
    </xf>
    <xf numFmtId="164" fontId="0" fillId="30" borderId="91" xfId="0" applyNumberFormat="1" applyFont="1" applyFill="1" applyBorder="1" applyAlignment="1">
      <alignment horizontal="center" vertical="center"/>
    </xf>
    <xf numFmtId="10" fontId="0" fillId="30" borderId="97" xfId="1" applyNumberFormat="1" applyFont="1" applyFill="1" applyBorder="1" applyAlignment="1">
      <alignment horizontal="center" vertical="center"/>
    </xf>
    <xf numFmtId="10" fontId="0" fillId="33" borderId="97" xfId="1" applyNumberFormat="1" applyFont="1" applyFill="1" applyBorder="1" applyAlignment="1">
      <alignment horizontal="center" vertical="center"/>
    </xf>
    <xf numFmtId="164" fontId="0" fillId="33" borderId="91" xfId="0" applyNumberFormat="1" applyFont="1" applyFill="1" applyBorder="1" applyAlignment="1">
      <alignment horizontal="center" vertical="center"/>
    </xf>
    <xf numFmtId="0" fontId="0" fillId="2" borderId="0" xfId="0" applyFill="1"/>
    <xf numFmtId="169" fontId="6" fillId="30" borderId="83" xfId="0" applyNumberFormat="1" applyFont="1" applyFill="1" applyBorder="1" applyAlignment="1">
      <alignment horizontal="center" vertical="center"/>
    </xf>
    <xf numFmtId="169" fontId="6" fillId="30" borderId="4" xfId="0" applyNumberFormat="1" applyFont="1" applyFill="1" applyBorder="1" applyAlignment="1">
      <alignment horizontal="center" vertical="center"/>
    </xf>
    <xf numFmtId="0" fontId="6" fillId="30" borderId="4" xfId="0" applyFont="1" applyFill="1" applyBorder="1" applyAlignment="1">
      <alignment horizontal="center" vertical="center"/>
    </xf>
    <xf numFmtId="10" fontId="6" fillId="30" borderId="29" xfId="1" applyNumberFormat="1" applyFont="1" applyFill="1" applyBorder="1" applyAlignment="1">
      <alignment horizontal="center" vertical="center"/>
    </xf>
    <xf numFmtId="164" fontId="0" fillId="32" borderId="91" xfId="0" applyNumberFormat="1" applyFill="1" applyBorder="1" applyAlignment="1">
      <alignment horizontal="center" vertical="center"/>
    </xf>
    <xf numFmtId="0" fontId="6" fillId="32" borderId="91" xfId="0" applyFont="1" applyFill="1" applyBorder="1" applyAlignment="1">
      <alignment horizontal="center" vertical="center"/>
    </xf>
    <xf numFmtId="164" fontId="0" fillId="32" borderId="71" xfId="0" applyNumberFormat="1" applyFill="1" applyBorder="1" applyAlignment="1">
      <alignment horizontal="center" vertical="center"/>
    </xf>
    <xf numFmtId="164" fontId="6" fillId="32" borderId="91" xfId="0" applyNumberFormat="1" applyFont="1" applyFill="1" applyBorder="1" applyAlignment="1">
      <alignment horizontal="center" vertical="center"/>
    </xf>
    <xf numFmtId="10" fontId="6" fillId="32" borderId="101" xfId="42082" applyNumberFormat="1" applyFont="1" applyFill="1" applyBorder="1" applyAlignment="1">
      <alignment horizontal="center" vertical="center"/>
    </xf>
    <xf numFmtId="0" fontId="3" fillId="40" borderId="107" xfId="0" applyFont="1" applyFill="1" applyBorder="1"/>
    <xf numFmtId="0" fontId="0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vertical="center"/>
    </xf>
    <xf numFmtId="169" fontId="0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9" fontId="6" fillId="30" borderId="79" xfId="0" applyNumberFormat="1" applyFont="1" applyFill="1" applyBorder="1" applyAlignment="1">
      <alignment horizontal="center" vertical="center"/>
    </xf>
    <xf numFmtId="169" fontId="6" fillId="30" borderId="77" xfId="0" applyNumberFormat="1" applyFont="1" applyFill="1" applyBorder="1" applyAlignment="1">
      <alignment horizontal="center" vertical="center"/>
    </xf>
    <xf numFmtId="0" fontId="6" fillId="30" borderId="77" xfId="0" applyFont="1" applyFill="1" applyBorder="1" applyAlignment="1">
      <alignment horizontal="center" vertical="center"/>
    </xf>
    <xf numFmtId="10" fontId="6" fillId="30" borderId="90" xfId="1" applyNumberFormat="1" applyFont="1" applyFill="1" applyBorder="1" applyAlignment="1">
      <alignment horizontal="center" vertical="center"/>
    </xf>
    <xf numFmtId="0" fontId="0" fillId="29" borderId="26" xfId="0" applyFont="1" applyFill="1" applyBorder="1" applyAlignment="1">
      <alignment horizontal="center" vertical="center"/>
    </xf>
    <xf numFmtId="0" fontId="0" fillId="29" borderId="21" xfId="0" applyFont="1" applyFill="1" applyBorder="1" applyAlignment="1">
      <alignment horizontal="center" vertical="center"/>
    </xf>
    <xf numFmtId="0" fontId="0" fillId="29" borderId="92" xfId="0" applyFont="1" applyFill="1" applyBorder="1" applyAlignment="1">
      <alignment horizontal="center" vertical="center"/>
    </xf>
    <xf numFmtId="0" fontId="0" fillId="29" borderId="15" xfId="0" applyFont="1" applyFill="1" applyBorder="1" applyAlignment="1">
      <alignment horizontal="center" vertical="center"/>
    </xf>
    <xf numFmtId="164" fontId="0" fillId="32" borderId="26" xfId="0" applyNumberFormat="1" applyFont="1" applyFill="1" applyBorder="1" applyAlignment="1">
      <alignment horizontal="center" vertical="center"/>
    </xf>
    <xf numFmtId="10" fontId="0" fillId="32" borderId="24" xfId="1" applyNumberFormat="1" applyFont="1" applyFill="1" applyBorder="1" applyAlignment="1">
      <alignment horizontal="center" vertical="center"/>
    </xf>
    <xf numFmtId="10" fontId="0" fillId="32" borderId="19" xfId="1" applyNumberFormat="1" applyFont="1" applyFill="1" applyBorder="1" applyAlignment="1">
      <alignment horizontal="center" vertical="center"/>
    </xf>
    <xf numFmtId="10" fontId="0" fillId="32" borderId="91" xfId="1" applyNumberFormat="1" applyFont="1" applyFill="1" applyBorder="1" applyAlignment="1">
      <alignment horizontal="center" vertical="center"/>
    </xf>
    <xf numFmtId="10" fontId="0" fillId="33" borderId="91" xfId="1" applyNumberFormat="1" applyFont="1" applyFill="1" applyBorder="1" applyAlignment="1">
      <alignment horizontal="center" vertical="center"/>
    </xf>
    <xf numFmtId="10" fontId="0" fillId="33" borderId="24" xfId="1" applyNumberFormat="1" applyFont="1" applyFill="1" applyBorder="1" applyAlignment="1">
      <alignment horizontal="center" vertical="center"/>
    </xf>
    <xf numFmtId="169" fontId="6" fillId="30" borderId="5" xfId="0" applyNumberFormat="1" applyFont="1" applyFill="1" applyBorder="1" applyAlignment="1">
      <alignment horizontal="center" vertical="center"/>
    </xf>
    <xf numFmtId="10" fontId="6" fillId="30" borderId="4" xfId="1" applyNumberFormat="1" applyFont="1" applyFill="1" applyBorder="1" applyAlignment="1">
      <alignment horizontal="center" vertical="center"/>
    </xf>
    <xf numFmtId="10" fontId="6" fillId="30" borderId="77" xfId="1" applyNumberFormat="1" applyFont="1" applyFill="1" applyBorder="1" applyAlignment="1">
      <alignment horizontal="center" vertical="center"/>
    </xf>
    <xf numFmtId="164" fontId="0" fillId="27" borderId="26" xfId="0" applyNumberFormat="1" applyFont="1" applyFill="1" applyBorder="1" applyAlignment="1">
      <alignment horizontal="center" vertical="center"/>
    </xf>
    <xf numFmtId="10" fontId="0" fillId="27" borderId="24" xfId="1" applyNumberFormat="1" applyFont="1" applyFill="1" applyBorder="1" applyAlignment="1">
      <alignment horizontal="center" vertical="center"/>
    </xf>
    <xf numFmtId="10" fontId="0" fillId="27" borderId="19" xfId="1" applyNumberFormat="1" applyFont="1" applyFill="1" applyBorder="1" applyAlignment="1">
      <alignment horizontal="center" vertical="center"/>
    </xf>
    <xf numFmtId="10" fontId="0" fillId="27" borderId="91" xfId="1" applyNumberFormat="1" applyFont="1" applyFill="1" applyBorder="1" applyAlignment="1">
      <alignment horizontal="center" vertical="center"/>
    </xf>
    <xf numFmtId="164" fontId="0" fillId="27" borderId="92" xfId="0" applyNumberFormat="1" applyFont="1" applyFill="1" applyBorder="1" applyAlignment="1">
      <alignment horizontal="center" vertical="center"/>
    </xf>
    <xf numFmtId="0" fontId="6" fillId="29" borderId="79" xfId="0" applyFont="1" applyFill="1" applyBorder="1" applyAlignment="1">
      <alignment horizontal="center" vertical="center" wrapText="1"/>
    </xf>
    <xf numFmtId="0" fontId="6" fillId="29" borderId="77" xfId="0" applyFont="1" applyFill="1" applyBorder="1" applyAlignment="1">
      <alignment horizontal="center" vertical="center" wrapText="1"/>
    </xf>
    <xf numFmtId="0" fontId="6" fillId="29" borderId="77" xfId="41712" applyFont="1" applyFill="1" applyBorder="1" applyAlignment="1">
      <alignment horizontal="center" vertical="center" wrapText="1"/>
    </xf>
    <xf numFmtId="0" fontId="6" fillId="25" borderId="76" xfId="41712" applyFont="1" applyFill="1" applyBorder="1" applyAlignment="1">
      <alignment horizontal="center" vertical="center" wrapText="1"/>
    </xf>
    <xf numFmtId="0" fontId="6" fillId="25" borderId="79" xfId="0" applyFont="1" applyFill="1" applyBorder="1" applyAlignment="1">
      <alignment horizontal="center" vertical="center" wrapText="1"/>
    </xf>
    <xf numFmtId="0" fontId="6" fillId="25" borderId="77" xfId="0" applyFont="1" applyFill="1" applyBorder="1" applyAlignment="1">
      <alignment horizontal="center" vertical="center" wrapText="1"/>
    </xf>
    <xf numFmtId="0" fontId="6" fillId="25" borderId="77" xfId="41712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0" xfId="0" applyFont="1" applyFill="1"/>
    <xf numFmtId="164" fontId="0" fillId="2" borderId="0" xfId="0" applyNumberFormat="1" applyFill="1"/>
    <xf numFmtId="0" fontId="37" fillId="2" borderId="0" xfId="0" applyFont="1" applyFill="1"/>
    <xf numFmtId="9" fontId="0" fillId="2" borderId="0" xfId="1" applyFont="1" applyFill="1"/>
    <xf numFmtId="0" fontId="3" fillId="40" borderId="104" xfId="0" applyFont="1" applyFill="1" applyBorder="1" applyAlignment="1">
      <alignment horizontal="left"/>
    </xf>
    <xf numFmtId="0" fontId="3" fillId="40" borderId="104" xfId="0" applyNumberFormat="1" applyFont="1" applyFill="1" applyBorder="1"/>
    <xf numFmtId="164" fontId="0" fillId="2" borderId="0" xfId="0" applyNumberFormat="1" applyFont="1" applyFill="1"/>
    <xf numFmtId="1" fontId="0" fillId="2" borderId="0" xfId="0" applyNumberFormat="1" applyFill="1"/>
    <xf numFmtId="0" fontId="0" fillId="0" borderId="0" xfId="0" applyNumberFormat="1"/>
    <xf numFmtId="171" fontId="6" fillId="32" borderId="92" xfId="0" applyNumberFormat="1" applyFont="1" applyFill="1" applyBorder="1" applyAlignment="1">
      <alignment horizontal="center" vertical="center"/>
    </xf>
    <xf numFmtId="171" fontId="0" fillId="32" borderId="91" xfId="0" applyNumberFormat="1" applyFill="1" applyBorder="1" applyAlignment="1">
      <alignment horizontal="center" vertical="center"/>
    </xf>
    <xf numFmtId="171" fontId="6" fillId="32" borderId="91" xfId="0" applyNumberFormat="1" applyFont="1" applyFill="1" applyBorder="1" applyAlignment="1">
      <alignment horizontal="center" vertical="center"/>
    </xf>
    <xf numFmtId="171" fontId="6" fillId="32" borderId="19" xfId="0" applyNumberFormat="1" applyFont="1" applyFill="1" applyBorder="1" applyAlignment="1">
      <alignment horizontal="center" vertical="center"/>
    </xf>
    <xf numFmtId="0" fontId="3" fillId="34" borderId="5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2" xfId="0" applyFont="1" applyFill="1" applyBorder="1"/>
    <xf numFmtId="0" fontId="44" fillId="0" borderId="0" xfId="0" applyFont="1"/>
    <xf numFmtId="0" fontId="40" fillId="34" borderId="66" xfId="0" applyFont="1" applyFill="1" applyBorder="1" applyAlignment="1">
      <alignment horizontal="center" vertical="center"/>
    </xf>
    <xf numFmtId="164" fontId="40" fillId="34" borderId="24" xfId="0" applyNumberFormat="1" applyFont="1" applyFill="1" applyBorder="1" applyAlignment="1">
      <alignment horizontal="center" vertical="center"/>
    </xf>
    <xf numFmtId="164" fontId="40" fillId="34" borderId="26" xfId="0" applyNumberFormat="1" applyFont="1" applyFill="1" applyBorder="1" applyAlignment="1">
      <alignment horizontal="center" vertical="center"/>
    </xf>
    <xf numFmtId="164" fontId="40" fillId="34" borderId="66" xfId="0" applyNumberFormat="1" applyFont="1" applyFill="1" applyBorder="1" applyAlignment="1">
      <alignment horizontal="center" vertical="center"/>
    </xf>
    <xf numFmtId="0" fontId="30" fillId="34" borderId="24" xfId="0" applyFont="1" applyFill="1" applyBorder="1" applyAlignment="1">
      <alignment horizontal="center" vertical="center"/>
    </xf>
    <xf numFmtId="164" fontId="0" fillId="2" borderId="109" xfId="0" applyNumberFormat="1" applyFont="1" applyFill="1" applyBorder="1" applyAlignment="1">
      <alignment horizontal="center"/>
    </xf>
    <xf numFmtId="0" fontId="6" fillId="36" borderId="110" xfId="0" applyFont="1" applyFill="1" applyBorder="1" applyAlignment="1">
      <alignment horizontal="center" vertical="center"/>
    </xf>
    <xf numFmtId="0" fontId="0" fillId="27" borderId="98" xfId="0" applyFont="1" applyFill="1" applyBorder="1"/>
    <xf numFmtId="0" fontId="0" fillId="41" borderId="77" xfId="0" applyFill="1" applyBorder="1" applyAlignment="1">
      <alignment horizontal="left" indent="1"/>
    </xf>
    <xf numFmtId="0" fontId="0" fillId="41" borderId="0" xfId="0" applyNumberFormat="1" applyFill="1"/>
    <xf numFmtId="0" fontId="0" fillId="28" borderId="77" xfId="0" applyNumberFormat="1" applyFill="1" applyBorder="1"/>
    <xf numFmtId="0" fontId="45" fillId="28" borderId="77" xfId="0" applyFont="1" applyFill="1" applyBorder="1"/>
    <xf numFmtId="0" fontId="0" fillId="41" borderId="77" xfId="0" applyNumberFormat="1" applyFill="1" applyBorder="1"/>
    <xf numFmtId="0" fontId="6" fillId="41" borderId="77" xfId="0" applyFont="1" applyFill="1" applyBorder="1" applyAlignment="1">
      <alignment horizontal="center"/>
    </xf>
    <xf numFmtId="0" fontId="6" fillId="28" borderId="77" xfId="0" applyNumberFormat="1" applyFont="1" applyFill="1" applyBorder="1" applyAlignment="1">
      <alignment horizontal="center"/>
    </xf>
    <xf numFmtId="0" fontId="0" fillId="28" borderId="0" xfId="0" applyNumberFormat="1" applyFill="1"/>
    <xf numFmtId="0" fontId="2" fillId="41" borderId="77" xfId="0" applyNumberFormat="1" applyFont="1" applyFill="1" applyBorder="1"/>
    <xf numFmtId="0" fontId="2" fillId="28" borderId="77" xfId="0" applyNumberFormat="1" applyFont="1" applyFill="1" applyBorder="1"/>
    <xf numFmtId="0" fontId="6" fillId="41" borderId="77" xfId="0" applyFont="1" applyFill="1" applyBorder="1" applyAlignment="1">
      <alignment horizontal="left" indent="1"/>
    </xf>
    <xf numFmtId="0" fontId="30" fillId="41" borderId="77" xfId="0" applyNumberFormat="1" applyFont="1" applyFill="1" applyBorder="1"/>
    <xf numFmtId="0" fontId="30" fillId="28" borderId="77" xfId="0" applyNumberFormat="1" applyFont="1" applyFill="1" applyBorder="1"/>
    <xf numFmtId="0" fontId="6" fillId="28" borderId="77" xfId="0" applyNumberFormat="1" applyFont="1" applyFill="1" applyBorder="1"/>
    <xf numFmtId="0" fontId="45" fillId="27" borderId="77" xfId="0" applyFont="1" applyFill="1" applyBorder="1"/>
    <xf numFmtId="0" fontId="0" fillId="27" borderId="77" xfId="0" applyFill="1" applyBorder="1" applyAlignment="1">
      <alignment horizontal="left" indent="1"/>
    </xf>
    <xf numFmtId="0" fontId="0" fillId="27" borderId="0" xfId="0" applyFill="1" applyAlignment="1">
      <alignment horizontal="left" indent="2"/>
    </xf>
    <xf numFmtId="0" fontId="3" fillId="27" borderId="77" xfId="0" applyFont="1" applyFill="1" applyBorder="1"/>
    <xf numFmtId="0" fontId="2" fillId="0" borderId="4" xfId="0" applyNumberFormat="1" applyFont="1" applyBorder="1"/>
    <xf numFmtId="164" fontId="40" fillId="34" borderId="53" xfId="0" applyNumberFormat="1" applyFont="1" applyFill="1" applyBorder="1" applyAlignment="1">
      <alignment horizontal="center"/>
    </xf>
    <xf numFmtId="164" fontId="43" fillId="2" borderId="57" xfId="0" applyNumberFormat="1" applyFont="1" applyFill="1" applyBorder="1" applyAlignment="1">
      <alignment horizontal="center"/>
    </xf>
    <xf numFmtId="1" fontId="30" fillId="2" borderId="53" xfId="0" applyNumberFormat="1" applyFont="1" applyFill="1" applyBorder="1" applyAlignment="1">
      <alignment horizontal="center"/>
    </xf>
    <xf numFmtId="1" fontId="30" fillId="2" borderId="51" xfId="0" applyNumberFormat="1" applyFont="1" applyFill="1" applyBorder="1" applyAlignment="1">
      <alignment horizontal="center"/>
    </xf>
    <xf numFmtId="0" fontId="30" fillId="27" borderId="60" xfId="0" applyFont="1" applyFill="1" applyBorder="1" applyAlignment="1">
      <alignment horizontal="left"/>
    </xf>
    <xf numFmtId="1" fontId="0" fillId="2" borderId="109" xfId="0" applyNumberFormat="1" applyFill="1" applyBorder="1" applyAlignment="1">
      <alignment horizontal="center"/>
    </xf>
    <xf numFmtId="1" fontId="0" fillId="2" borderId="109" xfId="0" applyNumberFormat="1" applyFill="1" applyBorder="1" applyAlignment="1">
      <alignment horizontal="center" vertical="center"/>
    </xf>
    <xf numFmtId="170" fontId="0" fillId="2" borderId="109" xfId="0" applyNumberFormat="1" applyFill="1" applyBorder="1" applyAlignment="1">
      <alignment horizontal="center"/>
    </xf>
    <xf numFmtId="1" fontId="6" fillId="2" borderId="109" xfId="0" applyNumberFormat="1" applyFont="1" applyFill="1" applyBorder="1" applyAlignment="1">
      <alignment horizontal="center"/>
    </xf>
    <xf numFmtId="1" fontId="0" fillId="2" borderId="77" xfId="0" applyNumberFormat="1" applyFill="1" applyBorder="1" applyAlignment="1">
      <alignment horizontal="center"/>
    </xf>
    <xf numFmtId="1" fontId="6" fillId="2" borderId="77" xfId="0" applyNumberFormat="1" applyFont="1" applyFill="1" applyBorder="1" applyAlignment="1">
      <alignment horizontal="center"/>
    </xf>
    <xf numFmtId="164" fontId="0" fillId="2" borderId="77" xfId="0" applyNumberFormat="1" applyFill="1" applyBorder="1" applyAlignment="1">
      <alignment horizontal="center"/>
    </xf>
    <xf numFmtId="1" fontId="0" fillId="2" borderId="79" xfId="0" applyNumberFormat="1" applyFill="1" applyBorder="1" applyAlignment="1">
      <alignment horizontal="center"/>
    </xf>
    <xf numFmtId="1" fontId="0" fillId="2" borderId="89" xfId="0" applyNumberFormat="1" applyFill="1" applyBorder="1" applyAlignment="1">
      <alignment horizontal="center"/>
    </xf>
    <xf numFmtId="0" fontId="0" fillId="27" borderId="103" xfId="0" applyFill="1" applyBorder="1"/>
    <xf numFmtId="0" fontId="0" fillId="27" borderId="114" xfId="0" applyFill="1" applyBorder="1"/>
    <xf numFmtId="0" fontId="0" fillId="27" borderId="115" xfId="0" applyFill="1" applyBorder="1"/>
    <xf numFmtId="1" fontId="30" fillId="25" borderId="53" xfId="0" applyNumberFormat="1" applyFont="1" applyFill="1" applyBorder="1" applyAlignment="1">
      <alignment horizontal="center" vertical="center"/>
    </xf>
    <xf numFmtId="1" fontId="30" fillId="25" borderId="51" xfId="0" applyNumberFormat="1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 vertical="center" wrapText="1"/>
    </xf>
    <xf numFmtId="0" fontId="5" fillId="25" borderId="40" xfId="0" applyFont="1" applyFill="1" applyBorder="1" applyAlignment="1">
      <alignment horizontal="center" vertical="center" wrapText="1"/>
    </xf>
    <xf numFmtId="0" fontId="5" fillId="25" borderId="53" xfId="0" applyFont="1" applyFill="1" applyBorder="1" applyAlignment="1">
      <alignment horizontal="center" vertical="center" wrapText="1"/>
    </xf>
    <xf numFmtId="0" fontId="5" fillId="25" borderId="51" xfId="0" applyFont="1" applyFill="1" applyBorder="1" applyAlignment="1">
      <alignment horizontal="center" vertical="center" wrapText="1"/>
    </xf>
    <xf numFmtId="0" fontId="5" fillId="25" borderId="5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40" borderId="90" xfId="0" applyFont="1" applyFill="1" applyBorder="1"/>
    <xf numFmtId="0" fontId="3" fillId="40" borderId="105" xfId="0" applyFont="1" applyFill="1" applyBorder="1" applyAlignment="1">
      <alignment horizontal="center"/>
    </xf>
    <xf numFmtId="0" fontId="3" fillId="40" borderId="106" xfId="0" applyFont="1" applyFill="1" applyBorder="1" applyAlignment="1">
      <alignment horizontal="center"/>
    </xf>
    <xf numFmtId="0" fontId="3" fillId="40" borderId="108" xfId="0" applyFont="1" applyFill="1" applyBorder="1" applyAlignment="1">
      <alignment horizontal="center"/>
    </xf>
    <xf numFmtId="0" fontId="6" fillId="41" borderId="79" xfId="0" applyFont="1" applyFill="1" applyBorder="1" applyAlignment="1">
      <alignment horizontal="center"/>
    </xf>
    <xf numFmtId="0" fontId="3" fillId="34" borderId="7" xfId="0" applyFont="1" applyFill="1" applyBorder="1" applyAlignment="1">
      <alignment horizontal="center" vertical="center" wrapText="1"/>
    </xf>
    <xf numFmtId="0" fontId="0" fillId="27" borderId="19" xfId="0" applyFill="1" applyBorder="1" applyAlignment="1">
      <alignment horizontal="left" indent="1"/>
    </xf>
    <xf numFmtId="0" fontId="3" fillId="27" borderId="54" xfId="0" applyFont="1" applyFill="1" applyBorder="1"/>
    <xf numFmtId="0" fontId="0" fillId="0" borderId="77" xfId="0" applyBorder="1"/>
    <xf numFmtId="14" fontId="41" fillId="29" borderId="77" xfId="0" applyNumberFormat="1" applyFont="1" applyFill="1" applyBorder="1" applyAlignment="1">
      <alignment horizontal="center" vertical="center" wrapText="1"/>
    </xf>
    <xf numFmtId="0" fontId="41" fillId="29" borderId="19" xfId="0" applyFont="1" applyFill="1" applyBorder="1" applyAlignment="1">
      <alignment horizontal="center" vertical="center" wrapText="1"/>
    </xf>
    <xf numFmtId="0" fontId="30" fillId="2" borderId="77" xfId="0" applyFont="1" applyFill="1" applyBorder="1" applyAlignment="1"/>
    <xf numFmtId="0" fontId="3" fillId="0" borderId="0" xfId="0" applyFont="1" applyAlignment="1">
      <alignment horizontal="left"/>
    </xf>
    <xf numFmtId="0" fontId="0" fillId="27" borderId="79" xfId="0" applyFill="1" applyBorder="1" applyAlignment="1"/>
    <xf numFmtId="0" fontId="0" fillId="27" borderId="79" xfId="0" applyFill="1" applyBorder="1" applyAlignment="1">
      <alignment horizontal="left" indent="1"/>
    </xf>
    <xf numFmtId="0" fontId="3" fillId="0" borderId="77" xfId="0" applyFont="1" applyBorder="1" applyAlignment="1">
      <alignment horizontal="left"/>
    </xf>
    <xf numFmtId="0" fontId="0" fillId="41" borderId="17" xfId="0" applyFont="1" applyFill="1" applyBorder="1" applyAlignment="1">
      <alignment horizontal="left" indent="1"/>
    </xf>
    <xf numFmtId="0" fontId="0" fillId="28" borderId="77" xfId="0" applyNumberFormat="1" applyFont="1" applyFill="1" applyBorder="1"/>
    <xf numFmtId="0" fontId="0" fillId="41" borderId="79" xfId="0" applyFont="1" applyFill="1" applyBorder="1" applyAlignment="1">
      <alignment horizontal="left" indent="1"/>
    </xf>
    <xf numFmtId="0" fontId="0" fillId="41" borderId="77" xfId="0" applyNumberFormat="1" applyFont="1" applyFill="1" applyBorder="1"/>
    <xf numFmtId="0" fontId="0" fillId="41" borderId="79" xfId="0" applyNumberFormat="1" applyFont="1" applyFill="1" applyBorder="1"/>
    <xf numFmtId="0" fontId="6" fillId="2" borderId="0" xfId="0" applyNumberFormat="1" applyFont="1" applyFill="1"/>
    <xf numFmtId="2" fontId="30" fillId="2" borderId="53" xfId="0" applyNumberFormat="1" applyFont="1" applyFill="1" applyBorder="1" applyAlignment="1">
      <alignment horizontal="center"/>
    </xf>
    <xf numFmtId="2" fontId="30" fillId="2" borderId="51" xfId="0" applyNumberFormat="1" applyFont="1" applyFill="1" applyBorder="1" applyAlignment="1">
      <alignment horizontal="center"/>
    </xf>
    <xf numFmtId="0" fontId="40" fillId="34" borderId="8" xfId="0" applyFont="1" applyFill="1" applyBorder="1" applyAlignment="1">
      <alignment horizontal="center" vertical="center" wrapText="1"/>
    </xf>
    <xf numFmtId="0" fontId="40" fillId="34" borderId="7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/>
    </xf>
    <xf numFmtId="14" fontId="0" fillId="2" borderId="0" xfId="0" applyNumberFormat="1" applyFont="1" applyFill="1"/>
    <xf numFmtId="164" fontId="0" fillId="27" borderId="4" xfId="0" applyNumberFormat="1" applyFont="1" applyFill="1" applyBorder="1" applyAlignment="1">
      <alignment horizontal="center"/>
    </xf>
    <xf numFmtId="0" fontId="0" fillId="36" borderId="6" xfId="0" applyFont="1" applyFill="1" applyBorder="1" applyAlignment="1">
      <alignment horizontal="center" vertical="center"/>
    </xf>
    <xf numFmtId="164" fontId="0" fillId="27" borderId="44" xfId="0" applyNumberFormat="1" applyFont="1" applyFill="1" applyBorder="1" applyAlignment="1">
      <alignment horizontal="center"/>
    </xf>
    <xf numFmtId="164" fontId="0" fillId="2" borderId="44" xfId="0" applyNumberFormat="1" applyFont="1" applyFill="1" applyBorder="1" applyAlignment="1">
      <alignment horizontal="center"/>
    </xf>
    <xf numFmtId="0" fontId="0" fillId="36" borderId="100" xfId="0" applyFont="1" applyFill="1" applyBorder="1" applyAlignment="1">
      <alignment horizontal="center" vertical="center"/>
    </xf>
    <xf numFmtId="164" fontId="0" fillId="27" borderId="29" xfId="0" applyNumberFormat="1" applyFont="1" applyFill="1" applyBorder="1" applyAlignment="1">
      <alignment horizontal="center"/>
    </xf>
    <xf numFmtId="164" fontId="0" fillId="27" borderId="17" xfId="0" applyNumberFormat="1" applyFont="1" applyFill="1" applyBorder="1" applyAlignment="1">
      <alignment horizontal="center"/>
    </xf>
    <xf numFmtId="164" fontId="0" fillId="27" borderId="91" xfId="0" applyNumberFormat="1" applyFont="1" applyFill="1" applyBorder="1" applyAlignment="1">
      <alignment horizontal="center"/>
    </xf>
    <xf numFmtId="164" fontId="0" fillId="27" borderId="92" xfId="0" applyNumberFormat="1" applyFont="1" applyFill="1" applyBorder="1" applyAlignment="1">
      <alignment horizontal="center"/>
    </xf>
    <xf numFmtId="164" fontId="0" fillId="27" borderId="89" xfId="0" applyNumberFormat="1" applyFont="1" applyFill="1" applyBorder="1" applyAlignment="1">
      <alignment horizontal="center"/>
    </xf>
    <xf numFmtId="0" fontId="0" fillId="0" borderId="5" xfId="0" applyNumberFormat="1" applyFont="1" applyBorder="1"/>
    <xf numFmtId="164" fontId="0" fillId="27" borderId="77" xfId="0" applyNumberFormat="1" applyFont="1" applyFill="1" applyBorder="1" applyAlignment="1">
      <alignment horizontal="center"/>
    </xf>
    <xf numFmtId="164" fontId="0" fillId="27" borderId="90" xfId="0" applyNumberFormat="1" applyFont="1" applyFill="1" applyBorder="1" applyAlignment="1">
      <alignment horizontal="center"/>
    </xf>
    <xf numFmtId="0" fontId="0" fillId="0" borderId="24" xfId="0" applyNumberFormat="1" applyFont="1" applyBorder="1"/>
    <xf numFmtId="164" fontId="0" fillId="27" borderId="79" xfId="0" applyNumberFormat="1" applyFont="1" applyFill="1" applyBorder="1" applyAlignment="1">
      <alignment horizontal="center"/>
    </xf>
    <xf numFmtId="164" fontId="0" fillId="27" borderId="109" xfId="0" applyNumberFormat="1" applyFont="1" applyFill="1" applyBorder="1" applyAlignment="1">
      <alignment horizontal="center"/>
    </xf>
    <xf numFmtId="164" fontId="0" fillId="2" borderId="71" xfId="0" applyNumberFormat="1" applyFont="1" applyFill="1" applyBorder="1"/>
    <xf numFmtId="0" fontId="0" fillId="36" borderId="80" xfId="0" applyFont="1" applyFill="1" applyBorder="1" applyAlignment="1">
      <alignment horizontal="center" vertical="center"/>
    </xf>
    <xf numFmtId="164" fontId="0" fillId="27" borderId="99" xfId="0" applyNumberFormat="1" applyFont="1" applyFill="1" applyBorder="1" applyAlignment="1">
      <alignment horizontal="center"/>
    </xf>
    <xf numFmtId="2" fontId="0" fillId="2" borderId="12" xfId="0" applyNumberFormat="1" applyFont="1" applyFill="1" applyBorder="1" applyAlignment="1">
      <alignment horizontal="center"/>
    </xf>
    <xf numFmtId="2" fontId="0" fillId="27" borderId="11" xfId="0" applyNumberFormat="1" applyFont="1" applyFill="1" applyBorder="1" applyAlignment="1">
      <alignment horizontal="center"/>
    </xf>
    <xf numFmtId="0" fontId="0" fillId="0" borderId="111" xfId="0" applyNumberFormat="1" applyFont="1" applyBorder="1"/>
    <xf numFmtId="2" fontId="0" fillId="27" borderId="112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0" fillId="0" borderId="0" xfId="0" applyNumberFormat="1" applyFont="1"/>
    <xf numFmtId="0" fontId="3" fillId="34" borderId="10" xfId="0" applyFont="1" applyFill="1" applyBorder="1" applyAlignment="1">
      <alignment horizontal="center" vertical="center" wrapText="1"/>
    </xf>
    <xf numFmtId="0" fontId="3" fillId="34" borderId="12" xfId="0" applyFont="1" applyFill="1" applyBorder="1" applyAlignment="1">
      <alignment horizontal="center" vertical="center"/>
    </xf>
    <xf numFmtId="0" fontId="3" fillId="34" borderId="13" xfId="0" applyFont="1" applyFill="1" applyBorder="1" applyAlignment="1">
      <alignment horizontal="center" vertical="center"/>
    </xf>
    <xf numFmtId="164" fontId="6" fillId="2" borderId="91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6" fillId="32" borderId="77" xfId="0" applyFont="1" applyFill="1" applyBorder="1" applyAlignment="1">
      <alignment horizontal="center" vertical="center" wrapText="1"/>
    </xf>
    <xf numFmtId="0" fontId="6" fillId="32" borderId="77" xfId="41712" applyFont="1" applyFill="1" applyBorder="1" applyAlignment="1">
      <alignment horizontal="center" vertical="center" wrapText="1"/>
    </xf>
    <xf numFmtId="0" fontId="6" fillId="27" borderId="77" xfId="0" applyFont="1" applyFill="1" applyBorder="1" applyAlignment="1">
      <alignment horizontal="center" vertical="center" wrapText="1"/>
    </xf>
    <xf numFmtId="0" fontId="6" fillId="27" borderId="77" xfId="41712" applyFont="1" applyFill="1" applyBorder="1" applyAlignment="1">
      <alignment horizontal="center" vertical="center" wrapText="1"/>
    </xf>
    <xf numFmtId="0" fontId="6" fillId="29" borderId="80" xfId="41712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48" fillId="0" borderId="0" xfId="0" applyFont="1"/>
    <xf numFmtId="0" fontId="0" fillId="2" borderId="0" xfId="0" applyFont="1" applyFill="1" applyAlignment="1">
      <alignment vertical="center"/>
    </xf>
    <xf numFmtId="0" fontId="6" fillId="30" borderId="77" xfId="0" applyFont="1" applyFill="1" applyBorder="1" applyAlignment="1">
      <alignment horizontal="center" vertical="center" wrapText="1"/>
    </xf>
    <xf numFmtId="0" fontId="6" fillId="30" borderId="77" xfId="41712" applyFont="1" applyFill="1" applyBorder="1" applyAlignment="1">
      <alignment horizontal="center" vertical="center" wrapText="1"/>
    </xf>
    <xf numFmtId="0" fontId="6" fillId="30" borderId="90" xfId="41712" applyFont="1" applyFill="1" applyBorder="1" applyAlignment="1">
      <alignment horizontal="center" vertical="center" wrapText="1"/>
    </xf>
    <xf numFmtId="0" fontId="6" fillId="27" borderId="90" xfId="0" applyFont="1" applyFill="1" applyBorder="1" applyAlignment="1">
      <alignment horizontal="center" vertical="center" wrapText="1"/>
    </xf>
    <xf numFmtId="0" fontId="6" fillId="27" borderId="79" xfId="41712" applyFont="1" applyFill="1" applyBorder="1" applyAlignment="1">
      <alignment horizontal="center" vertical="center" wrapText="1"/>
    </xf>
    <xf numFmtId="0" fontId="6" fillId="39" borderId="77" xfId="41712" applyFont="1" applyFill="1" applyBorder="1" applyAlignment="1">
      <alignment horizontal="center" vertical="center" wrapText="1"/>
    </xf>
    <xf numFmtId="0" fontId="6" fillId="39" borderId="77" xfId="0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left"/>
    </xf>
    <xf numFmtId="0" fontId="0" fillId="2" borderId="0" xfId="0" applyNumberFormat="1" applyFont="1" applyFill="1"/>
    <xf numFmtId="0" fontId="0" fillId="0" borderId="0" xfId="0" applyNumberFormat="1" applyFont="1" applyAlignment="1">
      <alignment horizontal="left"/>
    </xf>
    <xf numFmtId="0" fontId="0" fillId="26" borderId="0" xfId="0" applyNumberFormat="1" applyFont="1" applyFill="1"/>
    <xf numFmtId="0" fontId="6" fillId="30" borderId="79" xfId="0" applyFont="1" applyFill="1" applyBorder="1" applyAlignment="1">
      <alignment horizontal="center" vertical="center" wrapText="1"/>
    </xf>
    <xf numFmtId="0" fontId="0" fillId="29" borderId="77" xfId="0" applyFont="1" applyFill="1" applyBorder="1" applyAlignment="1">
      <alignment horizontal="center" vertical="center"/>
    </xf>
    <xf numFmtId="2" fontId="0" fillId="30" borderId="0" xfId="0" applyNumberFormat="1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/>
    </xf>
    <xf numFmtId="9" fontId="0" fillId="30" borderId="26" xfId="1" applyFont="1" applyFill="1" applyBorder="1" applyAlignment="1">
      <alignment horizontal="center" vertical="center"/>
    </xf>
    <xf numFmtId="2" fontId="6" fillId="30" borderId="24" xfId="0" applyNumberFormat="1" applyFont="1" applyFill="1" applyBorder="1" applyAlignment="1">
      <alignment horizontal="center" vertical="center"/>
    </xf>
    <xf numFmtId="9" fontId="0" fillId="30" borderId="24" xfId="1" applyFont="1" applyFill="1" applyBorder="1" applyAlignment="1">
      <alignment horizontal="center" vertical="center"/>
    </xf>
    <xf numFmtId="2" fontId="0" fillId="39" borderId="26" xfId="0" applyNumberFormat="1" applyFont="1" applyFill="1" applyBorder="1" applyAlignment="1">
      <alignment horizontal="center" vertical="center"/>
    </xf>
    <xf numFmtId="2" fontId="0" fillId="39" borderId="0" xfId="0" applyNumberFormat="1" applyFont="1" applyFill="1" applyBorder="1" applyAlignment="1">
      <alignment horizontal="center" vertical="center"/>
    </xf>
    <xf numFmtId="2" fontId="0" fillId="30" borderId="24" xfId="0" applyNumberFormat="1" applyFont="1" applyFill="1" applyBorder="1" applyAlignment="1">
      <alignment horizontal="center" vertical="center"/>
    </xf>
    <xf numFmtId="9" fontId="0" fillId="27" borderId="24" xfId="1" applyFont="1" applyFill="1" applyBorder="1" applyAlignment="1">
      <alignment horizontal="center" vertical="center"/>
    </xf>
    <xf numFmtId="2" fontId="0" fillId="30" borderId="20" xfId="0" applyNumberFormat="1" applyFont="1" applyFill="1" applyBorder="1" applyAlignment="1">
      <alignment horizontal="center" vertical="center"/>
    </xf>
    <xf numFmtId="9" fontId="0" fillId="30" borderId="21" xfId="1" applyFont="1" applyFill="1" applyBorder="1" applyAlignment="1">
      <alignment horizontal="center" vertical="center"/>
    </xf>
    <xf numFmtId="2" fontId="0" fillId="2" borderId="19" xfId="0" applyNumberFormat="1" applyFont="1" applyFill="1" applyBorder="1" applyAlignment="1">
      <alignment horizontal="center" vertical="center"/>
    </xf>
    <xf numFmtId="9" fontId="0" fillId="30" borderId="19" xfId="1" applyFont="1" applyFill="1" applyBorder="1" applyAlignment="1">
      <alignment horizontal="center" vertical="center"/>
    </xf>
    <xf numFmtId="2" fontId="0" fillId="39" borderId="21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/>
    </xf>
    <xf numFmtId="2" fontId="0" fillId="39" borderId="20" xfId="0" applyNumberFormat="1" applyFont="1" applyFill="1" applyBorder="1" applyAlignment="1">
      <alignment horizontal="center" vertical="center"/>
    </xf>
    <xf numFmtId="2" fontId="0" fillId="30" borderId="19" xfId="0" applyNumberFormat="1" applyFont="1" applyFill="1" applyBorder="1" applyAlignment="1">
      <alignment horizontal="center" vertical="center"/>
    </xf>
    <xf numFmtId="9" fontId="0" fillId="27" borderId="19" xfId="1" applyFont="1" applyFill="1" applyBorder="1" applyAlignment="1">
      <alignment horizontal="center" vertical="center"/>
    </xf>
    <xf numFmtId="2" fontId="0" fillId="30" borderId="71" xfId="0" applyNumberFormat="1" applyFont="1" applyFill="1" applyBorder="1" applyAlignment="1">
      <alignment horizontal="center" vertical="center"/>
    </xf>
    <xf numFmtId="0" fontId="0" fillId="0" borderId="91" xfId="0" applyNumberFormat="1" applyFont="1" applyBorder="1" applyAlignment="1">
      <alignment horizontal="center"/>
    </xf>
    <xf numFmtId="2" fontId="0" fillId="2" borderId="91" xfId="0" applyNumberFormat="1" applyFont="1" applyFill="1" applyBorder="1" applyAlignment="1">
      <alignment horizontal="center" vertical="center"/>
    </xf>
    <xf numFmtId="2" fontId="0" fillId="39" borderId="92" xfId="0" applyNumberFormat="1" applyFont="1" applyFill="1" applyBorder="1" applyAlignment="1">
      <alignment horizontal="center" vertical="center"/>
    </xf>
    <xf numFmtId="164" fontId="6" fillId="2" borderId="91" xfId="0" applyNumberFormat="1" applyFont="1" applyFill="1" applyBorder="1" applyAlignment="1">
      <alignment horizontal="center" vertical="center"/>
    </xf>
    <xf numFmtId="2" fontId="0" fillId="39" borderId="71" xfId="0" applyNumberFormat="1" applyFont="1" applyFill="1" applyBorder="1" applyAlignment="1">
      <alignment horizontal="center" vertical="center"/>
    </xf>
    <xf numFmtId="2" fontId="0" fillId="30" borderId="91" xfId="0" applyNumberFormat="1" applyFont="1" applyFill="1" applyBorder="1" applyAlignment="1">
      <alignment horizontal="center" vertical="center"/>
    </xf>
    <xf numFmtId="2" fontId="0" fillId="0" borderId="91" xfId="0" applyNumberFormat="1" applyFont="1" applyFill="1" applyBorder="1" applyAlignment="1">
      <alignment horizontal="center" vertical="center"/>
    </xf>
    <xf numFmtId="9" fontId="0" fillId="30" borderId="92" xfId="1" applyFont="1" applyFill="1" applyBorder="1" applyAlignment="1">
      <alignment horizontal="center" vertical="center"/>
    </xf>
    <xf numFmtId="9" fontId="0" fillId="30" borderId="91" xfId="1" applyFont="1" applyFill="1" applyBorder="1" applyAlignment="1">
      <alignment horizontal="center" vertical="center"/>
    </xf>
    <xf numFmtId="170" fontId="0" fillId="2" borderId="19" xfId="0" applyNumberFormat="1" applyFont="1" applyFill="1" applyBorder="1" applyAlignment="1">
      <alignment horizontal="center" vertical="center"/>
    </xf>
    <xf numFmtId="170" fontId="0" fillId="2" borderId="24" xfId="0" applyNumberFormat="1" applyFont="1" applyFill="1" applyBorder="1" applyAlignment="1">
      <alignment horizontal="center" vertical="center"/>
    </xf>
    <xf numFmtId="2" fontId="0" fillId="2" borderId="24" xfId="0" applyNumberFormat="1" applyFont="1" applyFill="1" applyBorder="1" applyAlignment="1">
      <alignment horizontal="center" vertical="center"/>
    </xf>
    <xf numFmtId="0" fontId="0" fillId="39" borderId="24" xfId="0" applyNumberFormat="1" applyFont="1" applyFill="1" applyBorder="1" applyAlignment="1">
      <alignment horizontal="center"/>
    </xf>
    <xf numFmtId="169" fontId="6" fillId="39" borderId="77" xfId="0" applyNumberFormat="1" applyFont="1" applyFill="1" applyBorder="1" applyAlignment="1">
      <alignment horizontal="center" vertical="center"/>
    </xf>
    <xf numFmtId="10" fontId="6" fillId="39" borderId="90" xfId="1" applyNumberFormat="1" applyFont="1" applyFill="1" applyBorder="1" applyAlignment="1">
      <alignment horizontal="center" vertical="center"/>
    </xf>
    <xf numFmtId="169" fontId="6" fillId="39" borderId="90" xfId="0" applyNumberFormat="1" applyFont="1" applyFill="1" applyBorder="1" applyAlignment="1">
      <alignment horizontal="center" vertical="center"/>
    </xf>
    <xf numFmtId="169" fontId="6" fillId="39" borderId="79" xfId="0" applyNumberFormat="1" applyFont="1" applyFill="1" applyBorder="1" applyAlignment="1">
      <alignment horizontal="center" vertical="center"/>
    </xf>
    <xf numFmtId="9" fontId="6" fillId="39" borderId="77" xfId="1" applyNumberFormat="1" applyFont="1" applyFill="1" applyBorder="1" applyAlignment="1">
      <alignment horizontal="center" vertical="center"/>
    </xf>
    <xf numFmtId="176" fontId="6" fillId="39" borderId="77" xfId="0" applyNumberFormat="1" applyFont="1" applyFill="1" applyBorder="1" applyAlignment="1">
      <alignment horizontal="center" vertical="center"/>
    </xf>
    <xf numFmtId="9" fontId="6" fillId="39" borderId="77" xfId="1" applyFont="1" applyFill="1" applyBorder="1" applyAlignment="1">
      <alignment horizontal="center" vertical="center"/>
    </xf>
    <xf numFmtId="164" fontId="0" fillId="39" borderId="77" xfId="0" applyNumberFormat="1" applyFont="1" applyFill="1" applyBorder="1" applyAlignment="1">
      <alignment horizontal="center" vertical="center"/>
    </xf>
    <xf numFmtId="164" fontId="0" fillId="39" borderId="90" xfId="0" applyNumberFormat="1" applyFont="1" applyFill="1" applyBorder="1" applyAlignment="1">
      <alignment horizontal="center" vertical="center"/>
    </xf>
    <xf numFmtId="176" fontId="0" fillId="39" borderId="77" xfId="0" applyNumberFormat="1" applyFont="1" applyFill="1" applyBorder="1" applyAlignment="1">
      <alignment horizontal="center" vertical="center"/>
    </xf>
    <xf numFmtId="0" fontId="47" fillId="2" borderId="0" xfId="0" applyFont="1" applyFill="1"/>
    <xf numFmtId="0" fontId="40" fillId="2" borderId="0" xfId="0" applyFont="1" applyFill="1"/>
    <xf numFmtId="1" fontId="0" fillId="2" borderId="0" xfId="0" applyNumberFormat="1" applyFont="1" applyFill="1"/>
    <xf numFmtId="169" fontId="0" fillId="2" borderId="0" xfId="0" applyNumberFormat="1" applyFont="1" applyFill="1"/>
    <xf numFmtId="170" fontId="0" fillId="2" borderId="0" xfId="0" applyNumberFormat="1" applyFont="1" applyFill="1"/>
    <xf numFmtId="0" fontId="0" fillId="2" borderId="109" xfId="0" applyFont="1" applyFill="1" applyBorder="1" applyAlignment="1">
      <alignment horizontal="left"/>
    </xf>
    <xf numFmtId="0" fontId="0" fillId="2" borderId="24" xfId="0" applyNumberFormat="1" applyFont="1" applyFill="1" applyBorder="1"/>
    <xf numFmtId="0" fontId="0" fillId="0" borderId="24" xfId="0" applyFont="1" applyBorder="1" applyAlignment="1">
      <alignment horizontal="left"/>
    </xf>
    <xf numFmtId="0" fontId="0" fillId="2" borderId="24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19" xfId="0" applyFont="1" applyFill="1" applyBorder="1"/>
    <xf numFmtId="0" fontId="0" fillId="30" borderId="26" xfId="0" applyNumberFormat="1" applyFont="1" applyFill="1" applyBorder="1"/>
    <xf numFmtId="0" fontId="0" fillId="30" borderId="0" xfId="0" applyNumberFormat="1" applyFont="1" applyFill="1" applyBorder="1"/>
    <xf numFmtId="0" fontId="0" fillId="40" borderId="0" xfId="0" applyNumberFormat="1" applyFont="1" applyFill="1" applyBorder="1"/>
    <xf numFmtId="0" fontId="0" fillId="40" borderId="90" xfId="0" applyNumberFormat="1" applyFont="1" applyFill="1" applyBorder="1"/>
    <xf numFmtId="0" fontId="0" fillId="40" borderId="79" xfId="0" applyNumberFormat="1" applyFont="1" applyFill="1" applyBorder="1"/>
    <xf numFmtId="0" fontId="0" fillId="40" borderId="84" xfId="0" applyNumberFormat="1" applyFont="1" applyFill="1" applyBorder="1"/>
    <xf numFmtId="0" fontId="0" fillId="43" borderId="77" xfId="0" applyNumberFormat="1" applyFont="1" applyFill="1" applyBorder="1"/>
    <xf numFmtId="164" fontId="6" fillId="2" borderId="0" xfId="0" applyNumberFormat="1" applyFont="1" applyFill="1" applyAlignment="1">
      <alignment horizontal="left"/>
    </xf>
    <xf numFmtId="0" fontId="49" fillId="2" borderId="0" xfId="0" applyFont="1" applyFill="1" applyAlignment="1">
      <alignment horizontal="left"/>
    </xf>
    <xf numFmtId="0" fontId="30" fillId="2" borderId="19" xfId="0" applyFont="1" applyFill="1" applyBorder="1" applyAlignment="1">
      <alignment horizontal="left" wrapText="1"/>
    </xf>
    <xf numFmtId="0" fontId="30" fillId="2" borderId="19" xfId="0" applyFont="1" applyFill="1" applyBorder="1" applyAlignment="1">
      <alignment horizontal="center"/>
    </xf>
    <xf numFmtId="0" fontId="30" fillId="2" borderId="77" xfId="0" applyFont="1" applyFill="1" applyBorder="1" applyAlignment="1">
      <alignment horizontal="left" wrapText="1"/>
    </xf>
    <xf numFmtId="0" fontId="30" fillId="2" borderId="0" xfId="0" applyFont="1" applyFill="1" applyBorder="1" applyAlignment="1">
      <alignment horizontal="left" wrapText="1"/>
    </xf>
    <xf numFmtId="0" fontId="0" fillId="2" borderId="0" xfId="0" applyFont="1" applyFill="1" applyAlignment="1">
      <alignment horizontal="right"/>
    </xf>
    <xf numFmtId="0" fontId="6" fillId="2" borderId="77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6" fillId="2" borderId="76" xfId="0" applyFont="1" applyFill="1" applyBorder="1" applyAlignment="1">
      <alignment horizontal="center"/>
    </xf>
    <xf numFmtId="0" fontId="0" fillId="0" borderId="77" xfId="0" applyFont="1" applyFill="1" applyBorder="1" applyAlignment="1">
      <alignment horizontal="center"/>
    </xf>
    <xf numFmtId="166" fontId="30" fillId="2" borderId="80" xfId="0" applyNumberFormat="1" applyFont="1" applyFill="1" applyBorder="1" applyAlignment="1">
      <alignment horizontal="center"/>
    </xf>
    <xf numFmtId="0" fontId="30" fillId="2" borderId="93" xfId="0" applyFont="1" applyFill="1" applyBorder="1" applyAlignment="1">
      <alignment horizontal="center" wrapText="1"/>
    </xf>
    <xf numFmtId="166" fontId="30" fillId="2" borderId="94" xfId="0" applyNumberFormat="1" applyFont="1" applyFill="1" applyBorder="1" applyAlignment="1">
      <alignment horizontal="center"/>
    </xf>
    <xf numFmtId="166" fontId="30" fillId="2" borderId="95" xfId="0" applyNumberFormat="1" applyFont="1" applyFill="1" applyBorder="1" applyAlignment="1">
      <alignment horizontal="center"/>
    </xf>
    <xf numFmtId="14" fontId="6" fillId="2" borderId="77" xfId="0" applyNumberFormat="1" applyFont="1" applyFill="1" applyBorder="1" applyAlignment="1">
      <alignment horizontal="center"/>
    </xf>
    <xf numFmtId="0" fontId="6" fillId="2" borderId="0" xfId="0" applyFont="1" applyFill="1" applyAlignment="1"/>
    <xf numFmtId="0" fontId="30" fillId="2" borderId="19" xfId="0" applyFont="1" applyFill="1" applyBorder="1" applyAlignment="1">
      <alignment horizontal="center" wrapText="1"/>
    </xf>
    <xf numFmtId="0" fontId="6" fillId="2" borderId="77" xfId="0" applyFont="1" applyFill="1" applyBorder="1" applyAlignment="1"/>
    <xf numFmtId="166" fontId="6" fillId="2" borderId="77" xfId="0" applyNumberFormat="1" applyFont="1" applyFill="1" applyBorder="1" applyAlignment="1"/>
    <xf numFmtId="166" fontId="30" fillId="2" borderId="77" xfId="0" applyNumberFormat="1" applyFont="1" applyFill="1" applyBorder="1" applyAlignment="1"/>
    <xf numFmtId="166" fontId="30" fillId="2" borderId="0" xfId="0" applyNumberFormat="1" applyFont="1" applyFill="1" applyBorder="1" applyAlignment="1"/>
    <xf numFmtId="0" fontId="6" fillId="32" borderId="77" xfId="0" applyFont="1" applyFill="1" applyBorder="1" applyAlignment="1">
      <alignment horizontal="center" wrapText="1"/>
    </xf>
    <xf numFmtId="0" fontId="6" fillId="32" borderId="77" xfId="0" applyFont="1" applyFill="1" applyBorder="1" applyAlignment="1">
      <alignment horizontal="center"/>
    </xf>
    <xf numFmtId="0" fontId="6" fillId="2" borderId="79" xfId="0" applyFont="1" applyFill="1" applyBorder="1" applyAlignment="1">
      <alignment horizontal="center" wrapText="1"/>
    </xf>
    <xf numFmtId="164" fontId="6" fillId="2" borderId="77" xfId="0" applyNumberFormat="1" applyFont="1" applyFill="1" applyBorder="1" applyAlignment="1">
      <alignment horizontal="center"/>
    </xf>
    <xf numFmtId="173" fontId="6" fillId="2" borderId="72" xfId="0" applyNumberFormat="1" applyFont="1" applyFill="1" applyBorder="1" applyAlignment="1"/>
    <xf numFmtId="0" fontId="6" fillId="2" borderId="54" xfId="0" applyFont="1" applyFill="1" applyBorder="1" applyAlignment="1"/>
    <xf numFmtId="0" fontId="6" fillId="2" borderId="77" xfId="0" applyFont="1" applyFill="1" applyBorder="1" applyAlignment="1">
      <alignment horizontal="center" wrapText="1"/>
    </xf>
    <xf numFmtId="0" fontId="2" fillId="2" borderId="77" xfId="0" applyFont="1" applyFill="1" applyBorder="1" applyAlignment="1">
      <alignment horizontal="center"/>
    </xf>
    <xf numFmtId="173" fontId="2" fillId="2" borderId="72" xfId="0" applyNumberFormat="1" applyFont="1" applyFill="1" applyBorder="1" applyAlignment="1"/>
    <xf numFmtId="0" fontId="47" fillId="29" borderId="90" xfId="0" applyFont="1" applyFill="1" applyBorder="1" applyAlignment="1">
      <alignment horizontal="center" wrapText="1"/>
    </xf>
    <xf numFmtId="0" fontId="47" fillId="29" borderId="77" xfId="0" applyFont="1" applyFill="1" applyBorder="1" applyAlignment="1">
      <alignment horizontal="center" wrapText="1"/>
    </xf>
    <xf numFmtId="0" fontId="48" fillId="44" borderId="116" xfId="0" applyFont="1" applyFill="1" applyBorder="1" applyAlignment="1">
      <alignment horizontal="left" wrapText="1"/>
    </xf>
    <xf numFmtId="174" fontId="48" fillId="44" borderId="116" xfId="0" applyNumberFormat="1" applyFont="1" applyFill="1" applyBorder="1" applyAlignment="1">
      <alignment horizontal="left" wrapText="1"/>
    </xf>
    <xf numFmtId="0" fontId="48" fillId="0" borderId="0" xfId="0" applyFont="1" applyAlignment="1"/>
    <xf numFmtId="174" fontId="6" fillId="2" borderId="0" xfId="0" applyNumberFormat="1" applyFont="1" applyFill="1" applyAlignment="1"/>
    <xf numFmtId="164" fontId="6" fillId="2" borderId="26" xfId="0" applyNumberFormat="1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0" fontId="6" fillId="2" borderId="91" xfId="0" applyFont="1" applyFill="1" applyBorder="1" applyAlignment="1">
      <alignment horizontal="center"/>
    </xf>
    <xf numFmtId="164" fontId="6" fillId="30" borderId="77" xfId="0" applyNumberFormat="1" applyFont="1" applyFill="1" applyBorder="1" applyAlignment="1">
      <alignment horizontal="center"/>
    </xf>
    <xf numFmtId="2" fontId="6" fillId="2" borderId="0" xfId="0" applyNumberFormat="1" applyFont="1" applyFill="1" applyAlignment="1"/>
    <xf numFmtId="0" fontId="47" fillId="37" borderId="77" xfId="0" applyFont="1" applyFill="1" applyBorder="1" applyAlignment="1">
      <alignment horizontal="center"/>
    </xf>
    <xf numFmtId="0" fontId="50" fillId="37" borderId="77" xfId="0" applyFont="1" applyFill="1" applyBorder="1" applyAlignment="1">
      <alignment horizontal="center"/>
    </xf>
    <xf numFmtId="0" fontId="30" fillId="37" borderId="77" xfId="0" applyFont="1" applyFill="1" applyBorder="1" applyAlignment="1">
      <alignment horizontal="center"/>
    </xf>
    <xf numFmtId="0" fontId="47" fillId="37" borderId="90" xfId="0" applyFont="1" applyFill="1" applyBorder="1" applyAlignment="1">
      <alignment horizontal="center" wrapText="1"/>
    </xf>
    <xf numFmtId="0" fontId="6" fillId="30" borderId="90" xfId="0" applyFont="1" applyFill="1" applyBorder="1" applyAlignment="1">
      <alignment horizontal="center" wrapText="1"/>
    </xf>
    <xf numFmtId="0" fontId="6" fillId="30" borderId="77" xfId="0" applyFont="1" applyFill="1" applyBorder="1" applyAlignment="1">
      <alignment horizontal="center" wrapText="1"/>
    </xf>
    <xf numFmtId="0" fontId="6" fillId="27" borderId="79" xfId="0" applyFont="1" applyFill="1" applyBorder="1" applyAlignment="1">
      <alignment horizontal="center" wrapText="1"/>
    </xf>
    <xf numFmtId="0" fontId="0" fillId="2" borderId="77" xfId="0" applyFont="1" applyFill="1" applyBorder="1" applyAlignment="1">
      <alignment horizontal="center" wrapText="1"/>
    </xf>
    <xf numFmtId="14" fontId="6" fillId="2" borderId="77" xfId="0" applyNumberFormat="1" applyFont="1" applyFill="1" applyBorder="1" applyAlignment="1">
      <alignment horizontal="center" wrapText="1"/>
    </xf>
    <xf numFmtId="173" fontId="6" fillId="2" borderId="77" xfId="0" applyNumberFormat="1" applyFont="1" applyFill="1" applyBorder="1" applyAlignment="1">
      <alignment horizontal="center"/>
    </xf>
    <xf numFmtId="2" fontId="51" fillId="2" borderId="77" xfId="0" applyNumberFormat="1" applyFont="1" applyFill="1" applyBorder="1" applyAlignment="1">
      <alignment horizontal="center" wrapText="1"/>
    </xf>
    <xf numFmtId="2" fontId="6" fillId="2" borderId="77" xfId="0" applyNumberFormat="1" applyFont="1" applyFill="1" applyBorder="1" applyAlignment="1"/>
    <xf numFmtId="0" fontId="6" fillId="26" borderId="77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 wrapText="1"/>
    </xf>
    <xf numFmtId="0" fontId="30" fillId="2" borderId="4" xfId="0" applyFont="1" applyFill="1" applyBorder="1" applyAlignment="1">
      <alignment horizontal="center" wrapText="1"/>
    </xf>
    <xf numFmtId="0" fontId="30" fillId="2" borderId="6" xfId="0" applyFont="1" applyFill="1" applyBorder="1" applyAlignment="1">
      <alignment horizontal="center" wrapText="1"/>
    </xf>
    <xf numFmtId="0" fontId="47" fillId="29" borderId="79" xfId="0" applyFont="1" applyFill="1" applyBorder="1" applyAlignment="1">
      <alignment horizontal="center" wrapText="1"/>
    </xf>
    <xf numFmtId="164" fontId="6" fillId="2" borderId="66" xfId="0" applyNumberFormat="1" applyFont="1" applyFill="1" applyBorder="1" applyAlignment="1">
      <alignment horizontal="center"/>
    </xf>
    <xf numFmtId="164" fontId="6" fillId="2" borderId="92" xfId="0" applyNumberFormat="1" applyFont="1" applyFill="1" applyBorder="1" applyAlignment="1">
      <alignment horizontal="center"/>
    </xf>
    <xf numFmtId="164" fontId="6" fillId="2" borderId="19" xfId="0" applyNumberFormat="1" applyFont="1" applyFill="1" applyBorder="1" applyAlignment="1">
      <alignment horizontal="center"/>
    </xf>
    <xf numFmtId="164" fontId="6" fillId="2" borderId="54" xfId="0" applyNumberFormat="1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164" fontId="6" fillId="2" borderId="89" xfId="0" applyNumberFormat="1" applyFont="1" applyFill="1" applyBorder="1" applyAlignment="1">
      <alignment horizontal="center"/>
    </xf>
    <xf numFmtId="173" fontId="6" fillId="2" borderId="24" xfId="0" applyNumberFormat="1" applyFont="1" applyFill="1" applyBorder="1" applyAlignment="1">
      <alignment horizontal="center"/>
    </xf>
    <xf numFmtId="164" fontId="6" fillId="2" borderId="109" xfId="0" applyNumberFormat="1" applyFont="1" applyFill="1" applyBorder="1" applyAlignment="1">
      <alignment horizontal="center"/>
    </xf>
    <xf numFmtId="1" fontId="6" fillId="29" borderId="91" xfId="0" applyNumberFormat="1" applyFont="1" applyFill="1" applyBorder="1" applyAlignment="1">
      <alignment horizontal="center"/>
    </xf>
    <xf numFmtId="1" fontId="6" fillId="29" borderId="77" xfId="0" applyNumberFormat="1" applyFont="1" applyFill="1" applyBorder="1" applyAlignment="1">
      <alignment horizontal="center"/>
    </xf>
    <xf numFmtId="0" fontId="0" fillId="0" borderId="77" xfId="0" applyFont="1" applyFill="1" applyBorder="1" applyAlignment="1">
      <alignment horizontal="center" wrapText="1"/>
    </xf>
    <xf numFmtId="43" fontId="51" fillId="2" borderId="77" xfId="42096" applyFont="1" applyFill="1" applyBorder="1" applyAlignment="1">
      <alignment horizontal="center" wrapText="1"/>
    </xf>
    <xf numFmtId="0" fontId="0" fillId="30" borderId="77" xfId="0" applyFont="1" applyFill="1" applyBorder="1" applyAlignment="1">
      <alignment horizontal="center" wrapText="1"/>
    </xf>
    <xf numFmtId="14" fontId="0" fillId="0" borderId="77" xfId="0" applyNumberFormat="1" applyFont="1" applyFill="1" applyBorder="1" applyAlignment="1">
      <alignment horizontal="center" wrapText="1"/>
    </xf>
    <xf numFmtId="164" fontId="51" fillId="2" borderId="77" xfId="0" applyNumberFormat="1" applyFont="1" applyFill="1" applyBorder="1" applyAlignment="1">
      <alignment horizontal="center" wrapText="1"/>
    </xf>
    <xf numFmtId="43" fontId="51" fillId="2" borderId="77" xfId="42096" applyFont="1" applyFill="1" applyBorder="1" applyAlignment="1">
      <alignment wrapText="1"/>
    </xf>
    <xf numFmtId="9" fontId="6" fillId="27" borderId="4" xfId="1" applyNumberFormat="1" applyFont="1" applyFill="1" applyBorder="1" applyAlignment="1">
      <alignment horizontal="center"/>
    </xf>
    <xf numFmtId="9" fontId="6" fillId="27" borderId="44" xfId="1" applyNumberFormat="1" applyFont="1" applyFill="1" applyBorder="1" applyAlignment="1">
      <alignment horizontal="center"/>
    </xf>
    <xf numFmtId="9" fontId="6" fillId="27" borderId="91" xfId="1" applyNumberFormat="1" applyFont="1" applyFill="1" applyBorder="1" applyAlignment="1">
      <alignment horizontal="center"/>
    </xf>
    <xf numFmtId="9" fontId="6" fillId="27" borderId="77" xfId="1" applyNumberFormat="1" applyFont="1" applyFill="1" applyBorder="1" applyAlignment="1">
      <alignment horizontal="center"/>
    </xf>
    <xf numFmtId="9" fontId="6" fillId="27" borderId="109" xfId="1" applyNumberFormat="1" applyFont="1" applyFill="1" applyBorder="1" applyAlignment="1">
      <alignment horizontal="center"/>
    </xf>
    <xf numFmtId="9" fontId="6" fillId="27" borderId="92" xfId="1" applyNumberFormat="1" applyFont="1" applyFill="1" applyBorder="1" applyAlignment="1">
      <alignment horizontal="center"/>
    </xf>
    <xf numFmtId="9" fontId="6" fillId="27" borderId="12" xfId="1" applyNumberFormat="1" applyFont="1" applyFill="1" applyBorder="1" applyAlignment="1">
      <alignment horizontal="center"/>
    </xf>
    <xf numFmtId="10" fontId="30" fillId="34" borderId="24" xfId="1" applyNumberFormat="1" applyFont="1" applyFill="1" applyBorder="1" applyAlignment="1">
      <alignment horizontal="center" vertical="center"/>
    </xf>
    <xf numFmtId="10" fontId="30" fillId="34" borderId="77" xfId="1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Border="1" applyAlignment="1"/>
    <xf numFmtId="2" fontId="6" fillId="2" borderId="0" xfId="0" applyNumberFormat="1" applyFont="1" applyFill="1" applyBorder="1" applyAlignment="1"/>
    <xf numFmtId="0" fontId="47" fillId="29" borderId="77" xfId="0" applyFont="1" applyFill="1" applyBorder="1" applyAlignment="1">
      <alignment horizontal="center" vertical="center" wrapText="1"/>
    </xf>
    <xf numFmtId="0" fontId="47" fillId="29" borderId="84" xfId="0" applyFont="1" applyFill="1" applyBorder="1" applyAlignment="1">
      <alignment horizontal="center" vertical="center" wrapText="1"/>
    </xf>
    <xf numFmtId="0" fontId="47" fillId="29" borderId="90" xfId="0" applyFont="1" applyFill="1" applyBorder="1" applyAlignment="1">
      <alignment horizontal="center" vertical="center" wrapText="1"/>
    </xf>
    <xf numFmtId="0" fontId="47" fillId="29" borderId="79" xfId="0" applyFont="1" applyFill="1" applyBorder="1" applyAlignment="1">
      <alignment horizontal="center" vertical="center" wrapText="1"/>
    </xf>
    <xf numFmtId="0" fontId="40" fillId="29" borderId="7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77" fontId="30" fillId="34" borderId="52" xfId="1" applyNumberFormat="1" applyFont="1" applyFill="1" applyBorder="1" applyAlignment="1">
      <alignment horizontal="center" vertical="center"/>
    </xf>
    <xf numFmtId="177" fontId="30" fillId="25" borderId="52" xfId="1" applyNumberFormat="1" applyFont="1" applyFill="1" applyBorder="1" applyAlignment="1">
      <alignment horizontal="center" vertical="center"/>
    </xf>
    <xf numFmtId="177" fontId="6" fillId="2" borderId="45" xfId="1" applyNumberFormat="1" applyFont="1" applyFill="1" applyBorder="1" applyAlignment="1">
      <alignment horizontal="center"/>
    </xf>
    <xf numFmtId="177" fontId="6" fillId="2" borderId="58" xfId="1" applyNumberFormat="1" applyFont="1" applyFill="1" applyBorder="1" applyAlignment="1">
      <alignment horizontal="center"/>
    </xf>
    <xf numFmtId="177" fontId="6" fillId="2" borderId="41" xfId="1" applyNumberFormat="1" applyFont="1" applyFill="1" applyBorder="1" applyAlignment="1">
      <alignment horizontal="center"/>
    </xf>
    <xf numFmtId="177" fontId="30" fillId="34" borderId="41" xfId="1" applyNumberFormat="1" applyFont="1" applyFill="1" applyBorder="1" applyAlignment="1">
      <alignment horizontal="center"/>
    </xf>
    <xf numFmtId="177" fontId="6" fillId="2" borderId="50" xfId="1" applyNumberFormat="1" applyFont="1" applyFill="1" applyBorder="1" applyAlignment="1">
      <alignment horizontal="center"/>
    </xf>
    <xf numFmtId="177" fontId="30" fillId="34" borderId="52" xfId="1" applyNumberFormat="1" applyFont="1" applyFill="1" applyBorder="1" applyAlignment="1">
      <alignment horizontal="center"/>
    </xf>
    <xf numFmtId="177" fontId="30" fillId="2" borderId="52" xfId="1" applyNumberFormat="1" applyFont="1" applyFill="1" applyBorder="1" applyAlignment="1">
      <alignment horizontal="center"/>
    </xf>
    <xf numFmtId="177" fontId="6" fillId="2" borderId="80" xfId="1" applyNumberFormat="1" applyFont="1" applyFill="1" applyBorder="1" applyAlignment="1">
      <alignment horizontal="center"/>
    </xf>
    <xf numFmtId="177" fontId="6" fillId="2" borderId="110" xfId="1" applyNumberFormat="1" applyFont="1" applyFill="1" applyBorder="1" applyAlignment="1">
      <alignment horizontal="center"/>
    </xf>
    <xf numFmtId="2" fontId="6" fillId="2" borderId="0" xfId="0" applyNumberFormat="1" applyFont="1" applyFill="1"/>
    <xf numFmtId="175" fontId="6" fillId="2" borderId="0" xfId="42096" applyNumberFormat="1" applyFont="1" applyFill="1"/>
    <xf numFmtId="1" fontId="0" fillId="45" borderId="46" xfId="0" applyNumberFormat="1" applyFill="1" applyBorder="1" applyAlignment="1">
      <alignment horizontal="center"/>
    </xf>
    <xf numFmtId="1" fontId="30" fillId="45" borderId="53" xfId="0" applyNumberFormat="1" applyFont="1" applyFill="1" applyBorder="1" applyAlignment="1">
      <alignment horizontal="center"/>
    </xf>
    <xf numFmtId="164" fontId="0" fillId="45" borderId="26" xfId="0" applyNumberFormat="1" applyFont="1" applyFill="1" applyBorder="1" applyAlignment="1">
      <alignment horizontal="center" vertical="center"/>
    </xf>
    <xf numFmtId="164" fontId="0" fillId="45" borderId="92" xfId="0" applyNumberFormat="1" applyFont="1" applyFill="1" applyBorder="1" applyAlignment="1">
      <alignment horizontal="center" vertical="center"/>
    </xf>
    <xf numFmtId="0" fontId="30" fillId="46" borderId="77" xfId="0" applyFont="1" applyFill="1" applyBorder="1" applyAlignment="1">
      <alignment horizontal="center"/>
    </xf>
    <xf numFmtId="0" fontId="0" fillId="0" borderId="77" xfId="0" applyBorder="1" applyAlignment="1">
      <alignment horizontal="center"/>
    </xf>
    <xf numFmtId="2" fontId="0" fillId="0" borderId="77" xfId="0" applyNumberFormat="1" applyBorder="1" applyAlignment="1">
      <alignment horizontal="center"/>
    </xf>
    <xf numFmtId="2" fontId="0" fillId="0" borderId="77" xfId="0" applyNumberFormat="1" applyBorder="1"/>
    <xf numFmtId="177" fontId="0" fillId="0" borderId="77" xfId="1" applyNumberFormat="1" applyFont="1" applyBorder="1" applyAlignment="1">
      <alignment horizontal="center"/>
    </xf>
    <xf numFmtId="0" fontId="30" fillId="25" borderId="1" xfId="0" applyFont="1" applyFill="1" applyBorder="1" applyAlignment="1">
      <alignment horizontal="center" vertical="center" wrapText="1"/>
    </xf>
    <xf numFmtId="0" fontId="30" fillId="25" borderId="60" xfId="0" applyFont="1" applyFill="1" applyBorder="1" applyAlignment="1">
      <alignment horizontal="center" vertical="center" wrapText="1"/>
    </xf>
    <xf numFmtId="168" fontId="0" fillId="30" borderId="10" xfId="0" applyNumberFormat="1" applyFont="1" applyFill="1" applyBorder="1" applyAlignment="1">
      <alignment horizontal="center" vertical="center"/>
    </xf>
    <xf numFmtId="168" fontId="0" fillId="30" borderId="12" xfId="0" applyNumberFormat="1" applyFont="1" applyFill="1" applyBorder="1" applyAlignment="1">
      <alignment horizontal="center" vertical="center"/>
    </xf>
    <xf numFmtId="168" fontId="0" fillId="30" borderId="13" xfId="0" applyNumberFormat="1" applyFont="1" applyFill="1" applyBorder="1" applyAlignment="1">
      <alignment horizontal="center" vertical="center"/>
    </xf>
    <xf numFmtId="167" fontId="6" fillId="27" borderId="10" xfId="0" applyNumberFormat="1" applyFont="1" applyFill="1" applyBorder="1" applyAlignment="1">
      <alignment horizontal="center"/>
    </xf>
    <xf numFmtId="167" fontId="6" fillId="27" borderId="12" xfId="0" applyNumberFormat="1" applyFont="1" applyFill="1" applyBorder="1" applyAlignment="1">
      <alignment horizontal="center"/>
    </xf>
    <xf numFmtId="167" fontId="6" fillId="27" borderId="13" xfId="0" applyNumberFormat="1" applyFont="1" applyFill="1" applyBorder="1" applyAlignment="1">
      <alignment horizontal="center"/>
    </xf>
    <xf numFmtId="0" fontId="4" fillId="27" borderId="8" xfId="0" applyFont="1" applyFill="1" applyBorder="1" applyAlignment="1">
      <alignment horizontal="center" vertical="center" wrapText="1"/>
    </xf>
    <xf numFmtId="0" fontId="4" fillId="27" borderId="16" xfId="0" applyFont="1" applyFill="1" applyBorder="1" applyAlignment="1">
      <alignment horizontal="center" vertical="center"/>
    </xf>
    <xf numFmtId="0" fontId="4" fillId="27" borderId="47" xfId="0" applyFont="1" applyFill="1" applyBorder="1" applyAlignment="1">
      <alignment horizontal="center" vertical="center"/>
    </xf>
    <xf numFmtId="0" fontId="30" fillId="27" borderId="22" xfId="0" applyFont="1" applyFill="1" applyBorder="1" applyAlignment="1">
      <alignment horizontal="center" vertical="center" wrapText="1"/>
    </xf>
    <xf numFmtId="0" fontId="30" fillId="27" borderId="0" xfId="0" applyFont="1" applyFill="1" applyBorder="1" applyAlignment="1">
      <alignment horizontal="center" vertical="center" wrapText="1"/>
    </xf>
    <xf numFmtId="0" fontId="30" fillId="27" borderId="48" xfId="0" applyFont="1" applyFill="1" applyBorder="1" applyAlignment="1">
      <alignment horizontal="center" vertical="center" wrapText="1"/>
    </xf>
    <xf numFmtId="0" fontId="4" fillId="30" borderId="8" xfId="0" applyFont="1" applyFill="1" applyBorder="1" applyAlignment="1">
      <alignment horizontal="center" vertical="center" wrapText="1"/>
    </xf>
    <xf numFmtId="0" fontId="4" fillId="30" borderId="16" xfId="0" applyFont="1" applyFill="1" applyBorder="1" applyAlignment="1">
      <alignment horizontal="center" vertical="center"/>
    </xf>
    <xf numFmtId="0" fontId="4" fillId="30" borderId="47" xfId="0" applyFont="1" applyFill="1" applyBorder="1" applyAlignment="1">
      <alignment horizontal="center" vertical="center"/>
    </xf>
    <xf numFmtId="0" fontId="0" fillId="30" borderId="22" xfId="0" applyFill="1" applyBorder="1" applyAlignment="1">
      <alignment horizontal="center" wrapText="1"/>
    </xf>
    <xf numFmtId="0" fontId="0" fillId="30" borderId="0" xfId="0" applyFont="1" applyFill="1" applyBorder="1" applyAlignment="1">
      <alignment horizontal="center" wrapText="1"/>
    </xf>
    <xf numFmtId="0" fontId="0" fillId="30" borderId="48" xfId="0" applyFont="1" applyFill="1" applyBorder="1" applyAlignment="1">
      <alignment horizontal="center" wrapText="1"/>
    </xf>
    <xf numFmtId="0" fontId="40" fillId="34" borderId="9" xfId="0" applyFont="1" applyFill="1" applyBorder="1" applyAlignment="1">
      <alignment horizontal="center" vertical="center" wrapText="1"/>
    </xf>
    <xf numFmtId="0" fontId="40" fillId="34" borderId="18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 wrapText="1"/>
    </xf>
    <xf numFmtId="0" fontId="40" fillId="34" borderId="1" xfId="0" applyFont="1" applyFill="1" applyBorder="1" applyAlignment="1">
      <alignment horizontal="center" vertical="center" wrapText="1"/>
    </xf>
    <xf numFmtId="0" fontId="40" fillId="34" borderId="60" xfId="0" applyFont="1" applyFill="1" applyBorder="1" applyAlignment="1">
      <alignment horizontal="center" vertical="center" wrapText="1"/>
    </xf>
    <xf numFmtId="0" fontId="0" fillId="27" borderId="8" xfId="0" applyFill="1" applyBorder="1" applyAlignment="1">
      <alignment horizontal="center" vertical="center" wrapText="1"/>
    </xf>
    <xf numFmtId="0" fontId="0" fillId="27" borderId="22" xfId="0" applyFill="1" applyBorder="1" applyAlignment="1">
      <alignment horizontal="center" vertical="center" wrapText="1"/>
    </xf>
    <xf numFmtId="0" fontId="0" fillId="29" borderId="91" xfId="0" applyFill="1" applyBorder="1" applyAlignment="1">
      <alignment horizontal="center" vertical="center"/>
    </xf>
    <xf numFmtId="0" fontId="0" fillId="29" borderId="19" xfId="0" applyFill="1" applyBorder="1" applyAlignment="1">
      <alignment horizontal="center" vertical="center"/>
    </xf>
    <xf numFmtId="0" fontId="0" fillId="29" borderId="78" xfId="0" applyFill="1" applyBorder="1" applyAlignment="1">
      <alignment horizontal="center" vertical="center"/>
    </xf>
    <xf numFmtId="0" fontId="0" fillId="29" borderId="78" xfId="0" applyFont="1" applyFill="1" applyBorder="1" applyAlignment="1">
      <alignment horizontal="center" vertical="center"/>
    </xf>
    <xf numFmtId="0" fontId="0" fillId="29" borderId="88" xfId="0" applyFont="1" applyFill="1" applyBorder="1" applyAlignment="1">
      <alignment horizontal="center" vertical="center"/>
    </xf>
    <xf numFmtId="0" fontId="4" fillId="32" borderId="8" xfId="0" applyFont="1" applyFill="1" applyBorder="1" applyAlignment="1">
      <alignment horizontal="center" vertical="center" wrapText="1"/>
    </xf>
    <xf numFmtId="0" fontId="4" fillId="32" borderId="16" xfId="0" applyFont="1" applyFill="1" applyBorder="1" applyAlignment="1">
      <alignment horizontal="center" vertical="center"/>
    </xf>
    <xf numFmtId="0" fontId="4" fillId="32" borderId="47" xfId="0" applyFont="1" applyFill="1" applyBorder="1" applyAlignment="1">
      <alignment horizontal="center" vertical="center"/>
    </xf>
    <xf numFmtId="168" fontId="6" fillId="32" borderId="22" xfId="0" applyNumberFormat="1" applyFont="1" applyFill="1" applyBorder="1" applyAlignment="1">
      <alignment horizontal="center" vertical="center"/>
    </xf>
    <xf numFmtId="168" fontId="6" fillId="32" borderId="0" xfId="0" applyNumberFormat="1" applyFont="1" applyFill="1" applyBorder="1" applyAlignment="1">
      <alignment horizontal="center" vertical="center"/>
    </xf>
    <xf numFmtId="168" fontId="6" fillId="32" borderId="48" xfId="0" applyNumberFormat="1" applyFont="1" applyFill="1" applyBorder="1" applyAlignment="1">
      <alignment horizontal="center" vertical="center"/>
    </xf>
    <xf numFmtId="0" fontId="3" fillId="29" borderId="61" xfId="0" applyFont="1" applyFill="1" applyBorder="1" applyAlignment="1">
      <alignment horizontal="center" vertical="center"/>
    </xf>
    <xf numFmtId="0" fontId="3" fillId="29" borderId="46" xfId="0" applyFont="1" applyFill="1" applyBorder="1" applyAlignment="1">
      <alignment horizontal="center" vertical="center"/>
    </xf>
    <xf numFmtId="0" fontId="3" fillId="29" borderId="22" xfId="0" applyFont="1" applyFill="1" applyBorder="1" applyAlignment="1">
      <alignment horizontal="center" vertical="center" wrapText="1"/>
    </xf>
    <xf numFmtId="0" fontId="3" fillId="29" borderId="10" xfId="0" applyFont="1" applyFill="1" applyBorder="1" applyAlignment="1">
      <alignment horizontal="center" vertical="center" wrapText="1"/>
    </xf>
    <xf numFmtId="0" fontId="3" fillId="29" borderId="56" xfId="0" applyFont="1" applyFill="1" applyBorder="1" applyAlignment="1">
      <alignment horizontal="center" vertical="center" wrapText="1"/>
    </xf>
    <xf numFmtId="0" fontId="3" fillId="29" borderId="74" xfId="0" applyFont="1" applyFill="1" applyBorder="1" applyAlignment="1">
      <alignment horizontal="center" vertical="center" wrapText="1"/>
    </xf>
    <xf numFmtId="0" fontId="3" fillId="29" borderId="43" xfId="0" applyFont="1" applyFill="1" applyBorder="1" applyAlignment="1">
      <alignment horizontal="center" vertical="center" wrapText="1"/>
    </xf>
    <xf numFmtId="0" fontId="0" fillId="29" borderId="57" xfId="0" applyFill="1" applyBorder="1" applyAlignment="1">
      <alignment horizontal="center" vertical="center"/>
    </xf>
    <xf numFmtId="0" fontId="3" fillId="29" borderId="63" xfId="0" applyFont="1" applyFill="1" applyBorder="1" applyAlignment="1">
      <alignment horizontal="center" vertical="center"/>
    </xf>
    <xf numFmtId="168" fontId="6" fillId="32" borderId="23" xfId="0" applyNumberFormat="1" applyFont="1" applyFill="1" applyBorder="1" applyAlignment="1">
      <alignment horizontal="center" vertical="center"/>
    </xf>
    <xf numFmtId="168" fontId="6" fillId="32" borderId="20" xfId="0" applyNumberFormat="1" applyFont="1" applyFill="1" applyBorder="1" applyAlignment="1">
      <alignment horizontal="center" vertical="center"/>
    </xf>
    <xf numFmtId="168" fontId="6" fillId="32" borderId="49" xfId="0" applyNumberFormat="1" applyFont="1" applyFill="1" applyBorder="1" applyAlignment="1">
      <alignment horizontal="center" vertical="center"/>
    </xf>
    <xf numFmtId="0" fontId="0" fillId="29" borderId="73" xfId="0" applyFill="1" applyBorder="1" applyAlignment="1">
      <alignment horizontal="center" vertical="center"/>
    </xf>
    <xf numFmtId="0" fontId="0" fillId="29" borderId="21" xfId="0" applyFill="1" applyBorder="1" applyAlignment="1">
      <alignment horizontal="center" vertical="center"/>
    </xf>
    <xf numFmtId="0" fontId="0" fillId="29" borderId="26" xfId="0" applyFill="1" applyBorder="1" applyAlignment="1">
      <alignment horizontal="center" vertical="center"/>
    </xf>
    <xf numFmtId="167" fontId="0" fillId="30" borderId="23" xfId="0" applyNumberFormat="1" applyFill="1" applyBorder="1" applyAlignment="1">
      <alignment horizontal="center"/>
    </xf>
    <xf numFmtId="167" fontId="0" fillId="30" borderId="20" xfId="0" applyNumberFormat="1" applyFill="1" applyBorder="1" applyAlignment="1">
      <alignment horizontal="center"/>
    </xf>
    <xf numFmtId="167" fontId="0" fillId="30" borderId="49" xfId="0" applyNumberFormat="1" applyFill="1" applyBorder="1" applyAlignment="1">
      <alignment horizontal="center"/>
    </xf>
    <xf numFmtId="0" fontId="40" fillId="25" borderId="7" xfId="0" applyFont="1" applyFill="1" applyBorder="1" applyAlignment="1">
      <alignment horizontal="center" vertical="center" wrapText="1"/>
    </xf>
    <xf numFmtId="0" fontId="40" fillId="25" borderId="64" xfId="0" applyFont="1" applyFill="1" applyBorder="1" applyAlignment="1">
      <alignment horizontal="center" vertical="center" wrapText="1"/>
    </xf>
    <xf numFmtId="10" fontId="30" fillId="25" borderId="7" xfId="1" applyNumberFormat="1" applyFont="1" applyFill="1" applyBorder="1" applyAlignment="1">
      <alignment horizontal="center" vertical="center" wrapText="1"/>
    </xf>
    <xf numFmtId="10" fontId="30" fillId="25" borderId="64" xfId="1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/>
    </xf>
    <xf numFmtId="2" fontId="0" fillId="0" borderId="99" xfId="0" applyNumberFormat="1" applyFont="1" applyFill="1" applyBorder="1" applyAlignment="1">
      <alignment horizontal="center" vertical="center"/>
    </xf>
    <xf numFmtId="10" fontId="6" fillId="0" borderId="6" xfId="1" applyNumberFormat="1" applyFont="1" applyFill="1" applyBorder="1" applyAlignment="1">
      <alignment horizontal="center" vertical="center"/>
    </xf>
    <xf numFmtId="10" fontId="6" fillId="0" borderId="100" xfId="1" applyNumberFormat="1" applyFont="1" applyFill="1" applyBorder="1" applyAlignment="1">
      <alignment horizontal="center" vertical="center"/>
    </xf>
    <xf numFmtId="0" fontId="0" fillId="27" borderId="48" xfId="0" applyFont="1" applyFill="1" applyBorder="1" applyAlignment="1">
      <alignment horizontal="center" vertical="center"/>
    </xf>
    <xf numFmtId="0" fontId="0" fillId="27" borderId="13" xfId="0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0" fillId="0" borderId="98" xfId="0" applyNumberFormat="1" applyFont="1" applyFill="1" applyBorder="1" applyAlignment="1">
      <alignment horizontal="center" vertical="center"/>
    </xf>
    <xf numFmtId="0" fontId="0" fillId="27" borderId="9" xfId="0" applyFont="1" applyFill="1" applyBorder="1" applyAlignment="1">
      <alignment horizontal="center" vertical="center"/>
    </xf>
    <xf numFmtId="0" fontId="0" fillId="27" borderId="18" xfId="0" applyFont="1" applyFill="1" applyBorder="1" applyAlignment="1">
      <alignment horizontal="center" vertical="center"/>
    </xf>
    <xf numFmtId="0" fontId="40" fillId="34" borderId="8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 wrapText="1"/>
    </xf>
    <xf numFmtId="0" fontId="40" fillId="34" borderId="7" xfId="0" applyFont="1" applyFill="1" applyBorder="1" applyAlignment="1">
      <alignment horizontal="center" vertical="center" wrapText="1"/>
    </xf>
    <xf numFmtId="0" fontId="40" fillId="34" borderId="64" xfId="0" applyFont="1" applyFill="1" applyBorder="1" applyAlignment="1">
      <alignment horizontal="center" vertical="center" wrapText="1"/>
    </xf>
    <xf numFmtId="0" fontId="40" fillId="34" borderId="8" xfId="0" applyFont="1" applyFill="1" applyBorder="1" applyAlignment="1">
      <alignment horizontal="center" vertical="center"/>
    </xf>
    <xf numFmtId="0" fontId="40" fillId="34" borderId="16" xfId="0" applyFont="1" applyFill="1" applyBorder="1" applyAlignment="1">
      <alignment horizontal="center" vertical="center"/>
    </xf>
    <xf numFmtId="0" fontId="40" fillId="34" borderId="47" xfId="0" applyFont="1" applyFill="1" applyBorder="1" applyAlignment="1">
      <alignment horizontal="center" vertical="center"/>
    </xf>
    <xf numFmtId="0" fontId="38" fillId="34" borderId="8" xfId="0" applyFont="1" applyFill="1" applyBorder="1" applyAlignment="1">
      <alignment horizontal="center" vertical="center" wrapText="1"/>
    </xf>
    <xf numFmtId="0" fontId="38" fillId="34" borderId="16" xfId="0" applyFont="1" applyFill="1" applyBorder="1" applyAlignment="1">
      <alignment horizontal="center" vertical="center"/>
    </xf>
    <xf numFmtId="0" fontId="38" fillId="34" borderId="47" xfId="0" applyFont="1" applyFill="1" applyBorder="1" applyAlignment="1">
      <alignment horizontal="center" vertical="center"/>
    </xf>
    <xf numFmtId="0" fontId="40" fillId="34" borderId="27" xfId="0" applyFont="1" applyFill="1" applyBorder="1" applyAlignment="1">
      <alignment horizontal="center" vertical="center"/>
    </xf>
    <xf numFmtId="0" fontId="40" fillId="34" borderId="5" xfId="0" applyFont="1" applyFill="1" applyBorder="1" applyAlignment="1">
      <alignment horizontal="center" vertical="center"/>
    </xf>
    <xf numFmtId="0" fontId="40" fillId="34" borderId="7" xfId="0" applyFont="1" applyFill="1" applyBorder="1" applyAlignment="1">
      <alignment horizontal="center" vertical="center"/>
    </xf>
    <xf numFmtId="172" fontId="40" fillId="34" borderId="12" xfId="0" applyNumberFormat="1" applyFont="1" applyFill="1" applyBorder="1" applyAlignment="1">
      <alignment horizontal="center" vertical="center"/>
    </xf>
    <xf numFmtId="0" fontId="39" fillId="27" borderId="102" xfId="0" applyFont="1" applyFill="1" applyBorder="1" applyAlignment="1">
      <alignment horizontal="center" vertical="center" wrapText="1"/>
    </xf>
    <xf numFmtId="0" fontId="39" fillId="27" borderId="103" xfId="0" applyFont="1" applyFill="1" applyBorder="1" applyAlignment="1">
      <alignment horizontal="center" vertical="center" wrapText="1"/>
    </xf>
    <xf numFmtId="2" fontId="0" fillId="0" borderId="76" xfId="0" applyNumberFormat="1" applyFont="1" applyFill="1" applyBorder="1" applyAlignment="1">
      <alignment horizontal="center" vertical="center"/>
    </xf>
    <xf numFmtId="2" fontId="0" fillId="0" borderId="77" xfId="0" applyNumberFormat="1" applyFont="1" applyFill="1" applyBorder="1" applyAlignment="1">
      <alignment horizontal="center" vertical="center"/>
    </xf>
    <xf numFmtId="0" fontId="39" fillId="27" borderId="9" xfId="0" applyFont="1" applyFill="1" applyBorder="1" applyAlignment="1">
      <alignment horizontal="center" vertical="center"/>
    </xf>
    <xf numFmtId="0" fontId="39" fillId="27" borderId="18" xfId="0" applyFont="1" applyFill="1" applyBorder="1" applyAlignment="1">
      <alignment horizontal="center" vertical="center"/>
    </xf>
    <xf numFmtId="10" fontId="6" fillId="30" borderId="101" xfId="0" applyNumberFormat="1" applyFont="1" applyFill="1" applyBorder="1" applyAlignment="1">
      <alignment horizontal="center" vertical="center"/>
    </xf>
    <xf numFmtId="10" fontId="6" fillId="30" borderId="49" xfId="0" applyNumberFormat="1" applyFont="1" applyFill="1" applyBorder="1" applyAlignment="1">
      <alignment horizontal="center" vertical="center"/>
    </xf>
    <xf numFmtId="2" fontId="6" fillId="0" borderId="77" xfId="0" applyNumberFormat="1" applyFont="1" applyFill="1" applyBorder="1" applyAlignment="1">
      <alignment horizontal="center" vertical="center"/>
    </xf>
    <xf numFmtId="10" fontId="6" fillId="0" borderId="80" xfId="1" applyNumberFormat="1" applyFont="1" applyFill="1" applyBorder="1" applyAlignment="1">
      <alignment horizontal="center" vertical="center"/>
    </xf>
    <xf numFmtId="10" fontId="6" fillId="0" borderId="97" xfId="1" applyNumberFormat="1" applyFont="1" applyFill="1" applyBorder="1" applyAlignment="1">
      <alignment horizontal="center" vertical="center"/>
    </xf>
    <xf numFmtId="0" fontId="39" fillId="27" borderId="18" xfId="0" applyFont="1" applyFill="1" applyBorder="1" applyAlignment="1">
      <alignment horizontal="center" vertical="center" wrapText="1"/>
    </xf>
    <xf numFmtId="2" fontId="0" fillId="0" borderId="96" xfId="0" applyNumberFormat="1" applyFont="1" applyFill="1" applyBorder="1" applyAlignment="1">
      <alignment horizontal="center" vertical="center"/>
    </xf>
    <xf numFmtId="2" fontId="0" fillId="0" borderId="91" xfId="0" applyNumberFormat="1" applyFont="1" applyFill="1" applyBorder="1" applyAlignment="1">
      <alignment horizontal="center" vertical="center"/>
    </xf>
    <xf numFmtId="0" fontId="39" fillId="27" borderId="102" xfId="0" applyFont="1" applyFill="1" applyBorder="1" applyAlignment="1">
      <alignment horizontal="center" vertical="center"/>
    </xf>
    <xf numFmtId="0" fontId="39" fillId="27" borderId="14" xfId="0" applyFont="1" applyFill="1" applyBorder="1" applyAlignment="1">
      <alignment horizontal="center" vertical="center"/>
    </xf>
    <xf numFmtId="169" fontId="40" fillId="34" borderId="26" xfId="0" applyNumberFormat="1" applyFont="1" applyFill="1" applyBorder="1" applyAlignment="1">
      <alignment horizontal="center" vertical="center" wrapText="1"/>
    </xf>
    <xf numFmtId="169" fontId="40" fillId="34" borderId="48" xfId="0" applyNumberFormat="1" applyFont="1" applyFill="1" applyBorder="1" applyAlignment="1">
      <alignment horizontal="center" vertical="center" wrapText="1"/>
    </xf>
    <xf numFmtId="169" fontId="40" fillId="34" borderId="21" xfId="0" applyNumberFormat="1" applyFont="1" applyFill="1" applyBorder="1" applyAlignment="1">
      <alignment horizontal="center" vertical="center" wrapText="1"/>
    </xf>
    <xf numFmtId="169" fontId="40" fillId="34" borderId="49" xfId="0" applyNumberFormat="1" applyFont="1" applyFill="1" applyBorder="1" applyAlignment="1">
      <alignment horizontal="center" vertical="center" wrapText="1"/>
    </xf>
    <xf numFmtId="2" fontId="40" fillId="34" borderId="19" xfId="0" applyNumberFormat="1" applyFont="1" applyFill="1" applyBorder="1" applyAlignment="1">
      <alignment horizontal="center" vertical="center"/>
    </xf>
    <xf numFmtId="2" fontId="40" fillId="34" borderId="99" xfId="0" applyNumberFormat="1" applyFont="1" applyFill="1" applyBorder="1" applyAlignment="1">
      <alignment horizontal="center" vertical="center"/>
    </xf>
    <xf numFmtId="2" fontId="30" fillId="34" borderId="45" xfId="0" applyNumberFormat="1" applyFont="1" applyFill="1" applyBorder="1" applyAlignment="1">
      <alignment horizontal="center" vertical="center"/>
    </xf>
    <xf numFmtId="2" fontId="30" fillId="34" borderId="100" xfId="0" applyNumberFormat="1" applyFont="1" applyFill="1" applyBorder="1" applyAlignment="1">
      <alignment horizontal="center" vertical="center"/>
    </xf>
    <xf numFmtId="2" fontId="40" fillId="34" borderId="25" xfId="0" applyNumberFormat="1" applyFont="1" applyFill="1" applyBorder="1" applyAlignment="1">
      <alignment horizontal="center" vertical="center"/>
    </xf>
    <xf numFmtId="2" fontId="40" fillId="34" borderId="98" xfId="0" applyNumberFormat="1" applyFont="1" applyFill="1" applyBorder="1" applyAlignment="1">
      <alignment horizontal="center" vertical="center"/>
    </xf>
    <xf numFmtId="9" fontId="6" fillId="30" borderId="4" xfId="1" applyFont="1" applyFill="1" applyBorder="1" applyAlignment="1">
      <alignment horizontal="center" vertical="center"/>
    </xf>
    <xf numFmtId="9" fontId="6" fillId="30" borderId="77" xfId="1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/>
    </xf>
    <xf numFmtId="169" fontId="0" fillId="29" borderId="83" xfId="0" applyNumberFormat="1" applyFont="1" applyFill="1" applyBorder="1" applyAlignment="1">
      <alignment horizontal="center" vertical="center"/>
    </xf>
    <xf numFmtId="169" fontId="0" fillId="29" borderId="54" xfId="0" applyNumberFormat="1" applyFont="1" applyFill="1" applyBorder="1" applyAlignment="1">
      <alignment horizontal="center" vertical="center"/>
    </xf>
    <xf numFmtId="164" fontId="6" fillId="30" borderId="82" xfId="0" applyNumberFormat="1" applyFont="1" applyFill="1" applyBorder="1" applyAlignment="1">
      <alignment horizontal="center" vertical="center"/>
    </xf>
    <xf numFmtId="164" fontId="6" fillId="30" borderId="85" xfId="0" applyNumberFormat="1" applyFont="1" applyFill="1" applyBorder="1" applyAlignment="1">
      <alignment horizontal="center" vertical="center"/>
    </xf>
    <xf numFmtId="164" fontId="6" fillId="30" borderId="4" xfId="0" applyNumberFormat="1" applyFont="1" applyFill="1" applyBorder="1" applyAlignment="1">
      <alignment horizontal="center" vertical="center"/>
    </xf>
    <xf numFmtId="164" fontId="6" fillId="30" borderId="77" xfId="0" applyNumberFormat="1" applyFont="1" applyFill="1" applyBorder="1" applyAlignment="1">
      <alignment horizontal="center" vertical="center"/>
    </xf>
    <xf numFmtId="164" fontId="6" fillId="30" borderId="29" xfId="0" applyNumberFormat="1" applyFont="1" applyFill="1" applyBorder="1" applyAlignment="1">
      <alignment horizontal="center" vertical="center"/>
    </xf>
    <xf numFmtId="164" fontId="6" fillId="30" borderId="90" xfId="0" applyNumberFormat="1" applyFont="1" applyFill="1" applyBorder="1" applyAlignment="1">
      <alignment horizontal="center" vertical="center"/>
    </xf>
    <xf numFmtId="164" fontId="6" fillId="30" borderId="4" xfId="0" applyNumberFormat="1" applyFont="1" applyFill="1" applyBorder="1" applyAlignment="1">
      <alignment horizontal="center" vertical="center" wrapText="1"/>
    </xf>
    <xf numFmtId="164" fontId="6" fillId="30" borderId="77" xfId="0" applyNumberFormat="1" applyFont="1" applyFill="1" applyBorder="1" applyAlignment="1">
      <alignment horizontal="center" vertical="center" wrapText="1"/>
    </xf>
    <xf numFmtId="0" fontId="0" fillId="29" borderId="91" xfId="0" applyFont="1" applyFill="1" applyBorder="1" applyAlignment="1">
      <alignment horizontal="center" vertical="center" textRotation="90" wrapText="1"/>
    </xf>
    <xf numFmtId="0" fontId="0" fillId="29" borderId="24" xfId="0" applyFont="1" applyFill="1" applyBorder="1" applyAlignment="1">
      <alignment horizontal="center" vertical="center" textRotation="90" wrapText="1"/>
    </xf>
    <xf numFmtId="0" fontId="0" fillId="29" borderId="19" xfId="0" applyFont="1" applyFill="1" applyBorder="1" applyAlignment="1">
      <alignment horizontal="center" vertical="center" textRotation="90" wrapText="1"/>
    </xf>
    <xf numFmtId="10" fontId="6" fillId="30" borderId="89" xfId="0" applyNumberFormat="1" applyFont="1" applyFill="1" applyBorder="1" applyAlignment="1">
      <alignment horizontal="center" vertical="center"/>
    </xf>
    <xf numFmtId="10" fontId="6" fillId="30" borderId="54" xfId="0" applyNumberFormat="1" applyFont="1" applyFill="1" applyBorder="1" applyAlignment="1">
      <alignment horizontal="center" vertical="center"/>
    </xf>
    <xf numFmtId="0" fontId="0" fillId="29" borderId="0" xfId="0" applyFont="1" applyFill="1" applyBorder="1" applyAlignment="1">
      <alignment horizontal="center" vertical="center" wrapText="1"/>
    </xf>
    <xf numFmtId="0" fontId="0" fillId="29" borderId="20" xfId="0" applyFont="1" applyFill="1" applyBorder="1" applyAlignment="1">
      <alignment horizontal="center" vertical="center" wrapText="1"/>
    </xf>
    <xf numFmtId="164" fontId="6" fillId="33" borderId="96" xfId="0" applyNumberFormat="1" applyFont="1" applyFill="1" applyBorder="1" applyAlignment="1">
      <alignment horizontal="center" vertical="center"/>
    </xf>
    <xf numFmtId="164" fontId="6" fillId="33" borderId="28" xfId="0" applyNumberFormat="1" applyFont="1" applyFill="1" applyBorder="1" applyAlignment="1">
      <alignment horizontal="center" vertical="center"/>
    </xf>
    <xf numFmtId="164" fontId="6" fillId="33" borderId="91" xfId="0" applyNumberFormat="1" applyFont="1" applyFill="1" applyBorder="1" applyAlignment="1">
      <alignment horizontal="center" vertical="center"/>
    </xf>
    <xf numFmtId="164" fontId="6" fillId="33" borderId="24" xfId="0" applyNumberFormat="1" applyFont="1" applyFill="1" applyBorder="1" applyAlignment="1">
      <alignment horizontal="center" vertical="center"/>
    </xf>
    <xf numFmtId="10" fontId="6" fillId="33" borderId="89" xfId="0" applyNumberFormat="1" applyFont="1" applyFill="1" applyBorder="1" applyAlignment="1">
      <alignment horizontal="center" vertical="center"/>
    </xf>
    <xf numFmtId="10" fontId="6" fillId="33" borderId="66" xfId="0" applyNumberFormat="1" applyFont="1" applyFill="1" applyBorder="1" applyAlignment="1">
      <alignment horizontal="center" vertical="center"/>
    </xf>
    <xf numFmtId="164" fontId="6" fillId="30" borderId="96" xfId="0" applyNumberFormat="1" applyFont="1" applyFill="1" applyBorder="1" applyAlignment="1">
      <alignment horizontal="center" vertical="center"/>
    </xf>
    <xf numFmtId="164" fontId="6" fillId="30" borderId="25" xfId="0" applyNumberFormat="1" applyFont="1" applyFill="1" applyBorder="1" applyAlignment="1">
      <alignment horizontal="center" vertical="center"/>
    </xf>
    <xf numFmtId="164" fontId="6" fillId="30" borderId="91" xfId="0" applyNumberFormat="1" applyFont="1" applyFill="1" applyBorder="1" applyAlignment="1">
      <alignment horizontal="center" vertical="center"/>
    </xf>
    <xf numFmtId="164" fontId="6" fillId="30" borderId="19" xfId="0" applyNumberFormat="1" applyFont="1" applyFill="1" applyBorder="1" applyAlignment="1">
      <alignment horizontal="center" vertical="center"/>
    </xf>
    <xf numFmtId="2" fontId="6" fillId="30" borderId="91" xfId="0" applyNumberFormat="1" applyFont="1" applyFill="1" applyBorder="1" applyAlignment="1">
      <alignment horizontal="center" vertical="center"/>
    </xf>
    <xf numFmtId="2" fontId="6" fillId="30" borderId="19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9" borderId="71" xfId="0" applyFont="1" applyFill="1" applyBorder="1" applyAlignment="1">
      <alignment horizontal="center" vertical="center" wrapText="1"/>
    </xf>
    <xf numFmtId="2" fontId="33" fillId="32" borderId="92" xfId="0" applyNumberFormat="1" applyFont="1" applyFill="1" applyBorder="1" applyAlignment="1">
      <alignment horizontal="center" vertical="center"/>
    </xf>
    <xf numFmtId="2" fontId="33" fillId="32" borderId="71" xfId="0" applyNumberFormat="1" applyFont="1" applyFill="1" applyBorder="1" applyAlignment="1">
      <alignment horizontal="center" vertical="center"/>
    </xf>
    <xf numFmtId="2" fontId="33" fillId="32" borderId="89" xfId="0" applyNumberFormat="1" applyFont="1" applyFill="1" applyBorder="1" applyAlignment="1">
      <alignment horizontal="center" vertical="center"/>
    </xf>
    <xf numFmtId="167" fontId="46" fillId="32" borderId="21" xfId="0" applyNumberFormat="1" applyFont="1" applyFill="1" applyBorder="1" applyAlignment="1">
      <alignment horizontal="center" vertical="center"/>
    </xf>
    <xf numFmtId="167" fontId="46" fillId="32" borderId="20" xfId="0" applyNumberFormat="1" applyFont="1" applyFill="1" applyBorder="1" applyAlignment="1">
      <alignment horizontal="center" vertical="center"/>
    </xf>
    <xf numFmtId="167" fontId="46" fillId="32" borderId="54" xfId="0" applyNumberFormat="1" applyFont="1" applyFill="1" applyBorder="1" applyAlignment="1">
      <alignment horizontal="center" vertical="center"/>
    </xf>
    <xf numFmtId="0" fontId="0" fillId="29" borderId="91" xfId="27278" applyFont="1" applyFill="1" applyBorder="1" applyAlignment="1">
      <alignment horizontal="center" vertical="center" wrapText="1"/>
    </xf>
    <xf numFmtId="0" fontId="0" fillId="29" borderId="24" xfId="27278" applyFont="1" applyFill="1" applyBorder="1" applyAlignment="1">
      <alignment horizontal="center" vertical="center" wrapText="1"/>
    </xf>
    <xf numFmtId="0" fontId="0" fillId="29" borderId="71" xfId="27278" applyFont="1" applyFill="1" applyBorder="1" applyAlignment="1">
      <alignment horizontal="center" vertical="center" wrapText="1"/>
    </xf>
    <xf numFmtId="0" fontId="0" fillId="29" borderId="0" xfId="27278" applyFont="1" applyFill="1" applyBorder="1" applyAlignment="1">
      <alignment horizontal="center" vertical="center" wrapText="1"/>
    </xf>
    <xf numFmtId="0" fontId="0" fillId="29" borderId="90" xfId="41711" applyFont="1" applyFill="1" applyBorder="1" applyAlignment="1">
      <alignment horizontal="center" vertical="center" wrapText="1"/>
    </xf>
    <xf numFmtId="0" fontId="0" fillId="29" borderId="92" xfId="41711" applyFont="1" applyFill="1" applyBorder="1" applyAlignment="1">
      <alignment horizontal="center" vertical="center" wrapText="1"/>
    </xf>
    <xf numFmtId="0" fontId="6" fillId="32" borderId="92" xfId="0" applyFont="1" applyFill="1" applyBorder="1" applyAlignment="1">
      <alignment horizontal="center" vertical="center"/>
    </xf>
    <xf numFmtId="0" fontId="6" fillId="32" borderId="71" xfId="0" applyFont="1" applyFill="1" applyBorder="1" applyAlignment="1">
      <alignment horizontal="center" vertical="center"/>
    </xf>
    <xf numFmtId="0" fontId="6" fillId="32" borderId="89" xfId="0" applyFont="1" applyFill="1" applyBorder="1" applyAlignment="1">
      <alignment horizontal="center" vertical="center"/>
    </xf>
    <xf numFmtId="0" fontId="6" fillId="27" borderId="92" xfId="0" applyFont="1" applyFill="1" applyBorder="1" applyAlignment="1">
      <alignment horizontal="center" vertical="center"/>
    </xf>
    <xf numFmtId="0" fontId="6" fillId="27" borderId="71" xfId="0" applyFont="1" applyFill="1" applyBorder="1" applyAlignment="1">
      <alignment horizontal="center" vertical="center"/>
    </xf>
    <xf numFmtId="0" fontId="6" fillId="27" borderId="89" xfId="0" applyFont="1" applyFill="1" applyBorder="1" applyAlignment="1">
      <alignment horizontal="center" vertical="center"/>
    </xf>
    <xf numFmtId="0" fontId="6" fillId="29" borderId="89" xfId="0" applyFont="1" applyFill="1" applyBorder="1" applyAlignment="1">
      <alignment horizontal="center" vertical="center"/>
    </xf>
    <xf numFmtId="0" fontId="6" fillId="29" borderId="91" xfId="0" applyFont="1" applyFill="1" applyBorder="1" applyAlignment="1">
      <alignment horizontal="center" vertical="center"/>
    </xf>
    <xf numFmtId="0" fontId="6" fillId="29" borderId="97" xfId="0" applyFont="1" applyFill="1" applyBorder="1" applyAlignment="1">
      <alignment horizontal="center" vertical="center"/>
    </xf>
    <xf numFmtId="0" fontId="6" fillId="25" borderId="96" xfId="0" applyFont="1" applyFill="1" applyBorder="1" applyAlignment="1">
      <alignment horizontal="center" vertical="center"/>
    </xf>
    <xf numFmtId="0" fontId="6" fillId="25" borderId="91" xfId="0" applyFont="1" applyFill="1" applyBorder="1" applyAlignment="1">
      <alignment horizontal="center" vertical="center"/>
    </xf>
    <xf numFmtId="0" fontId="3" fillId="39" borderId="77" xfId="0" applyFont="1" applyFill="1" applyBorder="1" applyAlignment="1">
      <alignment horizontal="center" vertical="center" textRotation="90"/>
    </xf>
    <xf numFmtId="173" fontId="0" fillId="29" borderId="77" xfId="0" applyNumberFormat="1" applyFont="1" applyFill="1" applyBorder="1" applyAlignment="1">
      <alignment horizontal="center" vertical="center"/>
    </xf>
    <xf numFmtId="2" fontId="0" fillId="29" borderId="77" xfId="0" applyNumberFormat="1" applyFont="1" applyFill="1" applyBorder="1" applyAlignment="1">
      <alignment horizontal="center" vertical="center"/>
    </xf>
    <xf numFmtId="166" fontId="0" fillId="2" borderId="77" xfId="0" applyNumberFormat="1" applyFont="1" applyFill="1" applyBorder="1" applyAlignment="1">
      <alignment horizontal="center" vertical="center"/>
    </xf>
    <xf numFmtId="164" fontId="0" fillId="29" borderId="77" xfId="0" applyNumberFormat="1" applyFont="1" applyFill="1" applyBorder="1" applyAlignment="1">
      <alignment horizontal="center" vertical="center"/>
    </xf>
    <xf numFmtId="2" fontId="33" fillId="38" borderId="0" xfId="0" applyNumberFormat="1" applyFont="1" applyFill="1" applyBorder="1" applyAlignment="1">
      <alignment horizontal="center" vertical="center"/>
    </xf>
    <xf numFmtId="167" fontId="46" fillId="38" borderId="0" xfId="0" applyNumberFormat="1" applyFont="1" applyFill="1" applyBorder="1" applyAlignment="1">
      <alignment horizontal="center" vertical="center"/>
    </xf>
    <xf numFmtId="0" fontId="6" fillId="29" borderId="77" xfId="27278" applyFont="1" applyFill="1" applyBorder="1" applyAlignment="1">
      <alignment horizontal="center" vertical="center" wrapText="1"/>
    </xf>
    <xf numFmtId="0" fontId="6" fillId="29" borderId="77" xfId="41711" applyFont="1" applyFill="1" applyBorder="1" applyAlignment="1">
      <alignment horizontal="center" vertical="center" wrapText="1"/>
    </xf>
    <xf numFmtId="0" fontId="6" fillId="30" borderId="79" xfId="0" applyFont="1" applyFill="1" applyBorder="1" applyAlignment="1">
      <alignment horizontal="center" vertical="center"/>
    </xf>
    <xf numFmtId="0" fontId="6" fillId="30" borderId="77" xfId="0" applyFont="1" applyFill="1" applyBorder="1" applyAlignment="1">
      <alignment horizontal="center" vertical="center"/>
    </xf>
    <xf numFmtId="0" fontId="6" fillId="30" borderId="90" xfId="0" applyFont="1" applyFill="1" applyBorder="1" applyAlignment="1">
      <alignment horizontal="center" vertical="center"/>
    </xf>
    <xf numFmtId="0" fontId="6" fillId="27" borderId="77" xfId="0" applyFont="1" applyFill="1" applyBorder="1" applyAlignment="1">
      <alignment horizontal="center" vertical="center"/>
    </xf>
    <xf numFmtId="0" fontId="6" fillId="39" borderId="77" xfId="0" applyFont="1" applyFill="1" applyBorder="1" applyAlignment="1">
      <alignment horizontal="center" vertical="center"/>
    </xf>
    <xf numFmtId="0" fontId="6" fillId="29" borderId="77" xfId="0" applyFont="1" applyFill="1" applyBorder="1" applyAlignment="1">
      <alignment horizontal="center" vertical="center"/>
    </xf>
    <xf numFmtId="9" fontId="0" fillId="30" borderId="77" xfId="1" applyFont="1" applyFill="1" applyBorder="1" applyAlignment="1">
      <alignment horizontal="center" vertical="center"/>
    </xf>
    <xf numFmtId="2" fontId="0" fillId="2" borderId="77" xfId="0" applyNumberFormat="1" applyFont="1" applyFill="1" applyBorder="1" applyAlignment="1">
      <alignment horizontal="center" vertical="center"/>
    </xf>
    <xf numFmtId="9" fontId="0" fillId="30" borderId="77" xfId="1" applyNumberFormat="1" applyFont="1" applyFill="1" applyBorder="1" applyAlignment="1">
      <alignment horizontal="center" vertical="center"/>
    </xf>
    <xf numFmtId="0" fontId="0" fillId="29" borderId="77" xfId="0" applyFont="1" applyFill="1" applyBorder="1" applyAlignment="1">
      <alignment horizontal="center" vertical="center"/>
    </xf>
    <xf numFmtId="0" fontId="0" fillId="2" borderId="77" xfId="0" applyFont="1" applyFill="1" applyBorder="1" applyAlignment="1">
      <alignment horizontal="center" vertical="center"/>
    </xf>
    <xf numFmtId="0" fontId="0" fillId="2" borderId="77" xfId="0" applyFont="1" applyFill="1" applyBorder="1" applyAlignment="1">
      <alignment horizontal="center"/>
    </xf>
    <xf numFmtId="169" fontId="0" fillId="2" borderId="77" xfId="0" applyNumberFormat="1" applyFont="1" applyFill="1" applyBorder="1" applyAlignment="1">
      <alignment horizontal="center"/>
    </xf>
    <xf numFmtId="169" fontId="0" fillId="2" borderId="79" xfId="0" applyNumberFormat="1" applyFont="1" applyFill="1" applyBorder="1" applyAlignment="1">
      <alignment horizontal="center"/>
    </xf>
    <xf numFmtId="0" fontId="0" fillId="2" borderId="79" xfId="0" applyFont="1" applyFill="1" applyBorder="1" applyAlignment="1">
      <alignment horizontal="center"/>
    </xf>
    <xf numFmtId="169" fontId="6" fillId="39" borderId="77" xfId="0" applyNumberFormat="1" applyFont="1" applyFill="1" applyBorder="1" applyAlignment="1">
      <alignment horizontal="center" vertical="center"/>
    </xf>
    <xf numFmtId="1" fontId="0" fillId="39" borderId="77" xfId="0" applyNumberFormat="1" applyFont="1" applyFill="1" applyBorder="1" applyAlignment="1">
      <alignment horizontal="center" vertical="center"/>
    </xf>
    <xf numFmtId="164" fontId="0" fillId="39" borderId="77" xfId="0" applyNumberFormat="1" applyFont="1" applyFill="1" applyBorder="1" applyAlignment="1">
      <alignment horizontal="center" vertical="center"/>
    </xf>
    <xf numFmtId="9" fontId="0" fillId="39" borderId="77" xfId="1" applyNumberFormat="1" applyFont="1" applyFill="1" applyBorder="1" applyAlignment="1">
      <alignment horizontal="center" vertical="center"/>
    </xf>
    <xf numFmtId="0" fontId="3" fillId="34" borderId="113" xfId="0" applyFont="1" applyFill="1" applyBorder="1" applyAlignment="1">
      <alignment horizontal="center" vertical="center" wrapText="1"/>
    </xf>
    <xf numFmtId="0" fontId="3" fillId="34" borderId="2" xfId="0" applyFont="1" applyFill="1" applyBorder="1" applyAlignment="1">
      <alignment horizontal="center" vertical="center" wrapText="1"/>
    </xf>
    <xf numFmtId="0" fontId="3" fillId="34" borderId="60" xfId="0" applyFont="1" applyFill="1" applyBorder="1" applyAlignment="1">
      <alignment horizontal="center" vertical="center" wrapText="1"/>
    </xf>
    <xf numFmtId="0" fontId="3" fillId="27" borderId="90" xfId="0" applyFont="1" applyFill="1" applyBorder="1" applyAlignment="1">
      <alignment horizontal="center"/>
    </xf>
    <xf numFmtId="0" fontId="3" fillId="27" borderId="79" xfId="0" applyFont="1" applyFill="1" applyBorder="1" applyAlignment="1">
      <alignment horizontal="center"/>
    </xf>
    <xf numFmtId="0" fontId="3" fillId="42" borderId="77" xfId="0" applyFont="1" applyFill="1" applyBorder="1" applyAlignment="1">
      <alignment horizontal="center"/>
    </xf>
    <xf numFmtId="0" fontId="0" fillId="27" borderId="90" xfId="0" applyFill="1" applyBorder="1" applyAlignment="1">
      <alignment horizontal="center"/>
    </xf>
    <xf numFmtId="0" fontId="0" fillId="27" borderId="79" xfId="0" applyFill="1" applyBorder="1" applyAlignment="1">
      <alignment horizontal="center"/>
    </xf>
    <xf numFmtId="0" fontId="0" fillId="27" borderId="84" xfId="0" applyFill="1" applyBorder="1" applyAlignment="1">
      <alignment horizontal="center"/>
    </xf>
    <xf numFmtId="0" fontId="3" fillId="27" borderId="84" xfId="0" applyFont="1" applyFill="1" applyBorder="1" applyAlignment="1">
      <alignment horizontal="center"/>
    </xf>
    <xf numFmtId="0" fontId="51" fillId="2" borderId="77" xfId="0" applyFont="1" applyFill="1" applyBorder="1" applyAlignment="1">
      <alignment horizontal="left" wrapText="1"/>
    </xf>
    <xf numFmtId="0" fontId="6" fillId="32" borderId="26" xfId="0" applyFont="1" applyFill="1" applyBorder="1" applyAlignment="1">
      <alignment horizontal="center" wrapText="1"/>
    </xf>
    <xf numFmtId="0" fontId="6" fillId="32" borderId="0" xfId="0" applyFont="1" applyFill="1" applyBorder="1" applyAlignment="1">
      <alignment horizontal="center" wrapText="1"/>
    </xf>
    <xf numFmtId="0" fontId="6" fillId="32" borderId="66" xfId="0" applyFont="1" applyFill="1" applyBorder="1" applyAlignment="1">
      <alignment horizontal="center" wrapText="1"/>
    </xf>
    <xf numFmtId="0" fontId="6" fillId="32" borderId="21" xfId="0" applyFont="1" applyFill="1" applyBorder="1" applyAlignment="1">
      <alignment horizontal="center" wrapText="1"/>
    </xf>
    <xf numFmtId="0" fontId="6" fillId="32" borderId="20" xfId="0" applyFont="1" applyFill="1" applyBorder="1" applyAlignment="1">
      <alignment horizontal="center" wrapText="1"/>
    </xf>
    <xf numFmtId="0" fontId="6" fillId="32" borderId="54" xfId="0" applyFont="1" applyFill="1" applyBorder="1" applyAlignment="1">
      <alignment horizontal="center" wrapText="1"/>
    </xf>
    <xf numFmtId="0" fontId="6" fillId="2" borderId="92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32" borderId="92" xfId="0" applyFont="1" applyFill="1" applyBorder="1" applyAlignment="1">
      <alignment horizontal="center" wrapText="1"/>
    </xf>
    <xf numFmtId="0" fontId="6" fillId="32" borderId="71" xfId="0" applyFont="1" applyFill="1" applyBorder="1" applyAlignment="1">
      <alignment horizontal="center" wrapText="1"/>
    </xf>
    <xf numFmtId="0" fontId="6" fillId="32" borderId="89" xfId="0" applyFont="1" applyFill="1" applyBorder="1" applyAlignment="1">
      <alignment horizontal="center" wrapText="1"/>
    </xf>
    <xf numFmtId="175" fontId="6" fillId="29" borderId="109" xfId="42096" applyNumberFormat="1" applyFont="1" applyFill="1" applyBorder="1" applyAlignment="1">
      <alignment horizontal="center"/>
    </xf>
    <xf numFmtId="175" fontId="6" fillId="29" borderId="19" xfId="42096" applyNumberFormat="1" applyFont="1" applyFill="1" applyBorder="1" applyAlignment="1">
      <alignment horizontal="center"/>
    </xf>
    <xf numFmtId="0" fontId="47" fillId="29" borderId="90" xfId="0" applyFont="1" applyFill="1" applyBorder="1" applyAlignment="1">
      <alignment horizontal="center" wrapText="1"/>
    </xf>
    <xf numFmtId="0" fontId="47" fillId="29" borderId="84" xfId="0" applyFont="1" applyFill="1" applyBorder="1" applyAlignment="1">
      <alignment horizontal="center" wrapText="1"/>
    </xf>
    <xf numFmtId="0" fontId="47" fillId="29" borderId="79" xfId="0" applyFont="1" applyFill="1" applyBorder="1" applyAlignment="1">
      <alignment horizontal="center" wrapText="1"/>
    </xf>
    <xf numFmtId="0" fontId="47" fillId="37" borderId="77" xfId="0" applyFont="1" applyFill="1" applyBorder="1" applyAlignment="1">
      <alignment horizontal="center"/>
    </xf>
    <xf numFmtId="43" fontId="6" fillId="29" borderId="90" xfId="42096" applyNumberFormat="1" applyFont="1" applyFill="1" applyBorder="1" applyAlignment="1">
      <alignment horizontal="center"/>
    </xf>
    <xf numFmtId="43" fontId="6" fillId="29" borderId="77" xfId="42096" applyNumberFormat="1" applyFont="1" applyFill="1" applyBorder="1" applyAlignment="1">
      <alignment horizontal="center"/>
    </xf>
    <xf numFmtId="1" fontId="6" fillId="29" borderId="71" xfId="0" applyNumberFormat="1" applyFont="1" applyFill="1" applyBorder="1" applyAlignment="1">
      <alignment horizontal="center"/>
    </xf>
    <xf numFmtId="1" fontId="6" fillId="29" borderId="20" xfId="0" applyNumberFormat="1" applyFont="1" applyFill="1" applyBorder="1" applyAlignment="1">
      <alignment horizontal="center"/>
    </xf>
    <xf numFmtId="170" fontId="6" fillId="29" borderId="91" xfId="0" applyNumberFormat="1" applyFont="1" applyFill="1" applyBorder="1" applyAlignment="1">
      <alignment horizontal="center" wrapText="1"/>
    </xf>
    <xf numFmtId="170" fontId="6" fillId="29" borderId="19" xfId="0" applyNumberFormat="1" applyFont="1" applyFill="1" applyBorder="1" applyAlignment="1">
      <alignment horizontal="center" wrapText="1"/>
    </xf>
    <xf numFmtId="0" fontId="6" fillId="2" borderId="91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164" fontId="6" fillId="2" borderId="66" xfId="0" applyNumberFormat="1" applyFont="1" applyFill="1" applyBorder="1" applyAlignment="1">
      <alignment horizontal="center"/>
    </xf>
    <xf numFmtId="0" fontId="6" fillId="2" borderId="66" xfId="0" applyFont="1" applyFill="1" applyBorder="1" applyAlignment="1">
      <alignment horizontal="center"/>
    </xf>
    <xf numFmtId="164" fontId="6" fillId="2" borderId="89" xfId="0" applyNumberFormat="1" applyFont="1" applyFill="1" applyBorder="1" applyAlignment="1">
      <alignment horizontal="center"/>
    </xf>
    <xf numFmtId="0" fontId="6" fillId="2" borderId="89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164" fontId="6" fillId="2" borderId="92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6" fillId="2" borderId="77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54" xfId="0" applyFont="1" applyFill="1" applyBorder="1" applyAlignment="1">
      <alignment horizontal="center" wrapText="1"/>
    </xf>
    <xf numFmtId="164" fontId="6" fillId="2" borderId="77" xfId="0" applyNumberFormat="1" applyFont="1" applyFill="1" applyBorder="1" applyAlignment="1">
      <alignment horizontal="center" wrapText="1"/>
    </xf>
    <xf numFmtId="0" fontId="6" fillId="30" borderId="92" xfId="0" applyFont="1" applyFill="1" applyBorder="1" applyAlignment="1">
      <alignment horizontal="center"/>
    </xf>
    <xf numFmtId="0" fontId="6" fillId="30" borderId="71" xfId="0" applyFont="1" applyFill="1" applyBorder="1" applyAlignment="1">
      <alignment horizontal="center"/>
    </xf>
    <xf numFmtId="0" fontId="6" fillId="30" borderId="89" xfId="0" applyFont="1" applyFill="1" applyBorder="1" applyAlignment="1">
      <alignment horizontal="center"/>
    </xf>
    <xf numFmtId="0" fontId="6" fillId="30" borderId="21" xfId="0" applyFont="1" applyFill="1" applyBorder="1" applyAlignment="1">
      <alignment horizontal="center"/>
    </xf>
    <xf numFmtId="0" fontId="6" fillId="30" borderId="20" xfId="0" applyFont="1" applyFill="1" applyBorder="1" applyAlignment="1">
      <alignment horizontal="center"/>
    </xf>
    <xf numFmtId="0" fontId="6" fillId="30" borderId="54" xfId="0" applyFont="1" applyFill="1" applyBorder="1" applyAlignment="1">
      <alignment horizontal="center"/>
    </xf>
    <xf numFmtId="166" fontId="6" fillId="30" borderId="77" xfId="0" applyNumberFormat="1" applyFont="1" applyFill="1" applyBorder="1" applyAlignment="1">
      <alignment horizontal="center"/>
    </xf>
    <xf numFmtId="0" fontId="30" fillId="30" borderId="90" xfId="0" applyFont="1" applyFill="1" applyBorder="1" applyAlignment="1">
      <alignment horizontal="center" wrapText="1"/>
    </xf>
    <xf numFmtId="0" fontId="30" fillId="30" borderId="84" xfId="0" applyFont="1" applyFill="1" applyBorder="1" applyAlignment="1">
      <alignment horizontal="center" wrapText="1"/>
    </xf>
    <xf numFmtId="0" fontId="30" fillId="30" borderId="79" xfId="0" applyFont="1" applyFill="1" applyBorder="1" applyAlignment="1">
      <alignment horizontal="center" wrapText="1"/>
    </xf>
    <xf numFmtId="0" fontId="47" fillId="37" borderId="90" xfId="0" applyFont="1" applyFill="1" applyBorder="1" applyAlignment="1">
      <alignment horizontal="center"/>
    </xf>
    <xf numFmtId="0" fontId="47" fillId="37" borderId="84" xfId="0" applyFont="1" applyFill="1" applyBorder="1" applyAlignment="1">
      <alignment horizontal="center"/>
    </xf>
    <xf numFmtId="0" fontId="47" fillId="37" borderId="79" xfId="0" applyFont="1" applyFill="1" applyBorder="1" applyAlignment="1">
      <alignment horizontal="center"/>
    </xf>
    <xf numFmtId="0" fontId="51" fillId="2" borderId="90" xfId="0" applyFont="1" applyFill="1" applyBorder="1" applyAlignment="1">
      <alignment horizontal="center" wrapText="1"/>
    </xf>
    <xf numFmtId="0" fontId="51" fillId="2" borderId="84" xfId="0" applyFont="1" applyFill="1" applyBorder="1" applyAlignment="1">
      <alignment horizontal="center" wrapText="1"/>
    </xf>
    <xf numFmtId="0" fontId="51" fillId="2" borderId="79" xfId="0" applyFont="1" applyFill="1" applyBorder="1" applyAlignment="1">
      <alignment horizontal="center" wrapText="1"/>
    </xf>
    <xf numFmtId="0" fontId="30" fillId="27" borderId="90" xfId="0" applyFont="1" applyFill="1" applyBorder="1" applyAlignment="1">
      <alignment horizontal="center"/>
    </xf>
    <xf numFmtId="0" fontId="30" fillId="27" borderId="84" xfId="0" applyFont="1" applyFill="1" applyBorder="1" applyAlignment="1">
      <alignment horizontal="center"/>
    </xf>
    <xf numFmtId="0" fontId="30" fillId="27" borderId="79" xfId="0" applyFont="1" applyFill="1" applyBorder="1" applyAlignment="1">
      <alignment horizontal="center"/>
    </xf>
    <xf numFmtId="175" fontId="6" fillId="29" borderId="84" xfId="42096" applyNumberFormat="1" applyFont="1" applyFill="1" applyBorder="1" applyAlignment="1"/>
    <xf numFmtId="0" fontId="6" fillId="29" borderId="92" xfId="0" applyFont="1" applyFill="1" applyBorder="1" applyAlignment="1">
      <alignment horizontal="center"/>
    </xf>
    <xf numFmtId="0" fontId="6" fillId="29" borderId="71" xfId="0" applyFont="1" applyFill="1" applyBorder="1" applyAlignment="1">
      <alignment horizontal="center"/>
    </xf>
    <xf numFmtId="0" fontId="6" fillId="29" borderId="89" xfId="0" applyFont="1" applyFill="1" applyBorder="1" applyAlignment="1">
      <alignment horizontal="center"/>
    </xf>
    <xf numFmtId="0" fontId="6" fillId="29" borderId="21" xfId="0" applyFont="1" applyFill="1" applyBorder="1" applyAlignment="1">
      <alignment horizontal="center"/>
    </xf>
    <xf numFmtId="0" fontId="6" fillId="29" borderId="20" xfId="0" applyFont="1" applyFill="1" applyBorder="1" applyAlignment="1">
      <alignment horizontal="center"/>
    </xf>
    <xf numFmtId="0" fontId="6" fillId="29" borderId="54" xfId="0" applyFont="1" applyFill="1" applyBorder="1" applyAlignment="1">
      <alignment horizontal="center"/>
    </xf>
    <xf numFmtId="0" fontId="6" fillId="2" borderId="92" xfId="0" applyFont="1" applyFill="1" applyBorder="1" applyAlignment="1">
      <alignment horizontal="center" wrapText="1"/>
    </xf>
    <xf numFmtId="0" fontId="6" fillId="2" borderId="86" xfId="0" applyFont="1" applyFill="1" applyBorder="1" applyAlignment="1">
      <alignment horizontal="center" wrapText="1"/>
    </xf>
    <xf numFmtId="0" fontId="6" fillId="2" borderId="89" xfId="0" applyFont="1" applyFill="1" applyBorder="1" applyAlignment="1">
      <alignment horizontal="center" wrapText="1"/>
    </xf>
    <xf numFmtId="0" fontId="6" fillId="32" borderId="86" xfId="0" applyFont="1" applyFill="1" applyBorder="1" applyAlignment="1">
      <alignment horizontal="center" wrapText="1"/>
    </xf>
    <xf numFmtId="174" fontId="6" fillId="2" borderId="77" xfId="0" applyNumberFormat="1" applyFont="1" applyFill="1" applyBorder="1" applyAlignment="1">
      <alignment horizontal="center" wrapText="1"/>
    </xf>
    <xf numFmtId="174" fontId="6" fillId="2" borderId="91" xfId="0" applyNumberFormat="1" applyFont="1" applyFill="1" applyBorder="1" applyAlignment="1">
      <alignment horizontal="center" wrapText="1"/>
    </xf>
    <xf numFmtId="0" fontId="40" fillId="35" borderId="1" xfId="0" applyFont="1" applyFill="1" applyBorder="1" applyAlignment="1">
      <alignment horizontal="center"/>
    </xf>
    <xf numFmtId="0" fontId="40" fillId="35" borderId="2" xfId="0" applyFont="1" applyFill="1" applyBorder="1" applyAlignment="1">
      <alignment horizontal="center"/>
    </xf>
    <xf numFmtId="0" fontId="40" fillId="35" borderId="60" xfId="0" applyFont="1" applyFill="1" applyBorder="1" applyAlignment="1">
      <alignment horizontal="center"/>
    </xf>
    <xf numFmtId="1" fontId="6" fillId="30" borderId="77" xfId="0" applyNumberFormat="1" applyFont="1" applyFill="1" applyBorder="1" applyAlignment="1">
      <alignment horizontal="center"/>
    </xf>
    <xf numFmtId="0" fontId="6" fillId="30" borderId="77" xfId="0" applyFont="1" applyFill="1" applyBorder="1" applyAlignment="1">
      <alignment horizontal="center"/>
    </xf>
    <xf numFmtId="164" fontId="6" fillId="2" borderId="91" xfId="0" applyNumberFormat="1" applyFont="1" applyFill="1" applyBorder="1" applyAlignment="1">
      <alignment horizontal="center" wrapText="1"/>
    </xf>
    <xf numFmtId="0" fontId="47" fillId="29" borderId="77" xfId="0" applyFont="1" applyFill="1" applyBorder="1" applyAlignment="1">
      <alignment horizontal="center" wrapText="1"/>
    </xf>
    <xf numFmtId="0" fontId="40" fillId="29" borderId="78" xfId="0" applyFont="1" applyFill="1" applyBorder="1" applyAlignment="1">
      <alignment horizontal="center" vertical="center" wrapText="1"/>
    </xf>
    <xf numFmtId="0" fontId="40" fillId="29" borderId="84" xfId="0" applyFont="1" applyFill="1" applyBorder="1" applyAlignment="1">
      <alignment horizontal="center" vertical="center" wrapText="1"/>
    </xf>
    <xf numFmtId="0" fontId="6" fillId="30" borderId="90" xfId="0" applyFont="1" applyFill="1" applyBorder="1" applyAlignment="1">
      <alignment horizontal="center"/>
    </xf>
    <xf numFmtId="0" fontId="6" fillId="30" borderId="79" xfId="0" applyFont="1" applyFill="1" applyBorder="1" applyAlignment="1">
      <alignment horizontal="center"/>
    </xf>
    <xf numFmtId="0" fontId="6" fillId="30" borderId="90" xfId="0" applyFont="1" applyFill="1" applyBorder="1" applyAlignment="1">
      <alignment horizontal="center" wrapText="1"/>
    </xf>
    <xf numFmtId="0" fontId="6" fillId="30" borderId="84" xfId="0" applyFont="1" applyFill="1" applyBorder="1" applyAlignment="1">
      <alignment horizontal="center" wrapText="1"/>
    </xf>
    <xf numFmtId="0" fontId="6" fillId="30" borderId="79" xfId="0" applyFont="1" applyFill="1" applyBorder="1" applyAlignment="1">
      <alignment horizontal="center" wrapText="1"/>
    </xf>
    <xf numFmtId="0" fontId="41" fillId="29" borderId="77" xfId="0" applyFont="1" applyFill="1" applyBorder="1" applyAlignment="1">
      <alignment horizontal="center" vertical="center"/>
    </xf>
    <xf numFmtId="0" fontId="41" fillId="29" borderId="77" xfId="0" applyFont="1" applyFill="1" applyBorder="1" applyAlignment="1">
      <alignment horizontal="center" vertical="center" wrapText="1"/>
    </xf>
  </cellXfs>
  <cellStyles count="42097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1 8" xfId="41713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41714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3 8" xfId="41715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4 8" xfId="41716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5 8" xfId="41717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20% - Énfasis6 8" xfId="41718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1 8" xfId="41719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2 8" xfId="41720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3 8" xfId="41721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4 8" xfId="41722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5 8" xfId="41723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40% - Énfasis6 8" xfId="41724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1 8" xfId="41725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2 8" xfId="41726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3 8" xfId="41727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4 8" xfId="41728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5 8" xfId="41729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60% - Énfasis6 8" xfId="41730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Buena 8" xfId="41731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álculo 9" xfId="41732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de comprobación 8" xfId="41733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Celda vinculada 8" xfId="41734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Encabezado 4 8" xfId="41735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1 8" xfId="41736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2 8" xfId="41737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3 8" xfId="41738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4 8" xfId="41739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5 8" xfId="41740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Énfasis6 8" xfId="41741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ntrada 9" xfId="41742"/>
    <cellStyle name="Excel Built-in Normal" xfId="5734"/>
    <cellStyle name="Hipervínculo 2" xfId="41743"/>
    <cellStyle name="Hipervínculo 2 2" xfId="41744"/>
    <cellStyle name="Hipervínculo 3" xfId="41745"/>
    <cellStyle name="Hipervínculo 3 2" xfId="41746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Incorrecto 8" xfId="41747"/>
    <cellStyle name="Millares" xfId="42096" builtinId="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16" xfId="41748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Moneda 8" xfId="41749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eutral 8" xfId="41750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2 2" xfId="41751"/>
    <cellStyle name="Normal 10 20" xfId="41752"/>
    <cellStyle name="Normal 10 3" xfId="6076"/>
    <cellStyle name="Normal 10 3 2" xfId="41753"/>
    <cellStyle name="Normal 10 4" xfId="6077"/>
    <cellStyle name="Normal 10 4 2" xfId="41754"/>
    <cellStyle name="Normal 10 5" xfId="6078"/>
    <cellStyle name="Normal 10 5 2" xfId="41755"/>
    <cellStyle name="Normal 10 6" xfId="6079"/>
    <cellStyle name="Normal 10 6 2" xfId="41756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4 2" xfId="41757"/>
    <cellStyle name="Normal 11 5" xfId="6172"/>
    <cellStyle name="Normal 11 5 2" xfId="41758"/>
    <cellStyle name="Normal 11 6" xfId="6173"/>
    <cellStyle name="Normal 11 6 2" xfId="41759"/>
    <cellStyle name="Normal 11 7" xfId="41760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3 2 2" xfId="41761"/>
    <cellStyle name="Normal 13 3" xfId="41762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16" xfId="41763"/>
    <cellStyle name="Normal 14 2" xfId="6218"/>
    <cellStyle name="Normal 14 2 2" xfId="41764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16" xfId="41765"/>
    <cellStyle name="Normal 15 2" xfId="6300"/>
    <cellStyle name="Normal 15 2 2" xfId="41766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14" xfId="41767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13" xfId="41768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2 6" xfId="41769"/>
    <cellStyle name="Normal 2 11 2 3" xfId="6928"/>
    <cellStyle name="Normal 2 11 2 3 2" xfId="41770"/>
    <cellStyle name="Normal 2 11 2 4" xfId="6929"/>
    <cellStyle name="Normal 2 11 2 4 2" xfId="41771"/>
    <cellStyle name="Normal 2 11 2 5" xfId="6930"/>
    <cellStyle name="Normal 2 11 2 5 2" xfId="41772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1 7" xfId="41773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5 6" xfId="41774"/>
    <cellStyle name="Normal 2 16" xfId="7876"/>
    <cellStyle name="Normal 2 16 2" xfId="41775"/>
    <cellStyle name="Normal 2 17" xfId="7877"/>
    <cellStyle name="Normal 2 17 2" xfId="41776"/>
    <cellStyle name="Normal 2 18" xfId="7878"/>
    <cellStyle name="Normal 2 18 2" xfId="41777"/>
    <cellStyle name="Normal 2 19" xfId="7879"/>
    <cellStyle name="Normal 2 2" xfId="7880"/>
    <cellStyle name="Normal 2 2 10" xfId="7881"/>
    <cellStyle name="Normal 2 2 10 2" xfId="41778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2 2" xfId="41779"/>
    <cellStyle name="Normal 2 2 11 2 2 3" xfId="7918"/>
    <cellStyle name="Normal 2 2 11 2 2 3 2" xfId="41780"/>
    <cellStyle name="Normal 2 2 11 2 2 4" xfId="7919"/>
    <cellStyle name="Normal 2 2 11 2 2 4 2" xfId="41781"/>
    <cellStyle name="Normal 2 2 11 2 2 5" xfId="7920"/>
    <cellStyle name="Normal 2 2 11 2 2 5 2" xfId="41782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2 6" xfId="41783"/>
    <cellStyle name="Normal 2 2 11 3" xfId="8225"/>
    <cellStyle name="Normal 2 2 11 3 2" xfId="41784"/>
    <cellStyle name="Normal 2 2 11 4" xfId="8226"/>
    <cellStyle name="Normal 2 2 11 4 2" xfId="41785"/>
    <cellStyle name="Normal 2 2 11 5" xfId="8227"/>
    <cellStyle name="Normal 2 2 11 5 2" xfId="41786"/>
    <cellStyle name="Normal 2 2 11 6" xfId="8228"/>
    <cellStyle name="Normal 2 2 11 6 2" xfId="41787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2 2" xfId="41788"/>
    <cellStyle name="Normal 2 2 13" xfId="8292"/>
    <cellStyle name="Normal 2 2 13 2" xfId="41789"/>
    <cellStyle name="Normal 2 2 14" xfId="8293"/>
    <cellStyle name="Normal 2 2 14 2" xfId="41790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2 2" xfId="41791"/>
    <cellStyle name="Normal 2 2 15 3" xfId="8311"/>
    <cellStyle name="Normal 2 2 15 3 2" xfId="41792"/>
    <cellStyle name="Normal 2 2 15 4" xfId="8312"/>
    <cellStyle name="Normal 2 2 15 4 2" xfId="41793"/>
    <cellStyle name="Normal 2 2 15 5" xfId="8313"/>
    <cellStyle name="Normal 2 2 15 5 2" xfId="41794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3 6" xfId="41795"/>
    <cellStyle name="Normal 2 2 2 14" xfId="9181"/>
    <cellStyle name="Normal 2 2 2 14 2" xfId="41796"/>
    <cellStyle name="Normal 2 2 2 15" xfId="9182"/>
    <cellStyle name="Normal 2 2 2 15 2" xfId="41797"/>
    <cellStyle name="Normal 2 2 2 16" xfId="9183"/>
    <cellStyle name="Normal 2 2 2 16 2" xfId="41798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0 2" xfId="41799"/>
    <cellStyle name="Normal 2 2 2 2 11" xfId="9266"/>
    <cellStyle name="Normal 2 2 2 2 11 2" xfId="41800"/>
    <cellStyle name="Normal 2 2 2 2 12" xfId="9267"/>
    <cellStyle name="Normal 2 2 2 2 12 2" xfId="41801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2 2" xfId="41802"/>
    <cellStyle name="Normal 2 2 2 2 13 3" xfId="9285"/>
    <cellStyle name="Normal 2 2 2 2 13 3 2" xfId="41803"/>
    <cellStyle name="Normal 2 2 2 2 13 4" xfId="9286"/>
    <cellStyle name="Normal 2 2 2 2 13 4 2" xfId="41804"/>
    <cellStyle name="Normal 2 2 2 2 13 5" xfId="9287"/>
    <cellStyle name="Normal 2 2 2 2 13 5 2" xfId="41805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17" xfId="41806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10" xfId="41807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2 2" xfId="41808"/>
    <cellStyle name="Normal 2 2 2 2 2 2 2 2 2 3" xfId="9706"/>
    <cellStyle name="Normal 2 2 2 2 2 2 2 2 2 3 2" xfId="41809"/>
    <cellStyle name="Normal 2 2 2 2 2 2 2 2 2 4" xfId="9707"/>
    <cellStyle name="Normal 2 2 2 2 2 2 2 2 2 4 2" xfId="41810"/>
    <cellStyle name="Normal 2 2 2 2 2 2 2 2 2 5" xfId="9708"/>
    <cellStyle name="Normal 2 2 2 2 2 2 2 2 2 5 2" xfId="41811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2 6" xfId="41812"/>
    <cellStyle name="Normal 2 2 2 2 2 2 2 3" xfId="10013"/>
    <cellStyle name="Normal 2 2 2 2 2 2 2 3 2" xfId="41813"/>
    <cellStyle name="Normal 2 2 2 2 2 2 2 4" xfId="10014"/>
    <cellStyle name="Normal 2 2 2 2 2 2 2 4 2" xfId="41814"/>
    <cellStyle name="Normal 2 2 2 2 2 2 2 5" xfId="10015"/>
    <cellStyle name="Normal 2 2 2 2 2 2 2 5 2" xfId="41815"/>
    <cellStyle name="Normal 2 2 2 2 2 2 2 6" xfId="10016"/>
    <cellStyle name="Normal 2 2 2 2 2 2 2 6 2" xfId="41816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3 2" xfId="41817"/>
    <cellStyle name="Normal 2 2 2 2 2 2 4" xfId="10080"/>
    <cellStyle name="Normal 2 2 2 2 2 2 4 2" xfId="41818"/>
    <cellStyle name="Normal 2 2 2 2 2 2 5" xfId="10081"/>
    <cellStyle name="Normal 2 2 2 2 2 2 5 2" xfId="41819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2 2" xfId="41820"/>
    <cellStyle name="Normal 2 2 2 2 2 2 6 3" xfId="10099"/>
    <cellStyle name="Normal 2 2 2 2 2 2 6 3 2" xfId="41821"/>
    <cellStyle name="Normal 2 2 2 2 2 2 6 4" xfId="10100"/>
    <cellStyle name="Normal 2 2 2 2 2 2 6 4 2" xfId="41822"/>
    <cellStyle name="Normal 2 2 2 2 2 2 6 5" xfId="10101"/>
    <cellStyle name="Normal 2 2 2 2 2 2 6 5 2" xfId="41823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2 6" xfId="41824"/>
    <cellStyle name="Normal 2 2 2 2 2 3 2 3" xfId="10747"/>
    <cellStyle name="Normal 2 2 2 2 2 3 2 3 2" xfId="41825"/>
    <cellStyle name="Normal 2 2 2 2 2 3 2 4" xfId="10748"/>
    <cellStyle name="Normal 2 2 2 2 2 3 2 4 2" xfId="41826"/>
    <cellStyle name="Normal 2 2 2 2 2 3 2 5" xfId="10749"/>
    <cellStyle name="Normal 2 2 2 2 2 3 2 5 2" xfId="41827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3 7" xfId="41828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6 6" xfId="41829"/>
    <cellStyle name="Normal 2 2 2 2 2 7" xfId="11615"/>
    <cellStyle name="Normal 2 2 2 2 2 7 2" xfId="41830"/>
    <cellStyle name="Normal 2 2 2 2 2 8" xfId="11616"/>
    <cellStyle name="Normal 2 2 2 2 2 8 2" xfId="41831"/>
    <cellStyle name="Normal 2 2 2 2 2 9" xfId="11617"/>
    <cellStyle name="Normal 2 2 2 2 2 9 2" xfId="41832"/>
    <cellStyle name="Normal 2 2 2 2 3" xfId="11618"/>
    <cellStyle name="Normal 2 2 2 2 3 2" xfId="41833"/>
    <cellStyle name="Normal 2 2 2 2 4" xfId="11619"/>
    <cellStyle name="Normal 2 2 2 2 4 2" xfId="41834"/>
    <cellStyle name="Normal 2 2 2 2 5" xfId="11620"/>
    <cellStyle name="Normal 2 2 2 2 5 2" xfId="41835"/>
    <cellStyle name="Normal 2 2 2 2 6" xfId="11621"/>
    <cellStyle name="Normal 2 2 2 2 6 2" xfId="41836"/>
    <cellStyle name="Normal 2 2 2 2 7" xfId="11622"/>
    <cellStyle name="Normal 2 2 2 2 7 2" xfId="41837"/>
    <cellStyle name="Normal 2 2 2 2 8" xfId="11623"/>
    <cellStyle name="Normal 2 2 2 2 8 2" xfId="41838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2 2" xfId="41839"/>
    <cellStyle name="Normal 2 2 2 2 9 2 2 3" xfId="11660"/>
    <cellStyle name="Normal 2 2 2 2 9 2 2 3 2" xfId="41840"/>
    <cellStyle name="Normal 2 2 2 2 9 2 2 4" xfId="11661"/>
    <cellStyle name="Normal 2 2 2 2 9 2 2 4 2" xfId="41841"/>
    <cellStyle name="Normal 2 2 2 2 9 2 2 5" xfId="11662"/>
    <cellStyle name="Normal 2 2 2 2 9 2 2 5 2" xfId="41842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2 6" xfId="41843"/>
    <cellStyle name="Normal 2 2 2 2 9 3" xfId="11967"/>
    <cellStyle name="Normal 2 2 2 2 9 3 2" xfId="41844"/>
    <cellStyle name="Normal 2 2 2 2 9 4" xfId="11968"/>
    <cellStyle name="Normal 2 2 2 2 9 4 2" xfId="41845"/>
    <cellStyle name="Normal 2 2 2 2 9 5" xfId="11969"/>
    <cellStyle name="Normal 2 2 2 2 9 5 2" xfId="41846"/>
    <cellStyle name="Normal 2 2 2 2 9 6" xfId="11970"/>
    <cellStyle name="Normal 2 2 2 2 9 6 2" xfId="41847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10" xfId="41848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2 6" xfId="41849"/>
    <cellStyle name="Normal 2 2 2 3 2 2 2 3" xfId="12449"/>
    <cellStyle name="Normal 2 2 2 3 2 2 2 3 2" xfId="41850"/>
    <cellStyle name="Normal 2 2 2 3 2 2 2 4" xfId="12450"/>
    <cellStyle name="Normal 2 2 2 3 2 2 2 4 2" xfId="41851"/>
    <cellStyle name="Normal 2 2 2 3 2 2 2 5" xfId="12451"/>
    <cellStyle name="Normal 2 2 2 3 2 2 2 5 2" xfId="41852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 7" xfId="41853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6 6" xfId="41854"/>
    <cellStyle name="Normal 2 2 2 3 2 7" xfId="13400"/>
    <cellStyle name="Normal 2 2 2 3 2 7 2" xfId="41855"/>
    <cellStyle name="Normal 2 2 2 3 2 8" xfId="13401"/>
    <cellStyle name="Normal 2 2 2 3 2 8 2" xfId="41856"/>
    <cellStyle name="Normal 2 2 2 3 2 9" xfId="13402"/>
    <cellStyle name="Normal 2 2 2 3 2 9 2" xfId="41857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2 2" xfId="41858"/>
    <cellStyle name="Normal 2 2 2 3 3 2 2 3" xfId="13439"/>
    <cellStyle name="Normal 2 2 2 3 3 2 2 3 2" xfId="41859"/>
    <cellStyle name="Normal 2 2 2 3 3 2 2 4" xfId="13440"/>
    <cellStyle name="Normal 2 2 2 3 3 2 2 4 2" xfId="41860"/>
    <cellStyle name="Normal 2 2 2 3 3 2 2 5" xfId="13441"/>
    <cellStyle name="Normal 2 2 2 3 3 2 2 5 2" xfId="41861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2 6" xfId="41862"/>
    <cellStyle name="Normal 2 2 2 3 3 3" xfId="13746"/>
    <cellStyle name="Normal 2 2 2 3 3 3 2" xfId="41863"/>
    <cellStyle name="Normal 2 2 2 3 3 4" xfId="13747"/>
    <cellStyle name="Normal 2 2 2 3 3 4 2" xfId="41864"/>
    <cellStyle name="Normal 2 2 2 3 3 5" xfId="13748"/>
    <cellStyle name="Normal 2 2 2 3 3 5 2" xfId="41865"/>
    <cellStyle name="Normal 2 2 2 3 3 6" xfId="13749"/>
    <cellStyle name="Normal 2 2 2 3 3 6 2" xfId="41866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4 2" xfId="41867"/>
    <cellStyle name="Normal 2 2 2 3 5" xfId="13813"/>
    <cellStyle name="Normal 2 2 2 3 5 2" xfId="41868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2 2" xfId="41869"/>
    <cellStyle name="Normal 2 2 2 3 6 3" xfId="13831"/>
    <cellStyle name="Normal 2 2 2 3 6 3 2" xfId="41870"/>
    <cellStyle name="Normal 2 2 2 3 6 4" xfId="13832"/>
    <cellStyle name="Normal 2 2 2 3 6 4 2" xfId="41871"/>
    <cellStyle name="Normal 2 2 2 3 6 5" xfId="13833"/>
    <cellStyle name="Normal 2 2 2 3 6 5 2" xfId="41872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2 6" xfId="41873"/>
    <cellStyle name="Normal 2 2 2 9 2 3" xfId="14876"/>
    <cellStyle name="Normal 2 2 2 9 2 3 2" xfId="41874"/>
    <cellStyle name="Normal 2 2 2 9 2 4" xfId="14877"/>
    <cellStyle name="Normal 2 2 2 9 2 4 2" xfId="41875"/>
    <cellStyle name="Normal 2 2 2 9 2 5" xfId="14878"/>
    <cellStyle name="Normal 2 2 2 9 2 5 2" xfId="41876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 9 7" xfId="41877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 2" xfId="41878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10" xfId="41879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2 2" xfId="41880"/>
    <cellStyle name="Normal 2 2 4 2 2 2 2 3" xfId="15390"/>
    <cellStyle name="Normal 2 2 4 2 2 2 2 3 2" xfId="41881"/>
    <cellStyle name="Normal 2 2 4 2 2 2 2 4" xfId="15391"/>
    <cellStyle name="Normal 2 2 4 2 2 2 2 4 2" xfId="41882"/>
    <cellStyle name="Normal 2 2 4 2 2 2 2 5" xfId="15392"/>
    <cellStyle name="Normal 2 2 4 2 2 2 2 5 2" xfId="41883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2 6" xfId="41884"/>
    <cellStyle name="Normal 2 2 4 2 2 3" xfId="15697"/>
    <cellStyle name="Normal 2 2 4 2 2 3 2" xfId="41885"/>
    <cellStyle name="Normal 2 2 4 2 2 4" xfId="15698"/>
    <cellStyle name="Normal 2 2 4 2 2 4 2" xfId="41886"/>
    <cellStyle name="Normal 2 2 4 2 2 5" xfId="15699"/>
    <cellStyle name="Normal 2 2 4 2 2 5 2" xfId="41887"/>
    <cellStyle name="Normal 2 2 4 2 2 6" xfId="15700"/>
    <cellStyle name="Normal 2 2 4 2 2 6 2" xfId="41888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3 2" xfId="41889"/>
    <cellStyle name="Normal 2 2 4 2 4" xfId="15764"/>
    <cellStyle name="Normal 2 2 4 2 4 2" xfId="41890"/>
    <cellStyle name="Normal 2 2 4 2 5" xfId="15765"/>
    <cellStyle name="Normal 2 2 4 2 5 2" xfId="41891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2 2" xfId="41892"/>
    <cellStyle name="Normal 2 2 4 2 6 3" xfId="15783"/>
    <cellStyle name="Normal 2 2 4 2 6 3 2" xfId="41893"/>
    <cellStyle name="Normal 2 2 4 2 6 4" xfId="15784"/>
    <cellStyle name="Normal 2 2 4 2 6 4 2" xfId="41894"/>
    <cellStyle name="Normal 2 2 4 2 6 5" xfId="15785"/>
    <cellStyle name="Normal 2 2 4 2 6 5 2" xfId="41895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2 6" xfId="41896"/>
    <cellStyle name="Normal 2 2 4 3 2 3" xfId="16431"/>
    <cellStyle name="Normal 2 2 4 3 2 3 2" xfId="41897"/>
    <cellStyle name="Normal 2 2 4 3 2 4" xfId="16432"/>
    <cellStyle name="Normal 2 2 4 3 2 4 2" xfId="41898"/>
    <cellStyle name="Normal 2 2 4 3 2 5" xfId="16433"/>
    <cellStyle name="Normal 2 2 4 3 2 5 2" xfId="41899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3 7" xfId="41900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6 6" xfId="41901"/>
    <cellStyle name="Normal 2 2 4 7" xfId="17299"/>
    <cellStyle name="Normal 2 2 4 7 2" xfId="41902"/>
    <cellStyle name="Normal 2 2 4 8" xfId="17300"/>
    <cellStyle name="Normal 2 2 4 8 2" xfId="41903"/>
    <cellStyle name="Normal 2 2 4 9" xfId="17301"/>
    <cellStyle name="Normal 2 2 4 9 2" xfId="41904"/>
    <cellStyle name="Normal 2 2 5" xfId="17302"/>
    <cellStyle name="Normal 2 2 5 2" xfId="41905"/>
    <cellStyle name="Normal 2 2 6" xfId="17303"/>
    <cellStyle name="Normal 2 2 6 2" xfId="41906"/>
    <cellStyle name="Normal 2 2 7" xfId="17304"/>
    <cellStyle name="Normal 2 2 7 2" xfId="41907"/>
    <cellStyle name="Normal 2 2 8" xfId="17305"/>
    <cellStyle name="Normal 2 2 8 2" xfId="41908"/>
    <cellStyle name="Normal 2 2 9" xfId="17306"/>
    <cellStyle name="Normal 2 2 9 2" xfId="41909"/>
    <cellStyle name="Normal 2 20" xfId="17307"/>
    <cellStyle name="Normal 2 20 2" xfId="41910"/>
    <cellStyle name="Normal 2 21" xfId="17308"/>
    <cellStyle name="Normal 2 22" xfId="17309"/>
    <cellStyle name="Normal 2 22 2" xfId="41911"/>
    <cellStyle name="Normal 2 23" xfId="41710"/>
    <cellStyle name="Normal 2 3" xfId="17310"/>
    <cellStyle name="Normal 2 3 10" xfId="17311"/>
    <cellStyle name="Normal 2 3 10 2" xfId="41912"/>
    <cellStyle name="Normal 2 3 11" xfId="17312"/>
    <cellStyle name="Normal 2 3 11 2" xfId="41913"/>
    <cellStyle name="Normal 2 3 12" xfId="17313"/>
    <cellStyle name="Normal 2 3 12 2" xfId="41914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2 2" xfId="41915"/>
    <cellStyle name="Normal 2 3 13 3" xfId="17331"/>
    <cellStyle name="Normal 2 3 13 3 2" xfId="41916"/>
    <cellStyle name="Normal 2 3 13 4" xfId="17332"/>
    <cellStyle name="Normal 2 3 13 4 2" xfId="41917"/>
    <cellStyle name="Normal 2 3 13 5" xfId="17333"/>
    <cellStyle name="Normal 2 3 13 5 2" xfId="41918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3 6" xfId="41919"/>
    <cellStyle name="Normal 2 3 2 14" xfId="18203"/>
    <cellStyle name="Normal 2 3 2 14 2" xfId="41920"/>
    <cellStyle name="Normal 2 3 2 15" xfId="18204"/>
    <cellStyle name="Normal 2 3 2 15 2" xfId="41921"/>
    <cellStyle name="Normal 2 3 2 16" xfId="18205"/>
    <cellStyle name="Normal 2 3 2 16 2" xfId="41922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10" xfId="41923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2 6" xfId="41924"/>
    <cellStyle name="Normal 2 3 2 2 2 2 2 3" xfId="18704"/>
    <cellStyle name="Normal 2 3 2 2 2 2 2 3 2" xfId="41925"/>
    <cellStyle name="Normal 2 3 2 2 2 2 2 4" xfId="18705"/>
    <cellStyle name="Normal 2 3 2 2 2 2 2 4 2" xfId="41926"/>
    <cellStyle name="Normal 2 3 2 2 2 2 2 5" xfId="18706"/>
    <cellStyle name="Normal 2 3 2 2 2 2 2 5 2" xfId="41927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 7" xfId="41928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6 6" xfId="41929"/>
    <cellStyle name="Normal 2 3 2 2 2 7" xfId="19655"/>
    <cellStyle name="Normal 2 3 2 2 2 7 2" xfId="41930"/>
    <cellStyle name="Normal 2 3 2 2 2 8" xfId="19656"/>
    <cellStyle name="Normal 2 3 2 2 2 8 2" xfId="41931"/>
    <cellStyle name="Normal 2 3 2 2 2 9" xfId="19657"/>
    <cellStyle name="Normal 2 3 2 2 2 9 2" xfId="41932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2 2" xfId="41933"/>
    <cellStyle name="Normal 2 3 2 2 3 2 2 3" xfId="19694"/>
    <cellStyle name="Normal 2 3 2 2 3 2 2 3 2" xfId="41934"/>
    <cellStyle name="Normal 2 3 2 2 3 2 2 4" xfId="19695"/>
    <cellStyle name="Normal 2 3 2 2 3 2 2 4 2" xfId="41935"/>
    <cellStyle name="Normal 2 3 2 2 3 2 2 5" xfId="19696"/>
    <cellStyle name="Normal 2 3 2 2 3 2 2 5 2" xfId="41936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2 6" xfId="41937"/>
    <cellStyle name="Normal 2 3 2 2 3 3" xfId="20001"/>
    <cellStyle name="Normal 2 3 2 2 3 3 2" xfId="41938"/>
    <cellStyle name="Normal 2 3 2 2 3 4" xfId="20002"/>
    <cellStyle name="Normal 2 3 2 2 3 4 2" xfId="41939"/>
    <cellStyle name="Normal 2 3 2 2 3 5" xfId="20003"/>
    <cellStyle name="Normal 2 3 2 2 3 5 2" xfId="41940"/>
    <cellStyle name="Normal 2 3 2 2 3 6" xfId="20004"/>
    <cellStyle name="Normal 2 3 2 2 3 6 2" xfId="41941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4 2" xfId="41942"/>
    <cellStyle name="Normal 2 3 2 2 5" xfId="20068"/>
    <cellStyle name="Normal 2 3 2 2 5 2" xfId="41943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2 2" xfId="41944"/>
    <cellStyle name="Normal 2 3 2 2 6 3" xfId="20086"/>
    <cellStyle name="Normal 2 3 2 2 6 3 2" xfId="41945"/>
    <cellStyle name="Normal 2 3 2 2 6 4" xfId="20087"/>
    <cellStyle name="Normal 2 3 2 2 6 4 2" xfId="41946"/>
    <cellStyle name="Normal 2 3 2 2 6 5" xfId="20088"/>
    <cellStyle name="Normal 2 3 2 2 6 5 2" xfId="41947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2 6" xfId="41948"/>
    <cellStyle name="Normal 2 3 2 9 2 3" xfId="21221"/>
    <cellStyle name="Normal 2 3 2 9 2 3 2" xfId="41949"/>
    <cellStyle name="Normal 2 3 2 9 2 4" xfId="21222"/>
    <cellStyle name="Normal 2 3 2 9 2 4 2" xfId="41950"/>
    <cellStyle name="Normal 2 3 2 9 2 5" xfId="21223"/>
    <cellStyle name="Normal 2 3 2 9 2 5 2" xfId="41951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 9 7" xfId="41952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10" xfId="41953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2 2" xfId="41954"/>
    <cellStyle name="Normal 2 3 3 2 2 2 2 3" xfId="21736"/>
    <cellStyle name="Normal 2 3 3 2 2 2 2 3 2" xfId="41955"/>
    <cellStyle name="Normal 2 3 3 2 2 2 2 4" xfId="21737"/>
    <cellStyle name="Normal 2 3 3 2 2 2 2 4 2" xfId="41956"/>
    <cellStyle name="Normal 2 3 3 2 2 2 2 5" xfId="21738"/>
    <cellStyle name="Normal 2 3 3 2 2 2 2 5 2" xfId="41957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2 6" xfId="41958"/>
    <cellStyle name="Normal 2 3 3 2 2 3" xfId="22043"/>
    <cellStyle name="Normal 2 3 3 2 2 3 2" xfId="41959"/>
    <cellStyle name="Normal 2 3 3 2 2 4" xfId="22044"/>
    <cellStyle name="Normal 2 3 3 2 2 4 2" xfId="41960"/>
    <cellStyle name="Normal 2 3 3 2 2 5" xfId="22045"/>
    <cellStyle name="Normal 2 3 3 2 2 5 2" xfId="41961"/>
    <cellStyle name="Normal 2 3 3 2 2 6" xfId="22046"/>
    <cellStyle name="Normal 2 3 3 2 2 6 2" xfId="41962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3 2" xfId="41963"/>
    <cellStyle name="Normal 2 3 3 2 4" xfId="22110"/>
    <cellStyle name="Normal 2 3 3 2 4 2" xfId="41964"/>
    <cellStyle name="Normal 2 3 3 2 5" xfId="22111"/>
    <cellStyle name="Normal 2 3 3 2 5 2" xfId="41965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2 2" xfId="41966"/>
    <cellStyle name="Normal 2 3 3 2 6 3" xfId="22129"/>
    <cellStyle name="Normal 2 3 3 2 6 3 2" xfId="41967"/>
    <cellStyle name="Normal 2 3 3 2 6 4" xfId="22130"/>
    <cellStyle name="Normal 2 3 3 2 6 4 2" xfId="41968"/>
    <cellStyle name="Normal 2 3 3 2 6 5" xfId="22131"/>
    <cellStyle name="Normal 2 3 3 2 6 5 2" xfId="41969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2 6" xfId="41970"/>
    <cellStyle name="Normal 2 3 3 3 2 3" xfId="22774"/>
    <cellStyle name="Normal 2 3 3 3 2 3 2" xfId="41971"/>
    <cellStyle name="Normal 2 3 3 3 2 4" xfId="22775"/>
    <cellStyle name="Normal 2 3 3 3 2 4 2" xfId="41972"/>
    <cellStyle name="Normal 2 3 3 3 2 5" xfId="22776"/>
    <cellStyle name="Normal 2 3 3 3 2 5 2" xfId="41973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3 7" xfId="41974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6 6" xfId="41975"/>
    <cellStyle name="Normal 2 3 3 7" xfId="23642"/>
    <cellStyle name="Normal 2 3 3 7 2" xfId="41976"/>
    <cellStyle name="Normal 2 3 3 8" xfId="23643"/>
    <cellStyle name="Normal 2 3 3 8 2" xfId="41977"/>
    <cellStyle name="Normal 2 3 3 9" xfId="23644"/>
    <cellStyle name="Normal 2 3 3 9 2" xfId="41978"/>
    <cellStyle name="Normal 2 3 4" xfId="23645"/>
    <cellStyle name="Normal 2 3 4 2" xfId="41979"/>
    <cellStyle name="Normal 2 3 5" xfId="23646"/>
    <cellStyle name="Normal 2 3 5 2" xfId="41980"/>
    <cellStyle name="Normal 2 3 6" xfId="23647"/>
    <cellStyle name="Normal 2 3 6 2" xfId="41981"/>
    <cellStyle name="Normal 2 3 7" xfId="23648"/>
    <cellStyle name="Normal 2 3 7 2" xfId="41982"/>
    <cellStyle name="Normal 2 3 8" xfId="23649"/>
    <cellStyle name="Normal 2 3 8 2" xfId="41983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2 2" xfId="41984"/>
    <cellStyle name="Normal 2 3 9 2 2 3" xfId="23686"/>
    <cellStyle name="Normal 2 3 9 2 2 3 2" xfId="41985"/>
    <cellStyle name="Normal 2 3 9 2 2 4" xfId="23687"/>
    <cellStyle name="Normal 2 3 9 2 2 4 2" xfId="41986"/>
    <cellStyle name="Normal 2 3 9 2 2 5" xfId="23688"/>
    <cellStyle name="Normal 2 3 9 2 2 5 2" xfId="41987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2 6" xfId="41988"/>
    <cellStyle name="Normal 2 3 9 3" xfId="23993"/>
    <cellStyle name="Normal 2 3 9 3 2" xfId="41989"/>
    <cellStyle name="Normal 2 3 9 4" xfId="23994"/>
    <cellStyle name="Normal 2 3 9 4 2" xfId="41990"/>
    <cellStyle name="Normal 2 3 9 5" xfId="23995"/>
    <cellStyle name="Normal 2 3 9 5 2" xfId="41991"/>
    <cellStyle name="Normal 2 3 9 6" xfId="23996"/>
    <cellStyle name="Normal 2 3 9 6 2" xfId="41992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2 6" xfId="41993"/>
    <cellStyle name="Normal 2 4 2 2 2 3" xfId="24489"/>
    <cellStyle name="Normal 2 4 2 2 2 3 2" xfId="41994"/>
    <cellStyle name="Normal 2 4 2 2 2 4" xfId="24490"/>
    <cellStyle name="Normal 2 4 2 2 2 4 2" xfId="41995"/>
    <cellStyle name="Normal 2 4 2 2 2 5" xfId="24491"/>
    <cellStyle name="Normal 2 4 2 2 2 5 2" xfId="41996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2 7" xfId="41997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6 6" xfId="41998"/>
    <cellStyle name="Normal 2 4 2 7" xfId="25437"/>
    <cellStyle name="Normal 2 4 2 7 2" xfId="41999"/>
    <cellStyle name="Normal 2 4 2 8" xfId="25438"/>
    <cellStyle name="Normal 2 4 2 8 2" xfId="42000"/>
    <cellStyle name="Normal 2 4 2 9" xfId="25439"/>
    <cellStyle name="Normal 2 4 2 9 2" xfId="42001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2 2" xfId="42002"/>
    <cellStyle name="Normal 2 4 3 2 2 3" xfId="25478"/>
    <cellStyle name="Normal 2 4 3 2 2 3 2" xfId="42003"/>
    <cellStyle name="Normal 2 4 3 2 2 4" xfId="25479"/>
    <cellStyle name="Normal 2 4 3 2 2 4 2" xfId="42004"/>
    <cellStyle name="Normal 2 4 3 2 2 5" xfId="25480"/>
    <cellStyle name="Normal 2 4 3 2 2 5 2" xfId="42005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2 6" xfId="42006"/>
    <cellStyle name="Normal 2 4 3 3" xfId="25785"/>
    <cellStyle name="Normal 2 4 3 3 2" xfId="42007"/>
    <cellStyle name="Normal 2 4 3 4" xfId="25786"/>
    <cellStyle name="Normal 2 4 3 4 2" xfId="42008"/>
    <cellStyle name="Normal 2 4 3 5" xfId="25787"/>
    <cellStyle name="Normal 2 4 3 5 2" xfId="42009"/>
    <cellStyle name="Normal 2 4 3 6" xfId="25788"/>
    <cellStyle name="Normal 2 4 3 6 2" xfId="42010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4 2" xfId="42011"/>
    <cellStyle name="Normal 2 4 5" xfId="25852"/>
    <cellStyle name="Normal 2 4 5 2" xfId="42012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2 2" xfId="42013"/>
    <cellStyle name="Normal 2 4 6 3" xfId="25870"/>
    <cellStyle name="Normal 2 4 6 3 2" xfId="42014"/>
    <cellStyle name="Normal 2 4 6 4" xfId="25871"/>
    <cellStyle name="Normal 2 4 6 4 2" xfId="42015"/>
    <cellStyle name="Normal 2 4 6 5" xfId="25872"/>
    <cellStyle name="Normal 2 4 6 5 2" xfId="42016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5 3" xfId="42017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6 3" xfId="42018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18" xfId="42019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14" xfId="42020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13" xfId="42021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14" xfId="42022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13" xfId="42023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14" xfId="42024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13" xfId="42025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14" xfId="42026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13" xfId="42027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14" xfId="42028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13" xfId="42029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14" xfId="42030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13" xfId="42031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14" xfId="42032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13" xfId="42033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3 2" xfId="42034"/>
    <cellStyle name="Normal 3 4" xfId="27293"/>
    <cellStyle name="Normal 3 4 2" xfId="42035"/>
    <cellStyle name="Normal 3 5" xfId="27294"/>
    <cellStyle name="Normal 3 5 2" xfId="42036"/>
    <cellStyle name="Normal 3 6" xfId="27295"/>
    <cellStyle name="Normal 3 6 2" xfId="42037"/>
    <cellStyle name="Normal 3 7" xfId="27296"/>
    <cellStyle name="Normal 3 7 2" xfId="42038"/>
    <cellStyle name="Normal 3 8" xfId="27297"/>
    <cellStyle name="Normal 3 8 2" xfId="42039"/>
    <cellStyle name="Normal 3 9" xfId="42040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14" xfId="42041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13" xfId="42042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14" xfId="42043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13" xfId="42044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14" xfId="42045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13" xfId="42046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13" xfId="42047"/>
    <cellStyle name="Normal 33 2" xfId="27544"/>
    <cellStyle name="Normal 33 2 10" xfId="27545"/>
    <cellStyle name="Normal 33 2 10 2" xfId="27546"/>
    <cellStyle name="Normal 33 2 11" xfId="27547"/>
    <cellStyle name="Normal 33 2 12" xfId="42048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4 2" xfId="42049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2 3" xfId="42050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12" xfId="42051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12" xfId="42052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20" xfId="42053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22" xfId="41711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14" xfId="42054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21" xfId="42055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24" xfId="42056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15" xfId="42057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15" xfId="42058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15" xfId="42059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6 2" xfId="42060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54" xfId="41709"/>
    <cellStyle name="Normal 55" xfId="42061"/>
    <cellStyle name="Normal 56" xfId="42062"/>
    <cellStyle name="Normal 57" xfId="42063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14" xfId="42064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21" xfId="42065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24" xfId="42066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15" xfId="42067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15" xfId="42068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15" xfId="42069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6 2" xfId="42070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20" xfId="42071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22" xfId="41712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73" xfId="42072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15" xfId="42073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3 2" xfId="42074"/>
    <cellStyle name="Normal 8 4" xfId="31034"/>
    <cellStyle name="Normal 8 4 2" xfId="42075"/>
    <cellStyle name="Normal 8 5" xfId="31035"/>
    <cellStyle name="Normal 8 5 2" xfId="42076"/>
    <cellStyle name="Normal 8 6" xfId="31036"/>
    <cellStyle name="Normal 8 6 2" xfId="42077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13" xfId="42078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15" xfId="42079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14" xfId="42080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Notas 9" xfId="42081"/>
    <cellStyle name="Porcentaje" xfId="1" builtinId="5"/>
    <cellStyle name="Porcentaje 2" xfId="35799"/>
    <cellStyle name="Porcentaje 3" xfId="35800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14" xfId="42082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17" xfId="42083"/>
    <cellStyle name="Porcentual 3 2" xfId="35870"/>
    <cellStyle name="Porcentual 3 2 2" xfId="42084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17" xfId="420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17" xfId="42086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17" xfId="4208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Salida 9" xfId="42088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de advertencia 8" xfId="42089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exto explicativo 8" xfId="42090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1 8" xfId="42091"/>
    <cellStyle name="Título 10" xfId="42092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2 8" xfId="42093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3 8" xfId="42094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  <cellStyle name="Total 9" xfId="42095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8E2DE"/>
      <color rgb="FFFF5050"/>
      <color rgb="FFFF7C8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472249</xdr:colOff>
      <xdr:row>2</xdr:row>
      <xdr:rowOff>243243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596199" cy="500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32571</xdr:colOff>
      <xdr:row>1</xdr:row>
      <xdr:rowOff>24578</xdr:rowOff>
    </xdr:from>
    <xdr:to>
      <xdr:col>2</xdr:col>
      <xdr:colOff>970249</xdr:colOff>
      <xdr:row>2</xdr:row>
      <xdr:rowOff>101517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531" y="215078"/>
          <a:ext cx="1615857" cy="518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211815</xdr:colOff>
      <xdr:row>1</xdr:row>
      <xdr:rowOff>70872</xdr:rowOff>
    </xdr:from>
    <xdr:to>
      <xdr:col>2</xdr:col>
      <xdr:colOff>688730</xdr:colOff>
      <xdr:row>2</xdr:row>
      <xdr:rowOff>292546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969" y="246718"/>
          <a:ext cx="1825069" cy="602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128694</xdr:colOff>
      <xdr:row>0</xdr:row>
      <xdr:rowOff>8466</xdr:rowOff>
    </xdr:from>
    <xdr:to>
      <xdr:col>3</xdr:col>
      <xdr:colOff>134620</xdr:colOff>
      <xdr:row>0</xdr:row>
      <xdr:rowOff>351366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8694" y="8466"/>
          <a:ext cx="161459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A160"/>
  <sheetViews>
    <sheetView tabSelected="1" zoomScale="80" zoomScaleNormal="80" workbookViewId="0">
      <selection activeCell="N20" sqref="N20"/>
    </sheetView>
  </sheetViews>
  <sheetFormatPr baseColWidth="10" defaultRowHeight="15"/>
  <cols>
    <col min="1" max="1" width="7.5703125" style="120" customWidth="1"/>
    <col min="2" max="2" width="21.28515625" customWidth="1"/>
    <col min="3" max="3" width="23.5703125" customWidth="1"/>
    <col min="4" max="4" width="15.42578125" customWidth="1"/>
    <col min="5" max="5" width="14.5703125" customWidth="1"/>
    <col min="6" max="6" width="12.85546875" customWidth="1"/>
    <col min="8" max="8" width="10.5703125" customWidth="1"/>
    <col min="9" max="9" width="11.7109375" customWidth="1"/>
    <col min="10" max="17" width="11.5703125" style="120"/>
    <col min="18" max="27" width="11.42578125" style="120"/>
  </cols>
  <sheetData>
    <row r="1" spans="2:27" s="120" customFormat="1" ht="15.75" thickBot="1"/>
    <row r="2" spans="2:27" ht="31.5" customHeight="1">
      <c r="B2" s="536" t="s">
        <v>215</v>
      </c>
      <c r="C2" s="537"/>
      <c r="D2" s="537"/>
      <c r="E2" s="537"/>
      <c r="F2" s="537"/>
      <c r="G2" s="537"/>
      <c r="H2" s="537"/>
      <c r="I2" s="538"/>
    </row>
    <row r="3" spans="2:27" ht="15.6" customHeight="1">
      <c r="B3" s="539" t="s">
        <v>121</v>
      </c>
      <c r="C3" s="540"/>
      <c r="D3" s="540"/>
      <c r="E3" s="540"/>
      <c r="F3" s="540"/>
      <c r="G3" s="540"/>
      <c r="H3" s="540"/>
      <c r="I3" s="541"/>
    </row>
    <row r="4" spans="2:27" ht="15.75" thickBot="1">
      <c r="B4" s="533">
        <v>43830</v>
      </c>
      <c r="C4" s="534"/>
      <c r="D4" s="534"/>
      <c r="E4" s="534"/>
      <c r="F4" s="534"/>
      <c r="G4" s="534"/>
      <c r="H4" s="534"/>
      <c r="I4" s="535"/>
    </row>
    <row r="5" spans="2:27" s="125" customFormat="1" ht="15.75" thickBot="1">
      <c r="B5" s="121"/>
      <c r="C5" s="121"/>
      <c r="D5" s="121"/>
      <c r="E5" s="121"/>
      <c r="F5" s="121"/>
      <c r="G5" s="121"/>
      <c r="H5" s="121"/>
      <c r="I5" s="121"/>
    </row>
    <row r="6" spans="2:27" ht="32.25" thickBot="1">
      <c r="B6" s="134" t="s">
        <v>53</v>
      </c>
      <c r="C6" s="135" t="s">
        <v>54</v>
      </c>
      <c r="D6" s="136" t="s">
        <v>14</v>
      </c>
      <c r="E6" s="137" t="s">
        <v>3</v>
      </c>
      <c r="F6" s="137" t="s">
        <v>4</v>
      </c>
      <c r="G6" s="137" t="s">
        <v>5</v>
      </c>
      <c r="H6" s="137" t="s">
        <v>6</v>
      </c>
      <c r="I6" s="138" t="s">
        <v>23</v>
      </c>
    </row>
    <row r="7" spans="2:27">
      <c r="B7" s="548" t="s">
        <v>58</v>
      </c>
      <c r="C7" s="126" t="s">
        <v>32</v>
      </c>
      <c r="D7" s="50">
        <f>'Resumen periodo'!E5+'Resumen periodo'!E6</f>
        <v>5</v>
      </c>
      <c r="E7" s="51">
        <f>'Resumen periodo'!F5+'Resumen periodo'!F6</f>
        <v>0</v>
      </c>
      <c r="F7" s="51">
        <f t="shared" ref="F7:F8" si="0">D7+E7</f>
        <v>5</v>
      </c>
      <c r="G7" s="51">
        <f>'Resumen periodo'!H5+'Resumen periodo'!H6</f>
        <v>0</v>
      </c>
      <c r="H7" s="51">
        <f t="shared" ref="H7:H15" si="1">F7-G7</f>
        <v>5</v>
      </c>
      <c r="I7" s="508">
        <f t="shared" ref="I7:I15" si="2">G7/F7</f>
        <v>0</v>
      </c>
    </row>
    <row r="8" spans="2:27">
      <c r="B8" s="549"/>
      <c r="C8" s="127" t="s">
        <v>33</v>
      </c>
      <c r="D8" s="49">
        <f>'Resumen periodo'!E7+'Resumen periodo'!E8</f>
        <v>60</v>
      </c>
      <c r="E8" s="2">
        <f>'Resumen periodo'!F7+'Resumen periodo'!F8</f>
        <v>0</v>
      </c>
      <c r="F8" s="2">
        <f t="shared" si="0"/>
        <v>60</v>
      </c>
      <c r="G8" s="2">
        <f>'Resumen periodo'!H7+'Resumen periodo'!H8</f>
        <v>0</v>
      </c>
      <c r="H8" s="2">
        <f t="shared" si="1"/>
        <v>60</v>
      </c>
      <c r="I8" s="509">
        <f t="shared" si="2"/>
        <v>0</v>
      </c>
    </row>
    <row r="9" spans="2:27">
      <c r="B9" s="549"/>
      <c r="C9" s="127" t="s">
        <v>34</v>
      </c>
      <c r="D9" s="49">
        <f>'Resumen periodo'!E9+'Resumen periodo'!E10</f>
        <v>670</v>
      </c>
      <c r="E9" s="246">
        <f>'Resumen periodo'!F9+'Resumen periodo'!F10</f>
        <v>-168.94299999999998</v>
      </c>
      <c r="F9" s="2">
        <f t="shared" ref="F9:F15" si="3">D9+E9</f>
        <v>501.05700000000002</v>
      </c>
      <c r="G9" s="6">
        <f>'Resumen periodo'!H9+'Resumen periodo'!H10</f>
        <v>473.13199999999995</v>
      </c>
      <c r="H9" s="2">
        <f t="shared" si="1"/>
        <v>27.925000000000068</v>
      </c>
      <c r="I9" s="509">
        <f t="shared" si="2"/>
        <v>0.94426781783310065</v>
      </c>
    </row>
    <row r="10" spans="2:27" ht="15.75" thickBot="1">
      <c r="B10" s="549"/>
      <c r="C10" s="128" t="s">
        <v>20</v>
      </c>
      <c r="D10" s="519">
        <f>'Resumen periodo'!E11</f>
        <v>15</v>
      </c>
      <c r="E10" s="4">
        <f>'Resumen periodo'!F11</f>
        <v>0</v>
      </c>
      <c r="F10" s="4">
        <f t="shared" si="3"/>
        <v>15</v>
      </c>
      <c r="G10" s="95">
        <f>+'Pesca Invest_FA'!E22</f>
        <v>0</v>
      </c>
      <c r="H10" s="4">
        <f t="shared" si="1"/>
        <v>15</v>
      </c>
      <c r="I10" s="510">
        <f t="shared" si="2"/>
        <v>0</v>
      </c>
    </row>
    <row r="11" spans="2:27" ht="15.75" thickBot="1">
      <c r="B11" s="549"/>
      <c r="C11" s="129" t="s">
        <v>123</v>
      </c>
      <c r="D11" s="117">
        <f>SUM(D7:D10)</f>
        <v>750</v>
      </c>
      <c r="E11" s="245">
        <f>SUM(E7:E10)</f>
        <v>-168.94299999999998</v>
      </c>
      <c r="F11" s="118">
        <f t="shared" si="3"/>
        <v>581.05700000000002</v>
      </c>
      <c r="G11" s="117">
        <f>SUM(G7:G10)</f>
        <v>473.13199999999995</v>
      </c>
      <c r="H11" s="118">
        <f t="shared" ref="H11" si="4">F11-G11</f>
        <v>107.92500000000007</v>
      </c>
      <c r="I11" s="511">
        <f t="shared" ref="I11" si="5">G11/F11</f>
        <v>0.81426090727759914</v>
      </c>
    </row>
    <row r="12" spans="2:27">
      <c r="B12" s="549"/>
      <c r="C12" s="130" t="s">
        <v>47</v>
      </c>
      <c r="D12" s="53">
        <f>+'Resumen periodo'!E12+'Resumen periodo'!E13</f>
        <v>6</v>
      </c>
      <c r="E12" s="53">
        <f>+'Resumen periodo'!F12+'Resumen periodo'!F13</f>
        <v>0</v>
      </c>
      <c r="F12" s="51">
        <f t="shared" si="3"/>
        <v>6</v>
      </c>
      <c r="G12" s="51">
        <f>+'Resumen periodo'!H12+'Resumen periodo'!H13</f>
        <v>6.2290000000000001</v>
      </c>
      <c r="H12" s="54">
        <f t="shared" si="1"/>
        <v>-0.22900000000000009</v>
      </c>
      <c r="I12" s="508">
        <f t="shared" si="2"/>
        <v>1.0381666666666667</v>
      </c>
    </row>
    <row r="13" spans="2:27" ht="15.75" thickBot="1">
      <c r="B13" s="549"/>
      <c r="C13" s="131" t="s">
        <v>48</v>
      </c>
      <c r="D13" s="55">
        <f>+'Resumen periodo'!E14+'Resumen periodo'!E15</f>
        <v>25.002497499999997</v>
      </c>
      <c r="E13" s="55">
        <f>+'Resumen periodo'!F14+'Resumen periodo'!F15</f>
        <v>168.94299999999998</v>
      </c>
      <c r="F13" s="3">
        <f t="shared" si="3"/>
        <v>193.94549749999999</v>
      </c>
      <c r="G13" s="59">
        <f>+'Resumen periodo'!H14+'Resumen periodo'!H15</f>
        <v>130.82</v>
      </c>
      <c r="H13" s="56">
        <f t="shared" si="1"/>
        <v>63.125497499999994</v>
      </c>
      <c r="I13" s="512">
        <f t="shared" si="2"/>
        <v>0.67451939687334073</v>
      </c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</row>
    <row r="14" spans="2:27" ht="15.75" thickBot="1">
      <c r="B14" s="549"/>
      <c r="C14" s="129" t="s">
        <v>122</v>
      </c>
      <c r="D14" s="117">
        <f>SUM(D12:D13)</f>
        <v>31.002497499999997</v>
      </c>
      <c r="E14" s="117">
        <f>SUM(E12:E13)</f>
        <v>168.94299999999998</v>
      </c>
      <c r="F14" s="119">
        <f t="shared" si="3"/>
        <v>199.94549749999999</v>
      </c>
      <c r="G14" s="117">
        <f>SUM(G12:G13)</f>
        <v>137.04900000000001</v>
      </c>
      <c r="H14" s="119">
        <f t="shared" si="1"/>
        <v>62.896497499999981</v>
      </c>
      <c r="I14" s="513">
        <f>G14/F14</f>
        <v>0.6854317887303264</v>
      </c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</row>
    <row r="15" spans="2:27" ht="15.75" thickBot="1">
      <c r="B15" s="550"/>
      <c r="C15" s="249" t="s">
        <v>115</v>
      </c>
      <c r="D15" s="520">
        <v>16</v>
      </c>
      <c r="E15" s="247">
        <v>0</v>
      </c>
      <c r="F15" s="248">
        <f t="shared" si="3"/>
        <v>16</v>
      </c>
      <c r="G15" s="292">
        <f>+'Pesca Invest_FA'!E11</f>
        <v>13.928000000000003</v>
      </c>
      <c r="H15" s="293">
        <f t="shared" si="1"/>
        <v>2.0719999999999974</v>
      </c>
      <c r="I15" s="514">
        <f t="shared" si="2"/>
        <v>0.87050000000000016</v>
      </c>
      <c r="J15" s="123"/>
    </row>
    <row r="16" spans="2:27" ht="23.45" customHeight="1" thickBot="1">
      <c r="B16" s="551" t="s">
        <v>59</v>
      </c>
      <c r="C16" s="552"/>
      <c r="D16" s="132">
        <f>+D11+D14+D15</f>
        <v>797.0024975</v>
      </c>
      <c r="E16" s="133">
        <f>SUM(E7:E15)</f>
        <v>0</v>
      </c>
      <c r="F16" s="133">
        <f>+D16+E16</f>
        <v>797.0024975</v>
      </c>
      <c r="G16" s="133">
        <f>+G15+G14+G11</f>
        <v>624.10899999999992</v>
      </c>
      <c r="H16" s="133">
        <f>+F16-G16</f>
        <v>172.89349750000008</v>
      </c>
      <c r="I16" s="506">
        <f>+G16/F16</f>
        <v>0.78307031904878055</v>
      </c>
    </row>
    <row r="17" spans="1:27" s="125" customFormat="1" ht="15.75" thickBot="1">
      <c r="B17" s="124"/>
      <c r="C17" s="124"/>
      <c r="D17" s="124"/>
      <c r="E17" s="124"/>
      <c r="F17" s="124"/>
      <c r="G17" s="124"/>
      <c r="H17" s="124"/>
      <c r="I17" s="124"/>
    </row>
    <row r="18" spans="1:27" s="1" customFormat="1" ht="47.25" customHeight="1">
      <c r="A18" s="120"/>
      <c r="B18" s="542" t="s">
        <v>66</v>
      </c>
      <c r="C18" s="543"/>
      <c r="D18" s="543"/>
      <c r="E18" s="543"/>
      <c r="F18" s="543"/>
      <c r="G18" s="543"/>
      <c r="H18" s="543"/>
      <c r="I18" s="544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</row>
    <row r="19" spans="1:27" s="1" customFormat="1" hidden="1">
      <c r="A19" s="120"/>
      <c r="B19" s="545"/>
      <c r="C19" s="546"/>
      <c r="D19" s="546"/>
      <c r="E19" s="546"/>
      <c r="F19" s="546"/>
      <c r="G19" s="546"/>
      <c r="H19" s="546"/>
      <c r="I19" s="547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</row>
    <row r="20" spans="1:27" s="1" customFormat="1" ht="17.45" customHeight="1" thickBot="1">
      <c r="A20" s="120"/>
      <c r="B20" s="530">
        <f>+B4</f>
        <v>43830</v>
      </c>
      <c r="C20" s="531"/>
      <c r="D20" s="531"/>
      <c r="E20" s="531"/>
      <c r="F20" s="531"/>
      <c r="G20" s="531"/>
      <c r="H20" s="531"/>
      <c r="I20" s="532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</row>
    <row r="21" spans="1:27" s="125" customFormat="1" ht="15.75" thickBot="1">
      <c r="B21" s="124"/>
      <c r="C21" s="124"/>
      <c r="D21" s="124"/>
      <c r="E21" s="124"/>
      <c r="F21" s="124"/>
      <c r="G21" s="124"/>
      <c r="H21" s="124"/>
      <c r="I21" s="124"/>
    </row>
    <row r="22" spans="1:27" s="1" customFormat="1" ht="32.25" thickBot="1">
      <c r="A22" s="120"/>
      <c r="B22" s="264" t="s">
        <v>53</v>
      </c>
      <c r="C22" s="265" t="s">
        <v>54</v>
      </c>
      <c r="D22" s="266" t="s">
        <v>63</v>
      </c>
      <c r="E22" s="267" t="s">
        <v>3</v>
      </c>
      <c r="F22" s="267" t="s">
        <v>4</v>
      </c>
      <c r="G22" s="267" t="s">
        <v>5</v>
      </c>
      <c r="H22" s="267" t="s">
        <v>6</v>
      </c>
      <c r="I22" s="268" t="s">
        <v>23</v>
      </c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</row>
    <row r="23" spans="1:27" s="1" customFormat="1" ht="14.45" customHeight="1">
      <c r="A23" s="120"/>
      <c r="B23" s="553" t="s">
        <v>97</v>
      </c>
      <c r="C23" s="259" t="s">
        <v>56</v>
      </c>
      <c r="D23" s="50">
        <v>1100</v>
      </c>
      <c r="E23" s="51">
        <f>+'Resumen periodo'!F23+'Resumen periodo'!F24</f>
        <v>-5.6843418860808015E-14</v>
      </c>
      <c r="F23" s="51">
        <f>D23+E23</f>
        <v>1100</v>
      </c>
      <c r="G23" s="51">
        <f>+'Resumen periodo'!H23+'Resumen periodo'!H24</f>
        <v>1076.8420000000001</v>
      </c>
      <c r="H23" s="54">
        <f t="shared" ref="H23:H26" si="6">F23-G23</f>
        <v>23.157999999999902</v>
      </c>
      <c r="I23" s="508">
        <f t="shared" ref="I23:I26" si="7">G23/F23</f>
        <v>0.97894727272727278</v>
      </c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</row>
    <row r="24" spans="1:27" s="1" customFormat="1">
      <c r="A24" s="120"/>
      <c r="B24" s="554"/>
      <c r="C24" s="260" t="s">
        <v>57</v>
      </c>
      <c r="D24" s="257">
        <v>3562</v>
      </c>
      <c r="E24" s="254">
        <f>+'Resumen periodo'!F25+'Resumen periodo'!F26</f>
        <v>0</v>
      </c>
      <c r="F24" s="254">
        <f t="shared" ref="F24:F26" si="8">D24+E24</f>
        <v>3562</v>
      </c>
      <c r="G24" s="254">
        <f>+'Resumen periodo'!H25+'Resumen periodo'!H26</f>
        <v>3494.6169999999997</v>
      </c>
      <c r="H24" s="255">
        <f t="shared" si="6"/>
        <v>67.383000000000266</v>
      </c>
      <c r="I24" s="515">
        <f t="shared" si="7"/>
        <v>0.98108281864121272</v>
      </c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</row>
    <row r="25" spans="1:27" s="1" customFormat="1">
      <c r="A25" s="120"/>
      <c r="B25" s="554"/>
      <c r="C25" s="260" t="s">
        <v>20</v>
      </c>
      <c r="D25" s="257">
        <f>+'Resumen periodo'!E27</f>
        <v>50</v>
      </c>
      <c r="E25" s="254">
        <f>+'Resumen periodo'!F27</f>
        <v>0</v>
      </c>
      <c r="F25" s="254">
        <f t="shared" si="8"/>
        <v>50</v>
      </c>
      <c r="G25" s="256">
        <f>+'Pesca Invest_FA'!G22:J22</f>
        <v>0.02</v>
      </c>
      <c r="H25" s="255">
        <f>F25-G25</f>
        <v>49.98</v>
      </c>
      <c r="I25" s="515">
        <f t="shared" si="7"/>
        <v>4.0000000000000002E-4</v>
      </c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</row>
    <row r="26" spans="1:27" s="1" customFormat="1" ht="15.75" thickBot="1">
      <c r="A26" s="120"/>
      <c r="B26" s="554"/>
      <c r="C26" s="261" t="s">
        <v>55</v>
      </c>
      <c r="D26" s="258">
        <v>86</v>
      </c>
      <c r="E26" s="251">
        <v>0</v>
      </c>
      <c r="F26" s="250">
        <f t="shared" si="8"/>
        <v>86</v>
      </c>
      <c r="G26" s="252">
        <f>+'Pesca Invest_FA'!G11:J11</f>
        <v>63.866999999999997</v>
      </c>
      <c r="H26" s="253">
        <f t="shared" si="6"/>
        <v>22.133000000000003</v>
      </c>
      <c r="I26" s="516">
        <f t="shared" si="7"/>
        <v>0.74263953488372092</v>
      </c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</row>
    <row r="27" spans="1:27" s="1" customFormat="1" ht="24.6" customHeight="1" thickBot="1">
      <c r="A27" s="120"/>
      <c r="B27" s="528" t="s">
        <v>189</v>
      </c>
      <c r="C27" s="529"/>
      <c r="D27" s="262">
        <f>SUM(D23:D26)</f>
        <v>4798</v>
      </c>
      <c r="E27" s="263">
        <f>SUM(E20:E26)</f>
        <v>-5.6843418860808015E-14</v>
      </c>
      <c r="F27" s="263">
        <f>+D27+E27</f>
        <v>4798</v>
      </c>
      <c r="G27" s="263">
        <f>SUM(G23:G26)</f>
        <v>4635.3460000000005</v>
      </c>
      <c r="H27" s="263">
        <f>+F27-G27</f>
        <v>162.65399999999954</v>
      </c>
      <c r="I27" s="507">
        <f>+G27/F27</f>
        <v>0.96609962484368495</v>
      </c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</row>
    <row r="28" spans="1:27" s="1" customFormat="1" ht="14.25" customHeight="1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</row>
    <row r="29" spans="1:27" s="1" customFormat="1" ht="0.95" customHeight="1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</row>
    <row r="30" spans="1:27" s="1" customFormat="1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</row>
    <row r="31" spans="1:27" s="1" customFormat="1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</row>
    <row r="32" spans="1:27" s="1" customFormat="1" ht="13.9" customHeight="1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</row>
    <row r="33" spans="1:27" s="1" customFormat="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</row>
    <row r="34" spans="1:27" s="1" customFormat="1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</row>
    <row r="35" spans="1:27" s="1" customForma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</row>
    <row r="36" spans="1:27" s="1" customFormat="1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</row>
    <row r="37" spans="1:27" s="1" customFormat="1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</row>
    <row r="38" spans="1:27" s="1" customFormat="1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</row>
    <row r="39" spans="1:27" s="1" customFormat="1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</row>
    <row r="40" spans="1:27" s="1" customFormat="1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</row>
    <row r="41" spans="1:27" s="1" customForma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</row>
    <row r="42" spans="1:27" s="1" customFormat="1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</row>
    <row r="43" spans="1:27" s="1" customFormat="1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</row>
    <row r="44" spans="1:27" s="1" customFormat="1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</row>
    <row r="45" spans="1:27" s="1" customFormat="1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</row>
    <row r="46" spans="1:27" s="1" customFormat="1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</row>
    <row r="47" spans="1:27" s="1" customFormat="1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</row>
    <row r="48" spans="1:27" s="1" customFormat="1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</row>
    <row r="49" spans="1:27" s="1" customFormat="1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</row>
    <row r="50" spans="1:27" s="1" customFormat="1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</row>
    <row r="51" spans="1:27" s="1" customFormat="1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</row>
    <row r="52" spans="1:27" s="1" customFormat="1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</row>
    <row r="53" spans="1:27" s="1" customFormat="1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</row>
    <row r="54" spans="1:27" s="1" customFormat="1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</row>
    <row r="55" spans="1:27" s="1" customFormat="1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</row>
    <row r="56" spans="1:27" s="1" customFormat="1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</row>
    <row r="57" spans="1:27" s="1" customFormat="1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</row>
    <row r="58" spans="1:27" s="1" customFormat="1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</row>
    <row r="59" spans="1:27" s="1" customFormat="1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</row>
    <row r="60" spans="1:27" s="1" customFormat="1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</row>
    <row r="61" spans="1:27" s="1" customFormat="1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</row>
    <row r="62" spans="1:27" s="1" customFormat="1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</row>
    <row r="63" spans="1:27" s="1" customFormat="1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</row>
    <row r="64" spans="1:27" s="1" customFormat="1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</row>
    <row r="65" spans="1:27" s="1" customFormat="1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</row>
    <row r="66" spans="1:27" s="1" customForma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</row>
    <row r="67" spans="1:27" s="1" customFormat="1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</row>
    <row r="68" spans="1:27" s="1" customFormat="1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s="1" customFormat="1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</row>
    <row r="70" spans="1:27" s="1" customFormat="1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</row>
    <row r="71" spans="1:27" s="1" customFormat="1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</row>
    <row r="72" spans="1:27" s="1" customFormat="1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</row>
    <row r="73" spans="1:27" s="1" customFormat="1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s="1" customFormat="1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</row>
    <row r="75" spans="1:27" s="1" customFormat="1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</row>
    <row r="76" spans="1:27" s="1" customFormat="1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</row>
    <row r="77" spans="1:27" s="1" customFormat="1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</row>
    <row r="78" spans="1:27" s="1" customFormat="1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</row>
    <row r="79" spans="1:27" s="1" customFormat="1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</row>
    <row r="80" spans="1:27" s="1" customFormat="1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</row>
    <row r="81" spans="1:27" s="1" customFormat="1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</row>
    <row r="82" spans="1:27" s="1" customFormat="1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</row>
    <row r="83" spans="1:27" s="1" customFormat="1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</row>
    <row r="84" spans="1:27" s="1" customFormat="1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</row>
    <row r="85" spans="1:27" s="1" customFormat="1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</row>
    <row r="86" spans="1:27" s="1" customFormat="1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</row>
    <row r="87" spans="1:27" s="1" customFormat="1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</row>
    <row r="88" spans="1:27" s="1" customFormat="1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</row>
    <row r="89" spans="1:27" s="1" customFormat="1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</row>
    <row r="90" spans="1:27" s="1" customFormat="1">
      <c r="A90" s="120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</row>
    <row r="91" spans="1:27" s="1" customFormat="1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</row>
    <row r="92" spans="1:27" s="1" customFormat="1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</row>
    <row r="93" spans="1:27" s="1" customFormat="1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</row>
    <row r="94" spans="1:27" s="1" customFormat="1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</row>
    <row r="95" spans="1:27" s="1" customFormat="1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</row>
    <row r="96" spans="1:27" s="1" customFormat="1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</row>
    <row r="97" spans="1:27" s="1" customFormat="1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</row>
    <row r="98" spans="1:27" s="1" customFormat="1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</row>
    <row r="99" spans="1:27" s="1" customFormat="1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</row>
    <row r="100" spans="1:27" s="1" customFormat="1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</row>
    <row r="101" spans="1:27" s="1" customFormat="1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</row>
    <row r="102" spans="1:27" s="1" customFormat="1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</row>
    <row r="103" spans="1:27" s="1" customFormat="1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</row>
    <row r="104" spans="1:27" s="1" customFormat="1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</row>
    <row r="105" spans="1:27" s="1" customFormat="1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</row>
    <row r="106" spans="1:27" s="1" customFormat="1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</row>
    <row r="107" spans="1:27" s="1" customFormat="1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</row>
    <row r="108" spans="1:27" s="1" customFormat="1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</row>
    <row r="109" spans="1:27" s="1" customFormat="1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</row>
    <row r="110" spans="1:27" s="1" customFormat="1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</row>
    <row r="111" spans="1:27" s="1" customFormat="1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</row>
    <row r="112" spans="1:27" s="1" customFormat="1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</row>
    <row r="113" spans="1:27" s="1" customFormat="1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</row>
    <row r="114" spans="1:27" s="1" customFormat="1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</row>
    <row r="115" spans="1:27" s="1" customFormat="1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</row>
    <row r="116" spans="1:27" s="1" customFormat="1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</row>
    <row r="117" spans="1:27" s="1" customFormat="1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</row>
    <row r="118" spans="1:27" s="1" customFormat="1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</row>
    <row r="119" spans="1:27" s="1" customFormat="1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</row>
    <row r="120" spans="1:27" s="1" customFormat="1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</row>
    <row r="121" spans="1:27" s="1" customFormat="1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</row>
    <row r="122" spans="1:27" s="1" customFormat="1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</row>
    <row r="123" spans="1:27" s="1" customFormat="1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</row>
    <row r="124" spans="1:27" s="1" customFormat="1">
      <c r="A124" s="120"/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</row>
    <row r="125" spans="1:27" s="1" customFormat="1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</row>
    <row r="126" spans="1:27" s="1" customFormat="1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</row>
    <row r="127" spans="1:27" s="1" customFormat="1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</row>
    <row r="128" spans="1:27" s="1" customFormat="1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</row>
    <row r="129" spans="1:27" s="1" customFormat="1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</row>
    <row r="130" spans="1:27" s="1" customFormat="1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</row>
    <row r="131" spans="1:27" s="1" customFormat="1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</row>
    <row r="132" spans="1:27" s="1" customFormat="1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</row>
    <row r="133" spans="1:27" s="1" customFormat="1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</row>
    <row r="134" spans="1:27" s="1" customFormat="1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</row>
    <row r="135" spans="1:27" s="1" customFormat="1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</row>
    <row r="136" spans="1:27" s="1" customFormat="1">
      <c r="A136" s="120"/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</row>
    <row r="137" spans="1:27" s="1" customFormat="1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</row>
    <row r="138" spans="1:27" s="1" customFormat="1">
      <c r="A138" s="120"/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</row>
    <row r="139" spans="1:27" s="1" customFormat="1">
      <c r="A139" s="120"/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</row>
    <row r="140" spans="1:27" s="1" customFormat="1">
      <c r="A140" s="120"/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</row>
    <row r="141" spans="1:27" s="1" customFormat="1">
      <c r="A141" s="120"/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</row>
    <row r="142" spans="1:27" s="1" customFormat="1">
      <c r="A142" s="120"/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</row>
    <row r="143" spans="1:27" s="1" customFormat="1">
      <c r="A143" s="120"/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</row>
    <row r="144" spans="1:27" s="1" customFormat="1">
      <c r="A144" s="120"/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</row>
    <row r="145" spans="1:27" s="1" customFormat="1">
      <c r="A145" s="120"/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</row>
    <row r="146" spans="1:27" s="1" customFormat="1">
      <c r="A146" s="120"/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</row>
    <row r="147" spans="1:27" s="1" customFormat="1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</row>
    <row r="148" spans="1:27" s="1" customFormat="1">
      <c r="A148" s="120"/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</row>
    <row r="149" spans="1:27" s="1" customFormat="1">
      <c r="A149" s="120"/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</row>
    <row r="150" spans="1:27" s="1" customFormat="1">
      <c r="A150" s="120"/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</row>
    <row r="151" spans="1:27" s="1" customFormat="1">
      <c r="A151" s="120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</row>
    <row r="152" spans="1:27" s="1" customFormat="1">
      <c r="A152" s="120"/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</row>
    <row r="153" spans="1:27" s="1" customFormat="1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</row>
    <row r="154" spans="1:27" s="1" customFormat="1">
      <c r="A154" s="120"/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</row>
    <row r="155" spans="1:27" s="1" customFormat="1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</row>
    <row r="156" spans="1:27" s="1" customFormat="1">
      <c r="A156" s="120"/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</row>
    <row r="157" spans="1:27" s="1" customFormat="1">
      <c r="A157" s="120"/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</row>
    <row r="158" spans="1:27" s="1" customFormat="1">
      <c r="A158" s="120"/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</row>
    <row r="159" spans="1:27" s="1" customFormat="1">
      <c r="A159" s="120"/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</row>
    <row r="160" spans="1:27" s="1" customFormat="1">
      <c r="A160" s="120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</row>
  </sheetData>
  <mergeCells count="10">
    <mergeCell ref="B27:C27"/>
    <mergeCell ref="B20:I20"/>
    <mergeCell ref="B4:I4"/>
    <mergeCell ref="B2:I2"/>
    <mergeCell ref="B3:I3"/>
    <mergeCell ref="B18:I18"/>
    <mergeCell ref="B19:I19"/>
    <mergeCell ref="B7:B15"/>
    <mergeCell ref="B16:C16"/>
    <mergeCell ref="B23:B26"/>
  </mergeCells>
  <conditionalFormatting sqref="I6:I16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{FBF1BE1C-74E0-4572-A22D-7BA60FDD074E}</x14:id>
        </ext>
      </extLst>
    </cfRule>
  </conditionalFormatting>
  <conditionalFormatting sqref="I23:I2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{A32A431E-FA6F-4AF1-8FDD-1BC9B071E30E}</x14:id>
        </ext>
      </extLst>
    </cfRule>
  </conditionalFormatting>
  <pageMargins left="0.7" right="0.7" top="0.75" bottom="0.75" header="0.3" footer="0.3"/>
  <pageSetup paperSize="177" scale="71" orientation="portrait" r:id="rId1"/>
  <colBreaks count="1" manualBreakCount="1">
    <brk id="10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F1BE1C-74E0-4572-A22D-7BA60FDD074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I6:I16</xm:sqref>
        </x14:conditionalFormatting>
        <x14:conditionalFormatting xmlns:xm="http://schemas.microsoft.com/office/excel/2006/main">
          <x14:cfRule type="dataBar" id="{A32A431E-FA6F-4AF1-8FDD-1BC9B071E30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I23:I27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38"/>
  <sheetViews>
    <sheetView workbookViewId="0">
      <selection activeCell="K21" sqref="K21"/>
    </sheetView>
  </sheetViews>
  <sheetFormatPr baseColWidth="10" defaultRowHeight="15"/>
  <cols>
    <col min="2" max="2" width="29.85546875" bestFit="1" customWidth="1"/>
    <col min="3" max="3" width="14.5703125" bestFit="1" customWidth="1"/>
    <col min="4" max="4" width="12" bestFit="1" customWidth="1"/>
    <col min="5" max="5" width="13.5703125" bestFit="1" customWidth="1"/>
    <col min="8" max="8" width="13.42578125" bestFit="1" customWidth="1"/>
  </cols>
  <sheetData>
    <row r="5" spans="2:8">
      <c r="C5" s="523" t="s">
        <v>36</v>
      </c>
      <c r="D5" s="523" t="s">
        <v>21</v>
      </c>
      <c r="E5" s="523" t="s">
        <v>4</v>
      </c>
      <c r="F5" s="523" t="s">
        <v>5</v>
      </c>
      <c r="G5" s="523" t="s">
        <v>234</v>
      </c>
      <c r="H5" s="523" t="s">
        <v>235</v>
      </c>
    </row>
    <row r="6" spans="2:8">
      <c r="B6" s="523" t="s">
        <v>236</v>
      </c>
      <c r="C6" s="524">
        <v>31</v>
      </c>
      <c r="D6" s="525">
        <f>D21+D22</f>
        <v>168.94299999999998</v>
      </c>
      <c r="E6" s="524">
        <f>C6+D6</f>
        <v>199.94299999999998</v>
      </c>
      <c r="F6" s="525">
        <f>F21+F22</f>
        <v>137.04900000000001</v>
      </c>
      <c r="G6" s="524">
        <f>E6-F6</f>
        <v>62.893999999999977</v>
      </c>
      <c r="H6" s="527">
        <f>F6/E6</f>
        <v>0.6854403504998926</v>
      </c>
    </row>
    <row r="7" spans="2:8">
      <c r="B7" s="523" t="s">
        <v>237</v>
      </c>
      <c r="C7" s="524">
        <v>735</v>
      </c>
      <c r="D7" s="525">
        <f>D24+D25+D26</f>
        <v>-168.94299999999998</v>
      </c>
      <c r="E7" s="524">
        <f t="shared" ref="E7:E10" si="0">C7+D7</f>
        <v>566.05700000000002</v>
      </c>
      <c r="F7" s="525">
        <f>F24+F25+F26</f>
        <v>473.13199999999995</v>
      </c>
      <c r="G7" s="524">
        <f t="shared" ref="G7:G10" si="1">E7-F7</f>
        <v>92.925000000000068</v>
      </c>
      <c r="H7" s="527">
        <f t="shared" ref="H7:H10" si="2">F7/E7</f>
        <v>0.83583808697710638</v>
      </c>
    </row>
    <row r="8" spans="2:8">
      <c r="B8" s="523" t="s">
        <v>238</v>
      </c>
      <c r="C8" s="524">
        <v>15</v>
      </c>
      <c r="D8" s="525">
        <f>D23</f>
        <v>0</v>
      </c>
      <c r="E8" s="524">
        <f t="shared" si="0"/>
        <v>15</v>
      </c>
      <c r="F8" s="525">
        <f>F23</f>
        <v>0</v>
      </c>
      <c r="G8" s="524">
        <f t="shared" si="1"/>
        <v>15</v>
      </c>
      <c r="H8" s="527">
        <f t="shared" si="2"/>
        <v>0</v>
      </c>
    </row>
    <row r="9" spans="2:8">
      <c r="B9" s="523" t="s">
        <v>55</v>
      </c>
      <c r="C9" s="524">
        <v>16</v>
      </c>
      <c r="D9" s="525">
        <f>D27</f>
        <v>0</v>
      </c>
      <c r="E9" s="524">
        <f t="shared" si="0"/>
        <v>16</v>
      </c>
      <c r="F9" s="525">
        <f>F27</f>
        <v>13.928000000000003</v>
      </c>
      <c r="G9" s="524">
        <f t="shared" si="1"/>
        <v>2.0719999999999974</v>
      </c>
      <c r="H9" s="527">
        <f t="shared" si="2"/>
        <v>0.87050000000000016</v>
      </c>
    </row>
    <row r="10" spans="2:8">
      <c r="B10" s="523" t="s">
        <v>78</v>
      </c>
      <c r="C10" s="524">
        <f>SUM(C6:C9)</f>
        <v>797</v>
      </c>
      <c r="D10" s="525">
        <f>SUM(D6:D9)</f>
        <v>0</v>
      </c>
      <c r="E10" s="524">
        <f t="shared" si="0"/>
        <v>797</v>
      </c>
      <c r="F10" s="525">
        <f>SUM(F6:F9)</f>
        <v>624.10899999999992</v>
      </c>
      <c r="G10" s="524">
        <f t="shared" si="1"/>
        <v>172.89100000000008</v>
      </c>
      <c r="H10" s="527">
        <f t="shared" si="2"/>
        <v>0.78307277289836874</v>
      </c>
    </row>
    <row r="13" spans="2:8">
      <c r="C13" s="523" t="s">
        <v>36</v>
      </c>
      <c r="D13" s="523" t="s">
        <v>21</v>
      </c>
      <c r="E13" s="523" t="s">
        <v>4</v>
      </c>
      <c r="F13" s="523" t="s">
        <v>5</v>
      </c>
      <c r="G13" s="523" t="s">
        <v>234</v>
      </c>
      <c r="H13" s="523" t="s">
        <v>235</v>
      </c>
    </row>
    <row r="14" spans="2:8">
      <c r="B14" s="523" t="s">
        <v>239</v>
      </c>
      <c r="C14" s="278">
        <v>4639</v>
      </c>
      <c r="D14" s="526">
        <f>D34+D35</f>
        <v>-5.6843418860808015E-14</v>
      </c>
      <c r="E14" s="278">
        <f>C14+D14</f>
        <v>4639</v>
      </c>
      <c r="F14" s="526">
        <f>F34+F35</f>
        <v>4571.4589999999998</v>
      </c>
      <c r="G14" s="278">
        <f>E14-F14</f>
        <v>67.541000000000167</v>
      </c>
      <c r="H14" s="527">
        <f>F14/E14</f>
        <v>0.98544061220090529</v>
      </c>
    </row>
    <row r="15" spans="2:8">
      <c r="B15" s="523" t="s">
        <v>238</v>
      </c>
      <c r="C15" s="278">
        <v>50</v>
      </c>
      <c r="D15" s="526">
        <f>D36</f>
        <v>0</v>
      </c>
      <c r="E15" s="278">
        <f t="shared" ref="E15:E17" si="3">C15+D15</f>
        <v>50</v>
      </c>
      <c r="F15" s="526">
        <f>F36</f>
        <v>0.02</v>
      </c>
      <c r="G15" s="278">
        <f t="shared" ref="G15:G17" si="4">E15-F15</f>
        <v>49.98</v>
      </c>
      <c r="H15" s="527">
        <f t="shared" ref="H15:H17" si="5">F15/E15</f>
        <v>4.0000000000000002E-4</v>
      </c>
    </row>
    <row r="16" spans="2:8">
      <c r="B16" s="523" t="s">
        <v>55</v>
      </c>
      <c r="C16" s="278">
        <v>86</v>
      </c>
      <c r="D16" s="526">
        <f>D37</f>
        <v>0</v>
      </c>
      <c r="E16" s="278">
        <f t="shared" si="3"/>
        <v>86</v>
      </c>
      <c r="F16" s="526">
        <f>F37</f>
        <v>63.866999999999997</v>
      </c>
      <c r="G16" s="278">
        <f t="shared" si="4"/>
        <v>22.133000000000003</v>
      </c>
      <c r="H16" s="527">
        <f t="shared" si="5"/>
        <v>0.74263953488372092</v>
      </c>
    </row>
    <row r="17" spans="2:8">
      <c r="B17" s="523" t="s">
        <v>78</v>
      </c>
      <c r="C17" s="278">
        <f>C14+C15+C16</f>
        <v>4775</v>
      </c>
      <c r="D17" s="526">
        <f>SUM(D14:D16)</f>
        <v>-5.6843418860808015E-14</v>
      </c>
      <c r="E17" s="278">
        <f t="shared" si="3"/>
        <v>4775</v>
      </c>
      <c r="F17" s="526">
        <f>SUM(F14:F16)</f>
        <v>4635.3460000000005</v>
      </c>
      <c r="G17" s="278">
        <f t="shared" si="4"/>
        <v>139.65399999999954</v>
      </c>
      <c r="H17" s="527">
        <f t="shared" si="5"/>
        <v>0.97075308900523571</v>
      </c>
    </row>
    <row r="20" spans="2:8">
      <c r="C20" s="523" t="s">
        <v>36</v>
      </c>
      <c r="D20" s="523" t="s">
        <v>21</v>
      </c>
      <c r="E20" s="523" t="s">
        <v>4</v>
      </c>
      <c r="F20" s="523" t="s">
        <v>5</v>
      </c>
      <c r="G20" s="523" t="s">
        <v>234</v>
      </c>
      <c r="H20" s="523" t="s">
        <v>235</v>
      </c>
    </row>
    <row r="21" spans="2:8">
      <c r="B21" s="523" t="s">
        <v>240</v>
      </c>
      <c r="C21" s="525">
        <v>6</v>
      </c>
      <c r="D21" s="525">
        <f>'Resumen anual'!E12</f>
        <v>0</v>
      </c>
      <c r="E21" s="525">
        <f>C21+D21</f>
        <v>6</v>
      </c>
      <c r="F21" s="525">
        <f>'Resumen anual'!G12</f>
        <v>6.2290000000000001</v>
      </c>
      <c r="G21" s="525">
        <f>E21-F21</f>
        <v>-0.22900000000000009</v>
      </c>
      <c r="H21" s="527">
        <f>F21/E21</f>
        <v>1.0381666666666667</v>
      </c>
    </row>
    <row r="22" spans="2:8">
      <c r="B22" s="523" t="s">
        <v>241</v>
      </c>
      <c r="C22" s="525">
        <v>25</v>
      </c>
      <c r="D22" s="525">
        <f>'Resumen anual'!E13</f>
        <v>168.94299999999998</v>
      </c>
      <c r="E22" s="525">
        <f t="shared" ref="E22:E28" si="6">C22+D22</f>
        <v>193.94299999999998</v>
      </c>
      <c r="F22" s="525">
        <f>'Resumen anual'!G13</f>
        <v>130.82</v>
      </c>
      <c r="G22" s="525">
        <f t="shared" ref="G22:G27" si="7">E22-F22</f>
        <v>63.12299999999999</v>
      </c>
      <c r="H22" s="527">
        <f t="shared" ref="H22:H27" si="8">F22/E22</f>
        <v>0.6745280829934569</v>
      </c>
    </row>
    <row r="23" spans="2:8">
      <c r="B23" s="523" t="s">
        <v>242</v>
      </c>
      <c r="C23" s="525">
        <v>15</v>
      </c>
      <c r="D23" s="525">
        <f>'Resumen anual'!E10</f>
        <v>0</v>
      </c>
      <c r="E23" s="525">
        <f t="shared" si="6"/>
        <v>15</v>
      </c>
      <c r="F23" s="525">
        <f>'Resumen anual'!G10</f>
        <v>0</v>
      </c>
      <c r="G23" s="525">
        <f t="shared" si="7"/>
        <v>15</v>
      </c>
      <c r="H23" s="527">
        <f t="shared" si="8"/>
        <v>0</v>
      </c>
    </row>
    <row r="24" spans="2:8">
      <c r="B24" s="523" t="s">
        <v>32</v>
      </c>
      <c r="C24" s="525">
        <v>5</v>
      </c>
      <c r="D24" s="525">
        <f>'Resumen anual'!E7</f>
        <v>0</v>
      </c>
      <c r="E24" s="525">
        <f t="shared" si="6"/>
        <v>5</v>
      </c>
      <c r="F24" s="525">
        <f>'Resumen anual'!G7</f>
        <v>0</v>
      </c>
      <c r="G24" s="525">
        <f t="shared" si="7"/>
        <v>5</v>
      </c>
      <c r="H24" s="527">
        <f t="shared" si="8"/>
        <v>0</v>
      </c>
    </row>
    <row r="25" spans="2:8">
      <c r="B25" s="523" t="s">
        <v>33</v>
      </c>
      <c r="C25" s="525">
        <v>60</v>
      </c>
      <c r="D25" s="525">
        <f>'Resumen anual'!E8</f>
        <v>0</v>
      </c>
      <c r="E25" s="525">
        <f t="shared" si="6"/>
        <v>60</v>
      </c>
      <c r="F25" s="525">
        <f>'Resumen anual'!G8</f>
        <v>0</v>
      </c>
      <c r="G25" s="525">
        <f t="shared" si="7"/>
        <v>60</v>
      </c>
      <c r="H25" s="527">
        <f t="shared" si="8"/>
        <v>0</v>
      </c>
    </row>
    <row r="26" spans="2:8">
      <c r="B26" s="523" t="s">
        <v>34</v>
      </c>
      <c r="C26" s="525">
        <v>670</v>
      </c>
      <c r="D26" s="525">
        <f>'Resumen anual'!E9</f>
        <v>-168.94299999999998</v>
      </c>
      <c r="E26" s="525">
        <f t="shared" si="6"/>
        <v>501.05700000000002</v>
      </c>
      <c r="F26" s="525">
        <f>'Resumen anual'!G9</f>
        <v>473.13199999999995</v>
      </c>
      <c r="G26" s="525">
        <f t="shared" si="7"/>
        <v>27.925000000000068</v>
      </c>
      <c r="H26" s="527">
        <f t="shared" si="8"/>
        <v>0.94426781783310065</v>
      </c>
    </row>
    <row r="27" spans="2:8">
      <c r="B27" s="523" t="s">
        <v>55</v>
      </c>
      <c r="C27" s="525">
        <v>16</v>
      </c>
      <c r="D27" s="525">
        <f>'Resumen anual'!E15</f>
        <v>0</v>
      </c>
      <c r="E27" s="525">
        <f t="shared" si="6"/>
        <v>16</v>
      </c>
      <c r="F27" s="525">
        <f>'Resumen anual'!G15</f>
        <v>13.928000000000003</v>
      </c>
      <c r="G27" s="525">
        <f t="shared" si="7"/>
        <v>2.0719999999999974</v>
      </c>
      <c r="H27" s="527">
        <f t="shared" si="8"/>
        <v>0.87050000000000016</v>
      </c>
    </row>
    <row r="28" spans="2:8">
      <c r="B28" s="523" t="s">
        <v>78</v>
      </c>
      <c r="C28" s="525">
        <f>SUM(C21:C27)</f>
        <v>797</v>
      </c>
      <c r="D28" s="525">
        <f>SUM(D21:D27)</f>
        <v>0</v>
      </c>
      <c r="E28" s="525">
        <f t="shared" si="6"/>
        <v>797</v>
      </c>
      <c r="F28" s="525">
        <f>SUM(F21:F27)</f>
        <v>624.10899999999992</v>
      </c>
      <c r="G28" s="525">
        <f>E28-F28</f>
        <v>172.89100000000008</v>
      </c>
      <c r="H28" s="527">
        <f>F28/E28</f>
        <v>0.78307277289836874</v>
      </c>
    </row>
    <row r="33" spans="2:8">
      <c r="C33" s="523" t="s">
        <v>36</v>
      </c>
      <c r="D33" s="523" t="s">
        <v>21</v>
      </c>
      <c r="E33" s="523" t="s">
        <v>4</v>
      </c>
      <c r="F33" s="523" t="s">
        <v>5</v>
      </c>
      <c r="G33" s="523" t="s">
        <v>234</v>
      </c>
      <c r="H33" s="523" t="s">
        <v>235</v>
      </c>
    </row>
    <row r="34" spans="2:8">
      <c r="B34" s="523" t="s">
        <v>243</v>
      </c>
      <c r="C34" s="525">
        <v>1094</v>
      </c>
      <c r="D34" s="525">
        <f>'Resumen anual'!E23</f>
        <v>-5.6843418860808015E-14</v>
      </c>
      <c r="E34" s="525">
        <f>C34+D34</f>
        <v>1094</v>
      </c>
      <c r="F34" s="525">
        <f>'Resumen anual'!G23</f>
        <v>1076.8420000000001</v>
      </c>
      <c r="G34" s="525">
        <f>E34-F34</f>
        <v>17.157999999999902</v>
      </c>
      <c r="H34" s="527">
        <f>F34/E34</f>
        <v>0.98431627056672766</v>
      </c>
    </row>
    <row r="35" spans="2:8">
      <c r="B35" s="523" t="s">
        <v>244</v>
      </c>
      <c r="C35" s="525">
        <v>3544</v>
      </c>
      <c r="D35" s="525">
        <f>'Resumen anual'!E24</f>
        <v>0</v>
      </c>
      <c r="E35" s="525">
        <f t="shared" ref="E35:E38" si="9">C35+D35</f>
        <v>3544</v>
      </c>
      <c r="F35" s="525">
        <f>'Resumen anual'!G24</f>
        <v>3494.6169999999997</v>
      </c>
      <c r="G35" s="525">
        <f t="shared" ref="G35:G38" si="10">E35-F35</f>
        <v>49.383000000000266</v>
      </c>
      <c r="H35" s="527">
        <f t="shared" ref="H35:H38" si="11">F35/E35</f>
        <v>0.98606574492099319</v>
      </c>
    </row>
    <row r="36" spans="2:8">
      <c r="B36" s="523" t="s">
        <v>242</v>
      </c>
      <c r="C36" s="525">
        <v>50</v>
      </c>
      <c r="D36" s="525">
        <f>'Resumen anual'!E25</f>
        <v>0</v>
      </c>
      <c r="E36" s="525">
        <f t="shared" si="9"/>
        <v>50</v>
      </c>
      <c r="F36" s="525">
        <f>'Resumen anual'!G25</f>
        <v>0.02</v>
      </c>
      <c r="G36" s="525">
        <f t="shared" si="10"/>
        <v>49.98</v>
      </c>
      <c r="H36" s="527">
        <f t="shared" si="11"/>
        <v>4.0000000000000002E-4</v>
      </c>
    </row>
    <row r="37" spans="2:8">
      <c r="B37" s="523" t="s">
        <v>55</v>
      </c>
      <c r="C37" s="525">
        <v>86</v>
      </c>
      <c r="D37" s="525">
        <f>'Resumen anual'!E26</f>
        <v>0</v>
      </c>
      <c r="E37" s="525">
        <f t="shared" si="9"/>
        <v>86</v>
      </c>
      <c r="F37" s="525">
        <f>'Resumen anual'!G26</f>
        <v>63.866999999999997</v>
      </c>
      <c r="G37" s="525">
        <f t="shared" si="10"/>
        <v>22.133000000000003</v>
      </c>
      <c r="H37" s="527">
        <f t="shared" si="11"/>
        <v>0.74263953488372092</v>
      </c>
    </row>
    <row r="38" spans="2:8">
      <c r="B38" s="523" t="s">
        <v>78</v>
      </c>
      <c r="C38" s="525">
        <f>SUM(C34:C37)</f>
        <v>4774</v>
      </c>
      <c r="D38" s="525">
        <f>SUM(D34:D37)</f>
        <v>-5.6843418860808015E-14</v>
      </c>
      <c r="E38" s="525">
        <f t="shared" si="9"/>
        <v>4774</v>
      </c>
      <c r="F38" s="525">
        <f>SUM(F34:F37)</f>
        <v>4635.3460000000005</v>
      </c>
      <c r="G38" s="525">
        <f t="shared" si="10"/>
        <v>138.65399999999954</v>
      </c>
      <c r="H38" s="527">
        <f t="shared" si="11"/>
        <v>0.97095643066610815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12"/>
  <sheetViews>
    <sheetView topLeftCell="A2" zoomScale="70" zoomScaleNormal="70" workbookViewId="0">
      <selection activeCell="L27" sqref="L27"/>
    </sheetView>
  </sheetViews>
  <sheetFormatPr baseColWidth="10" defaultColWidth="11.5703125" defaultRowHeight="15"/>
  <cols>
    <col min="1" max="1" width="5.85546875" style="156" customWidth="1"/>
    <col min="2" max="2" width="24.42578125" style="156" customWidth="1"/>
    <col min="3" max="3" width="24.140625" style="156" customWidth="1"/>
    <col min="4" max="4" width="18.5703125" style="156" customWidth="1"/>
    <col min="5" max="5" width="16.140625" style="156" customWidth="1"/>
    <col min="6" max="6" width="15.42578125" style="202" customWidth="1"/>
    <col min="7" max="7" width="13.85546875" style="156" customWidth="1"/>
    <col min="8" max="8" width="15.140625" style="156" customWidth="1"/>
    <col min="9" max="9" width="13.42578125" style="156" customWidth="1"/>
    <col min="10" max="10" width="15.140625" style="156" customWidth="1"/>
    <col min="11" max="306" width="11.42578125" style="156" customWidth="1"/>
    <col min="307" max="16384" width="11.5703125" style="156"/>
  </cols>
  <sheetData>
    <row r="1" spans="1:10" s="21" customFormat="1" ht="15.75" hidden="1" thickBot="1">
      <c r="A1" s="156"/>
      <c r="E1" s="22"/>
      <c r="F1" s="23"/>
    </row>
    <row r="2" spans="1:10" ht="18.600000000000001" customHeight="1">
      <c r="B2" s="542" t="s">
        <v>116</v>
      </c>
      <c r="C2" s="543"/>
      <c r="D2" s="543"/>
      <c r="E2" s="543"/>
      <c r="F2" s="543"/>
      <c r="G2" s="543"/>
      <c r="H2" s="543"/>
      <c r="I2" s="543"/>
      <c r="J2" s="544"/>
    </row>
    <row r="3" spans="1:10" ht="15.6" customHeight="1">
      <c r="B3" s="581">
        <f>+'Resumen anual'!B4:I4</f>
        <v>43830</v>
      </c>
      <c r="C3" s="582"/>
      <c r="D3" s="582"/>
      <c r="E3" s="582"/>
      <c r="F3" s="582"/>
      <c r="G3" s="582"/>
      <c r="H3" s="582"/>
      <c r="I3" s="582"/>
      <c r="J3" s="583"/>
    </row>
    <row r="4" spans="1:10" ht="35.450000000000003" customHeight="1">
      <c r="B4" s="37" t="s">
        <v>13</v>
      </c>
      <c r="C4" s="75" t="s">
        <v>0</v>
      </c>
      <c r="D4" s="75" t="s">
        <v>1</v>
      </c>
      <c r="E4" s="76" t="s">
        <v>2</v>
      </c>
      <c r="F4" s="77" t="s">
        <v>3</v>
      </c>
      <c r="G4" s="75" t="s">
        <v>4</v>
      </c>
      <c r="H4" s="75" t="s">
        <v>5</v>
      </c>
      <c r="I4" s="75" t="s">
        <v>6</v>
      </c>
      <c r="J4" s="78" t="s">
        <v>17</v>
      </c>
    </row>
    <row r="5" spans="1:10" ht="21" customHeight="1">
      <c r="B5" s="570" t="s">
        <v>67</v>
      </c>
      <c r="C5" s="557" t="s">
        <v>32</v>
      </c>
      <c r="D5" s="79" t="s">
        <v>31</v>
      </c>
      <c r="E5" s="24">
        <f>'Control Cuota Artesanal XV-IV'!E7</f>
        <v>4</v>
      </c>
      <c r="F5" s="33">
        <f>'Control Cuota Artesanal XV-IV'!F7</f>
        <v>0</v>
      </c>
      <c r="G5" s="27">
        <f>E5</f>
        <v>4</v>
      </c>
      <c r="H5" s="26">
        <f>'Control Cuota Artesanal XV-IV'!H7</f>
        <v>0</v>
      </c>
      <c r="I5" s="211">
        <f t="shared" ref="I5:I13" si="0">G5-H5</f>
        <v>4</v>
      </c>
      <c r="J5" s="35">
        <f t="shared" ref="J5:J11" si="1">H5/G5</f>
        <v>0</v>
      </c>
    </row>
    <row r="6" spans="1:10" ht="21" customHeight="1">
      <c r="B6" s="570"/>
      <c r="C6" s="578"/>
      <c r="D6" s="31" t="s">
        <v>30</v>
      </c>
      <c r="E6" s="28">
        <f>'Control Cuota Artesanal XV-IV'!E8</f>
        <v>1</v>
      </c>
      <c r="F6" s="34">
        <f>'Control Cuota Artesanal XV-IV'!F8</f>
        <v>0</v>
      </c>
      <c r="G6" s="30">
        <f>E6+I5</f>
        <v>5</v>
      </c>
      <c r="H6" s="29">
        <f>'Control Cuota Artesanal XV-IV'!H8</f>
        <v>0</v>
      </c>
      <c r="I6" s="30">
        <f t="shared" si="0"/>
        <v>5</v>
      </c>
      <c r="J6" s="36">
        <f t="shared" si="1"/>
        <v>0</v>
      </c>
    </row>
    <row r="7" spans="1:10" ht="21" customHeight="1">
      <c r="B7" s="570"/>
      <c r="C7" s="578" t="s">
        <v>51</v>
      </c>
      <c r="D7" s="79" t="s">
        <v>31</v>
      </c>
      <c r="E7" s="80">
        <f>'Control Cuota Artesanal XV-IV'!E9</f>
        <v>54</v>
      </c>
      <c r="F7" s="81">
        <f>'Control Cuota Artesanal XV-IV'!F9</f>
        <v>0</v>
      </c>
      <c r="G7" s="82">
        <f>E7</f>
        <v>54</v>
      </c>
      <c r="H7" s="83">
        <f>'Control Cuota Artesanal XV-IV'!H9</f>
        <v>0</v>
      </c>
      <c r="I7" s="211">
        <f t="shared" si="0"/>
        <v>54</v>
      </c>
      <c r="J7" s="84">
        <f t="shared" si="1"/>
        <v>0</v>
      </c>
    </row>
    <row r="8" spans="1:10" ht="21" customHeight="1">
      <c r="B8" s="570"/>
      <c r="C8" s="579"/>
      <c r="D8" s="32" t="s">
        <v>30</v>
      </c>
      <c r="E8" s="24">
        <f>'Control Cuota Artesanal XV-IV'!E10</f>
        <v>6</v>
      </c>
      <c r="F8" s="33">
        <f>'Control Cuota Artesanal XV-IV'!F10</f>
        <v>0</v>
      </c>
      <c r="G8" s="30">
        <f>E8+I7</f>
        <v>60</v>
      </c>
      <c r="H8" s="26">
        <f>'Control Cuota Artesanal XV-IV'!H10</f>
        <v>0</v>
      </c>
      <c r="I8" s="27">
        <f t="shared" si="0"/>
        <v>60</v>
      </c>
      <c r="J8" s="35">
        <f t="shared" si="1"/>
        <v>0</v>
      </c>
    </row>
    <row r="9" spans="1:10" ht="21" customHeight="1">
      <c r="B9" s="570"/>
      <c r="C9" s="578" t="s">
        <v>52</v>
      </c>
      <c r="D9" s="79" t="s">
        <v>31</v>
      </c>
      <c r="E9" s="80">
        <f>'Control Cuota Artesanal XV-IV'!E15+'Control Cuota Artesanal XV-IV'!E17+'Control Cuota Artesanal XV-IV'!E11+'Control Cuota Artesanal XV-IV'!E13+'Control Cuota Artesanal XV-IV'!E19</f>
        <v>603</v>
      </c>
      <c r="F9" s="81">
        <f>'Control Cuota Artesanal XV-IV'!F15+'Control Cuota Artesanal XV-IV'!F17+'Control Cuota Artesanal XV-IV'!F11+'Control Cuota Artesanal XV-IV'!F13+'Control Cuota Artesanal XV-IV'!F19</f>
        <v>-68.942999999999998</v>
      </c>
      <c r="G9" s="82">
        <f>E9+F9</f>
        <v>534.05700000000002</v>
      </c>
      <c r="H9" s="83">
        <f>'Control Cuota Artesanal XV-IV'!H15+'Control Cuota Artesanal XV-IV'!H17+'Control Cuota Artesanal XV-IV'!H11+'Control Cuota Artesanal XV-IV'!H13+'Control Cuota Artesanal XV-IV'!H19</f>
        <v>313.08599999999996</v>
      </c>
      <c r="I9" s="211">
        <f t="shared" si="0"/>
        <v>220.97100000000006</v>
      </c>
      <c r="J9" s="84">
        <f t="shared" si="1"/>
        <v>0.58624079452193301</v>
      </c>
    </row>
    <row r="10" spans="1:10" ht="21" customHeight="1">
      <c r="B10" s="570"/>
      <c r="C10" s="580"/>
      <c r="D10" s="31" t="s">
        <v>30</v>
      </c>
      <c r="E10" s="24">
        <f>'Control Cuota Artesanal XV-IV'!E16+'Control Cuota Artesanal XV-IV'!E18+'Control Cuota Artesanal XV-IV'!E12+'Control Cuota Artesanal XV-IV'!E14+'Control Cuota Artesanal XV-IV'!E20</f>
        <v>67.000000000000014</v>
      </c>
      <c r="F10" s="33">
        <f>'Control Cuota Artesanal XV-IV'!F16+'Control Cuota Artesanal XV-IV'!F18+'Control Cuota Artesanal XV-IV'!F12+'Control Cuota Artesanal XV-IV'!F14+'Control Cuota Artesanal XV-IV'!F20</f>
        <v>-100</v>
      </c>
      <c r="G10" s="30">
        <f>E10+F10+I9</f>
        <v>187.97100000000006</v>
      </c>
      <c r="H10" s="26">
        <f>'Control Cuota Artesanal XV-IV'!H16+'Control Cuota Artesanal XV-IV'!H18+'Control Cuota Artesanal XV-IV'!H12+'Control Cuota Artesanal XV-IV'!H14+'Control Cuota Artesanal XV-IV'!H20</f>
        <v>160.04599999999999</v>
      </c>
      <c r="I10" s="27">
        <f t="shared" si="0"/>
        <v>27.925000000000068</v>
      </c>
      <c r="J10" s="35">
        <f t="shared" si="1"/>
        <v>0.85143984976405906</v>
      </c>
    </row>
    <row r="11" spans="1:10" ht="21" customHeight="1">
      <c r="B11" s="570"/>
      <c r="C11" s="85" t="s">
        <v>35</v>
      </c>
      <c r="D11" s="64" t="s">
        <v>88</v>
      </c>
      <c r="E11" s="80">
        <v>15</v>
      </c>
      <c r="F11" s="86">
        <v>0</v>
      </c>
      <c r="G11" s="82">
        <f>E11</f>
        <v>15</v>
      </c>
      <c r="H11" s="83">
        <v>0</v>
      </c>
      <c r="I11" s="211">
        <f t="shared" si="0"/>
        <v>15</v>
      </c>
      <c r="J11" s="84">
        <f t="shared" si="1"/>
        <v>0</v>
      </c>
    </row>
    <row r="12" spans="1:10" ht="21" customHeight="1">
      <c r="B12" s="570"/>
      <c r="C12" s="557" t="s">
        <v>47</v>
      </c>
      <c r="D12" s="79" t="s">
        <v>31</v>
      </c>
      <c r="E12" s="80">
        <f>+'Control Cuota LTP XV-IV'!E23</f>
        <v>5</v>
      </c>
      <c r="F12" s="81">
        <f>+'Control Cuota LTP XV-IV'!F23</f>
        <v>0</v>
      </c>
      <c r="G12" s="82">
        <f>E12+F12</f>
        <v>5</v>
      </c>
      <c r="H12" s="83">
        <f>+'Control Cuota LTP XV-IV'!H23</f>
        <v>0</v>
      </c>
      <c r="I12" s="211">
        <f>G12-H12</f>
        <v>5</v>
      </c>
      <c r="J12" s="87">
        <f>H12/G12</f>
        <v>0</v>
      </c>
    </row>
    <row r="13" spans="1:10" ht="21" customHeight="1">
      <c r="B13" s="570"/>
      <c r="C13" s="557"/>
      <c r="D13" s="31" t="s">
        <v>30</v>
      </c>
      <c r="E13" s="24">
        <f>+'Control Cuota LTP XV-IV'!E24</f>
        <v>1</v>
      </c>
      <c r="F13" s="33">
        <f>+'Control Cuota LTP XV-IV'!F24</f>
        <v>0</v>
      </c>
      <c r="G13" s="30">
        <f>E13+F13</f>
        <v>1</v>
      </c>
      <c r="H13" s="26">
        <f>+'Control Cuota LTP XV-IV'!H24</f>
        <v>6.2290000000000001</v>
      </c>
      <c r="I13" s="27">
        <f t="shared" si="0"/>
        <v>-5.2290000000000001</v>
      </c>
      <c r="J13" s="47">
        <f t="shared" ref="J13:J17" si="2">H13/G13</f>
        <v>6.2290000000000001</v>
      </c>
    </row>
    <row r="14" spans="1:10" ht="21" customHeight="1">
      <c r="B14" s="570"/>
      <c r="C14" s="558" t="s">
        <v>48</v>
      </c>
      <c r="D14" s="79" t="s">
        <v>31</v>
      </c>
      <c r="E14" s="81">
        <f>+'Control Cuota LTP XV-IV'!K23</f>
        <v>22.002197799999998</v>
      </c>
      <c r="F14" s="81">
        <f>+'Control Cuota LTP XV-IV'!L23</f>
        <v>68.942999999999998</v>
      </c>
      <c r="G14" s="86">
        <f t="shared" ref="G14:G15" si="3">E14+F14</f>
        <v>90.945197799999988</v>
      </c>
      <c r="H14" s="210">
        <f>+'Control Cuota LTP XV-IV'!N23</f>
        <v>17.863</v>
      </c>
      <c r="I14" s="212">
        <f t="shared" ref="I14" si="4">G14-H12:H14</f>
        <v>73.082197799999989</v>
      </c>
      <c r="J14" s="87">
        <f t="shared" si="2"/>
        <v>0.19641498871972327</v>
      </c>
    </row>
    <row r="15" spans="1:10" ht="18.600000000000001" customHeight="1">
      <c r="B15" s="570"/>
      <c r="C15" s="559"/>
      <c r="D15" s="31" t="s">
        <v>30</v>
      </c>
      <c r="E15" s="81">
        <f>+'Control Cuota LTP XV-IV'!K24</f>
        <v>3.0002997000000002</v>
      </c>
      <c r="F15" s="81">
        <f>+'Control Cuota LTP XV-IV'!L24</f>
        <v>100</v>
      </c>
      <c r="G15" s="86">
        <f t="shared" si="3"/>
        <v>103.0002997</v>
      </c>
      <c r="H15" s="210">
        <f>+'Control Cuota LTP XV-IV'!N24</f>
        <v>112.95699999999999</v>
      </c>
      <c r="I15" s="213">
        <f t="shared" ref="I15" si="5">G15-H15</f>
        <v>-9.9567002999999943</v>
      </c>
      <c r="J15" s="48">
        <f t="shared" si="2"/>
        <v>1.0966667119319071</v>
      </c>
    </row>
    <row r="16" spans="1:10" ht="21" hidden="1" customHeight="1">
      <c r="B16" s="571"/>
      <c r="C16" s="100" t="s">
        <v>103</v>
      </c>
      <c r="D16" s="64" t="s">
        <v>88</v>
      </c>
      <c r="E16" s="65">
        <v>16</v>
      </c>
      <c r="F16" s="65"/>
      <c r="G16" s="38">
        <f>E16+F16</f>
        <v>16</v>
      </c>
      <c r="H16" s="25">
        <v>0</v>
      </c>
      <c r="I16" s="24">
        <f>G16-H16</f>
        <v>16</v>
      </c>
      <c r="J16" s="47">
        <f t="shared" ref="J16" si="6">H16/G16</f>
        <v>0</v>
      </c>
    </row>
    <row r="17" spans="2:10" ht="21" customHeight="1" thickBot="1">
      <c r="B17" s="572"/>
      <c r="C17" s="566" t="s">
        <v>87</v>
      </c>
      <c r="D17" s="567"/>
      <c r="E17" s="71">
        <f>SUM(E5:E15)</f>
        <v>781.0024975</v>
      </c>
      <c r="F17" s="72">
        <f>SUM(F5:F16)</f>
        <v>0</v>
      </c>
      <c r="G17" s="73">
        <f>+E17+F17</f>
        <v>781.0024975</v>
      </c>
      <c r="H17" s="72">
        <f>SUM(H5:H16)</f>
        <v>610.18099999999993</v>
      </c>
      <c r="I17" s="73">
        <f>+G17-H17</f>
        <v>170.82149750000008</v>
      </c>
      <c r="J17" s="74">
        <f t="shared" si="2"/>
        <v>0.78127919174803906</v>
      </c>
    </row>
    <row r="18" spans="2:10" ht="21" customHeight="1" thickBot="1">
      <c r="F18" s="156"/>
    </row>
    <row r="19" spans="2:10" ht="16.899999999999999" customHeight="1">
      <c r="B19" s="560" t="s">
        <v>65</v>
      </c>
      <c r="C19" s="561"/>
      <c r="D19" s="561"/>
      <c r="E19" s="561"/>
      <c r="F19" s="561"/>
      <c r="G19" s="561"/>
      <c r="H19" s="561"/>
      <c r="I19" s="561"/>
      <c r="J19" s="562"/>
    </row>
    <row r="20" spans="2:10" ht="17.45" hidden="1" customHeight="1">
      <c r="B20" s="563"/>
      <c r="C20" s="564"/>
      <c r="D20" s="564"/>
      <c r="E20" s="564"/>
      <c r="F20" s="564"/>
      <c r="G20" s="564"/>
      <c r="H20" s="564"/>
      <c r="I20" s="564"/>
      <c r="J20" s="565"/>
    </row>
    <row r="21" spans="2:10" ht="18.600000000000001" customHeight="1">
      <c r="B21" s="575">
        <f>+'Resumen anual'!B4</f>
        <v>43830</v>
      </c>
      <c r="C21" s="576"/>
      <c r="D21" s="576"/>
      <c r="E21" s="576"/>
      <c r="F21" s="576"/>
      <c r="G21" s="576"/>
      <c r="H21" s="576"/>
      <c r="I21" s="576"/>
      <c r="J21" s="577"/>
    </row>
    <row r="22" spans="2:10" ht="32.450000000000003" customHeight="1">
      <c r="B22" s="88" t="s">
        <v>13</v>
      </c>
      <c r="C22" s="75" t="s">
        <v>0</v>
      </c>
      <c r="D22" s="89" t="s">
        <v>1</v>
      </c>
      <c r="E22" s="76" t="s">
        <v>64</v>
      </c>
      <c r="F22" s="77" t="s">
        <v>3</v>
      </c>
      <c r="G22" s="75" t="s">
        <v>4</v>
      </c>
      <c r="H22" s="90" t="s">
        <v>5</v>
      </c>
      <c r="I22" s="75" t="s">
        <v>6</v>
      </c>
      <c r="J22" s="91" t="s">
        <v>17</v>
      </c>
    </row>
    <row r="23" spans="2:10" ht="21" customHeight="1">
      <c r="B23" s="568" t="s">
        <v>68</v>
      </c>
      <c r="C23" s="573" t="s">
        <v>49</v>
      </c>
      <c r="D23" s="79" t="s">
        <v>31</v>
      </c>
      <c r="E23" s="40">
        <f>+'Control Cuota_PEP_V-VIII'!E37</f>
        <v>985.03965054000003</v>
      </c>
      <c r="F23" s="40">
        <f>+'Control Cuota_PEP_V-VIII'!F37</f>
        <v>-5.6843418860808015E-14</v>
      </c>
      <c r="G23" s="92">
        <f>E23+F23</f>
        <v>985.03965053999991</v>
      </c>
      <c r="H23" s="44">
        <f>+'Control Cuota_PEP_V-VIII'!H37</f>
        <v>820.69200000000001</v>
      </c>
      <c r="I23" s="45">
        <f t="shared" ref="I23:I26" si="7">G23-H23</f>
        <v>164.3476505399999</v>
      </c>
      <c r="J23" s="39">
        <f t="shared" ref="J23:J29" si="8">H23/G23</f>
        <v>0.83315630954560627</v>
      </c>
    </row>
    <row r="24" spans="2:10" ht="21" customHeight="1">
      <c r="B24" s="568"/>
      <c r="C24" s="555"/>
      <c r="D24" s="32" t="s">
        <v>30</v>
      </c>
      <c r="E24" s="40">
        <f>+'Control Cuota_PEP_V-VIII'!E38</f>
        <v>109.44885006</v>
      </c>
      <c r="F24" s="40">
        <f>+'Control Cuota_PEP_V-VIII'!F38</f>
        <v>0</v>
      </c>
      <c r="G24" s="161">
        <f>E24+F24</f>
        <v>109.44885006</v>
      </c>
      <c r="H24" s="44">
        <f>+'Control Cuota_PEP_V-VIII'!H38</f>
        <v>256.14999999999998</v>
      </c>
      <c r="I24" s="45">
        <f t="shared" si="7"/>
        <v>-146.70114993999999</v>
      </c>
      <c r="J24" s="39">
        <f t="shared" si="8"/>
        <v>2.3403626430024458</v>
      </c>
    </row>
    <row r="25" spans="2:10" ht="21" customHeight="1">
      <c r="B25" s="568"/>
      <c r="C25" s="555" t="s">
        <v>50</v>
      </c>
      <c r="D25" s="162" t="s">
        <v>31</v>
      </c>
      <c r="E25" s="161">
        <f>+'Control Cuota_PEP_V-VIII'!K37</f>
        <v>3189.9364844760007</v>
      </c>
      <c r="F25" s="161">
        <f>+'Control Cuota_PEP_V-VIII'!L37</f>
        <v>0</v>
      </c>
      <c r="G25" s="161">
        <f>E25+F25</f>
        <v>3189.9364844760007</v>
      </c>
      <c r="H25" s="163">
        <f>+'Control Cuota_PEP_V-VIII'!N37</f>
        <v>2949.2529999999997</v>
      </c>
      <c r="I25" s="164">
        <f t="shared" si="7"/>
        <v>240.68348447600101</v>
      </c>
      <c r="J25" s="165">
        <f t="shared" si="8"/>
        <v>0.92454912953681045</v>
      </c>
    </row>
    <row r="26" spans="2:10" ht="21" customHeight="1">
      <c r="B26" s="568"/>
      <c r="C26" s="556"/>
      <c r="D26" s="31" t="s">
        <v>30</v>
      </c>
      <c r="E26" s="41">
        <f>+'Control Cuota_PEP_V-VIII'!K38</f>
        <v>354.21627837600005</v>
      </c>
      <c r="F26" s="41">
        <f>+'Control Cuota_PEP_V-VIII'!L38</f>
        <v>0</v>
      </c>
      <c r="G26" s="68">
        <f>E26+F26</f>
        <v>354.21627837600005</v>
      </c>
      <c r="H26" s="42">
        <f>+'Control Cuota_PEP_V-VIII'!N38</f>
        <v>545.36400000000003</v>
      </c>
      <c r="I26" s="46">
        <f t="shared" si="7"/>
        <v>-191.14772162399998</v>
      </c>
      <c r="J26" s="43">
        <f t="shared" si="8"/>
        <v>1.5396356217742679</v>
      </c>
    </row>
    <row r="27" spans="2:10" ht="21" customHeight="1">
      <c r="B27" s="568"/>
      <c r="C27" s="94" t="s">
        <v>90</v>
      </c>
      <c r="D27" s="67" t="s">
        <v>88</v>
      </c>
      <c r="E27" s="68">
        <v>50</v>
      </c>
      <c r="F27" s="68">
        <v>0</v>
      </c>
      <c r="G27" s="68">
        <f>+E27+F27</f>
        <v>50</v>
      </c>
      <c r="H27" s="93">
        <v>0.71000000000000008</v>
      </c>
      <c r="I27" s="69">
        <f t="shared" ref="I27:I28" si="9">G27-H27</f>
        <v>49.29</v>
      </c>
      <c r="J27" s="70">
        <f t="shared" ref="J27:J28" si="10">H27/G27</f>
        <v>1.4200000000000001E-2</v>
      </c>
    </row>
    <row r="28" spans="2:10" ht="21" customHeight="1">
      <c r="B28" s="568"/>
      <c r="C28" s="96" t="s">
        <v>104</v>
      </c>
      <c r="D28" s="67" t="s">
        <v>88</v>
      </c>
      <c r="E28" s="99">
        <v>86</v>
      </c>
      <c r="F28" s="52">
        <v>0</v>
      </c>
      <c r="G28" s="52">
        <f t="shared" ref="G28" si="11">E28+F28</f>
        <v>86</v>
      </c>
      <c r="H28" s="99">
        <v>0</v>
      </c>
      <c r="I28" s="97">
        <f t="shared" si="9"/>
        <v>86</v>
      </c>
      <c r="J28" s="98">
        <f t="shared" si="10"/>
        <v>0</v>
      </c>
    </row>
    <row r="29" spans="2:10" ht="21" customHeight="1" thickBot="1">
      <c r="B29" s="569"/>
      <c r="C29" s="566" t="s">
        <v>89</v>
      </c>
      <c r="D29" s="574"/>
      <c r="E29" s="73">
        <f>SUM(E22:E28)</f>
        <v>4774.6412634520011</v>
      </c>
      <c r="F29" s="73">
        <f>SUM(F23:F28)</f>
        <v>-5.6843418860808015E-14</v>
      </c>
      <c r="G29" s="73">
        <f>+E29+F29</f>
        <v>4774.6412634520011</v>
      </c>
      <c r="H29" s="72">
        <f>SUM(H23:H28)</f>
        <v>4572.1689999999999</v>
      </c>
      <c r="I29" s="73">
        <f>+G29-H29</f>
        <v>202.47226345200124</v>
      </c>
      <c r="J29" s="74">
        <f t="shared" si="8"/>
        <v>0.95759424587521436</v>
      </c>
    </row>
    <row r="30" spans="2:10" ht="21" customHeight="1"/>
    <row r="31" spans="2:10" ht="21" customHeight="1">
      <c r="E31" s="207"/>
      <c r="H31" s="208"/>
    </row>
    <row r="32" spans="2:10" ht="21" customHeight="1">
      <c r="E32" s="202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</sheetData>
  <mergeCells count="16">
    <mergeCell ref="B2:J2"/>
    <mergeCell ref="C5:C6"/>
    <mergeCell ref="C7:C8"/>
    <mergeCell ref="C9:C10"/>
    <mergeCell ref="B3:J3"/>
    <mergeCell ref="C25:C26"/>
    <mergeCell ref="C12:C13"/>
    <mergeCell ref="C14:C15"/>
    <mergeCell ref="B19:J19"/>
    <mergeCell ref="B20:J20"/>
    <mergeCell ref="C17:D17"/>
    <mergeCell ref="B23:B29"/>
    <mergeCell ref="B5:B17"/>
    <mergeCell ref="C23:C24"/>
    <mergeCell ref="C29:D29"/>
    <mergeCell ref="B21:J21"/>
  </mergeCells>
  <conditionalFormatting sqref="H5:H11 H14:H16">
    <cfRule type="dataBar" priority="3">
      <dataBar>
        <cfvo type="min"/>
        <cfvo type="max"/>
        <color rgb="FFFF555A"/>
      </dataBar>
    </cfRule>
  </conditionalFormatting>
  <conditionalFormatting sqref="H23:H28">
    <cfRule type="dataBar" priority="2">
      <dataBar>
        <cfvo type="min"/>
        <cfvo type="max"/>
        <color rgb="FFFF555A"/>
      </dataBar>
    </cfRule>
  </conditionalFormatting>
  <conditionalFormatting sqref="H12:H13">
    <cfRule type="dataBar" priority="1">
      <dataBar>
        <cfvo type="min"/>
        <cfvo type="max"/>
        <color rgb="FFFF555A"/>
      </dataBar>
    </cfRule>
  </conditionalFormatting>
  <pageMargins left="0.7" right="0.7" top="0.75" bottom="0.75" header="0.3" footer="0.3"/>
  <pageSetup orientation="portrait" r:id="rId1"/>
  <ignoredErrors>
    <ignoredError sqref="G6:G7" formula="1"/>
    <ignoredError sqref="G17 J12:J15 J29 I30 I23:J26" evalError="1"/>
    <ignoredError sqref="I14:I15" evalError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R37"/>
  <sheetViews>
    <sheetView zoomScale="90" zoomScaleNormal="90" workbookViewId="0">
      <selection activeCell="H13" sqref="H13"/>
    </sheetView>
  </sheetViews>
  <sheetFormatPr baseColWidth="10" defaultColWidth="11.5703125" defaultRowHeight="15"/>
  <cols>
    <col min="1" max="1" width="4.42578125" style="200" customWidth="1"/>
    <col min="2" max="2" width="16.7109375" style="200" customWidth="1"/>
    <col min="3" max="3" width="19.28515625" style="200" customWidth="1"/>
    <col min="4" max="4" width="11.5703125" style="200"/>
    <col min="5" max="5" width="10.140625" style="200" customWidth="1"/>
    <col min="6" max="6" width="11.140625" style="200" customWidth="1"/>
    <col min="7" max="7" width="11.5703125" style="200"/>
    <col min="8" max="8" width="10.5703125" style="200" customWidth="1"/>
    <col min="9" max="9" width="11.5703125" style="200"/>
    <col min="10" max="10" width="11.7109375" style="200" customWidth="1"/>
    <col min="11" max="11" width="11.28515625" style="200" customWidth="1"/>
    <col min="12" max="12" width="4.140625" style="200" customWidth="1"/>
    <col min="13" max="13" width="12.42578125" style="200" customWidth="1"/>
    <col min="14" max="14" width="13.140625" style="200" customWidth="1"/>
    <col min="15" max="116" width="11.42578125" style="200" customWidth="1"/>
    <col min="117" max="16384" width="11.5703125" style="200"/>
  </cols>
  <sheetData>
    <row r="1" spans="2:18" ht="15.75" thickBot="1"/>
    <row r="2" spans="2:18" ht="20.45" customHeight="1">
      <c r="B2" s="605" t="s">
        <v>117</v>
      </c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7"/>
    </row>
    <row r="3" spans="2:18" ht="20.100000000000001" customHeight="1" thickBot="1">
      <c r="B3" s="323"/>
      <c r="C3" s="611">
        <f>+'Resumen anual'!B4</f>
        <v>43830</v>
      </c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324"/>
      <c r="Q3" s="324"/>
      <c r="R3" s="325"/>
    </row>
    <row r="4" spans="2:18" ht="15.75" thickBot="1">
      <c r="I4" s="297"/>
    </row>
    <row r="5" spans="2:18" ht="21" customHeight="1" thickBot="1">
      <c r="B5" s="598" t="s">
        <v>0</v>
      </c>
      <c r="C5" s="600" t="s">
        <v>16</v>
      </c>
      <c r="D5" s="602" t="s">
        <v>19</v>
      </c>
      <c r="E5" s="603"/>
      <c r="F5" s="603"/>
      <c r="G5" s="603"/>
      <c r="H5" s="603"/>
      <c r="I5" s="603"/>
      <c r="J5" s="603"/>
      <c r="K5" s="604"/>
      <c r="M5" s="608" t="s">
        <v>18</v>
      </c>
      <c r="N5" s="609"/>
      <c r="O5" s="609"/>
      <c r="P5" s="609"/>
      <c r="Q5" s="609"/>
      <c r="R5" s="610"/>
    </row>
    <row r="6" spans="2:18" ht="30.75" thickBot="1">
      <c r="B6" s="599"/>
      <c r="C6" s="601"/>
      <c r="D6" s="111" t="s">
        <v>1</v>
      </c>
      <c r="E6" s="112" t="s">
        <v>2</v>
      </c>
      <c r="F6" s="112" t="s">
        <v>21</v>
      </c>
      <c r="G6" s="112" t="s">
        <v>4</v>
      </c>
      <c r="H6" s="112" t="s">
        <v>5</v>
      </c>
      <c r="I6" s="112" t="s">
        <v>6</v>
      </c>
      <c r="J6" s="112" t="s">
        <v>17</v>
      </c>
      <c r="K6" s="113" t="s">
        <v>8</v>
      </c>
      <c r="M6" s="294" t="s">
        <v>2</v>
      </c>
      <c r="N6" s="114" t="s">
        <v>3</v>
      </c>
      <c r="O6" s="114" t="s">
        <v>4</v>
      </c>
      <c r="P6" s="115" t="s">
        <v>5</v>
      </c>
      <c r="Q6" s="114" t="s">
        <v>6</v>
      </c>
      <c r="R6" s="295" t="s">
        <v>7</v>
      </c>
    </row>
    <row r="7" spans="2:18" ht="15" customHeight="1">
      <c r="B7" s="548" t="s">
        <v>9</v>
      </c>
      <c r="C7" s="592" t="s">
        <v>86</v>
      </c>
      <c r="D7" s="105" t="s">
        <v>12</v>
      </c>
      <c r="E7" s="298">
        <v>4</v>
      </c>
      <c r="F7" s="5"/>
      <c r="G7" s="298">
        <f>E7+F7</f>
        <v>4</v>
      </c>
      <c r="H7" s="5"/>
      <c r="I7" s="298">
        <f t="shared" ref="I7:I14" si="0">G7-H7</f>
        <v>4</v>
      </c>
      <c r="J7" s="488">
        <f t="shared" ref="J7:J15" si="1">(H7/G7)</f>
        <v>0</v>
      </c>
      <c r="K7" s="299" t="s">
        <v>101</v>
      </c>
      <c r="M7" s="594">
        <f>E7+E8</f>
        <v>5</v>
      </c>
      <c r="N7" s="588">
        <f>F7+F8</f>
        <v>0</v>
      </c>
      <c r="O7" s="588">
        <f>M7+N7</f>
        <v>5</v>
      </c>
      <c r="P7" s="588">
        <f>H7+H8</f>
        <v>0</v>
      </c>
      <c r="Q7" s="588">
        <f>O7-P7</f>
        <v>5</v>
      </c>
      <c r="R7" s="590">
        <f>P7/O7</f>
        <v>0</v>
      </c>
    </row>
    <row r="8" spans="2:18" ht="15.75" thickBot="1">
      <c r="B8" s="550"/>
      <c r="C8" s="593"/>
      <c r="D8" s="106" t="s">
        <v>10</v>
      </c>
      <c r="E8" s="300">
        <v>1</v>
      </c>
      <c r="F8" s="301"/>
      <c r="G8" s="300">
        <f>E8+F8+I7</f>
        <v>5</v>
      </c>
      <c r="H8" s="301"/>
      <c r="I8" s="300">
        <f t="shared" si="0"/>
        <v>5</v>
      </c>
      <c r="J8" s="489">
        <f t="shared" si="1"/>
        <v>0</v>
      </c>
      <c r="K8" s="302" t="s">
        <v>101</v>
      </c>
      <c r="M8" s="595"/>
      <c r="N8" s="589"/>
      <c r="O8" s="589"/>
      <c r="P8" s="589"/>
      <c r="Q8" s="589"/>
      <c r="R8" s="591"/>
    </row>
    <row r="9" spans="2:18" ht="15" customHeight="1">
      <c r="B9" s="548" t="s">
        <v>11</v>
      </c>
      <c r="C9" s="596" t="s">
        <v>86</v>
      </c>
      <c r="D9" s="105" t="s">
        <v>12</v>
      </c>
      <c r="E9" s="298">
        <v>54</v>
      </c>
      <c r="F9" s="5"/>
      <c r="G9" s="303">
        <f>E9+F9</f>
        <v>54</v>
      </c>
      <c r="H9" s="5"/>
      <c r="I9" s="304">
        <f t="shared" si="0"/>
        <v>54</v>
      </c>
      <c r="J9" s="488">
        <f t="shared" si="1"/>
        <v>0</v>
      </c>
      <c r="K9" s="143" t="s">
        <v>101</v>
      </c>
      <c r="M9" s="594">
        <f>E9+E10</f>
        <v>60</v>
      </c>
      <c r="N9" s="588">
        <f>F9+F10</f>
        <v>0</v>
      </c>
      <c r="O9" s="588">
        <f>M9+N9</f>
        <v>60</v>
      </c>
      <c r="P9" s="588">
        <f>H9+H10</f>
        <v>0</v>
      </c>
      <c r="Q9" s="588">
        <f>O9-P9</f>
        <v>60</v>
      </c>
      <c r="R9" s="590">
        <f>P9/O9</f>
        <v>0</v>
      </c>
    </row>
    <row r="10" spans="2:18" ht="15.75" thickBot="1">
      <c r="B10" s="549"/>
      <c r="C10" s="597"/>
      <c r="D10" s="116" t="s">
        <v>10</v>
      </c>
      <c r="E10" s="305">
        <v>6</v>
      </c>
      <c r="F10" s="103"/>
      <c r="G10" s="306">
        <f>E10+F10+I9</f>
        <v>60</v>
      </c>
      <c r="H10" s="326"/>
      <c r="I10" s="307">
        <f t="shared" si="0"/>
        <v>60</v>
      </c>
      <c r="J10" s="490">
        <f t="shared" si="1"/>
        <v>0</v>
      </c>
      <c r="K10" s="109" t="s">
        <v>101</v>
      </c>
      <c r="M10" s="595"/>
      <c r="N10" s="589"/>
      <c r="O10" s="589"/>
      <c r="P10" s="589"/>
      <c r="Q10" s="589"/>
      <c r="R10" s="591"/>
    </row>
    <row r="11" spans="2:18" ht="15" customHeight="1">
      <c r="B11" s="548" t="s">
        <v>15</v>
      </c>
      <c r="C11" s="616" t="s">
        <v>111</v>
      </c>
      <c r="D11" s="105" t="s">
        <v>12</v>
      </c>
      <c r="E11" s="298">
        <v>127.84</v>
      </c>
      <c r="F11" s="101"/>
      <c r="G11" s="303">
        <f>E11+F11</f>
        <v>127.84</v>
      </c>
      <c r="H11" s="308">
        <v>121.889</v>
      </c>
      <c r="I11" s="304">
        <f t="shared" si="0"/>
        <v>5.9510000000000076</v>
      </c>
      <c r="J11" s="488">
        <f t="shared" si="1"/>
        <v>0.95344962453066329</v>
      </c>
      <c r="K11" s="110" t="s">
        <v>101</v>
      </c>
      <c r="M11" s="614">
        <f>E11+E12</f>
        <v>142.04</v>
      </c>
      <c r="N11" s="615">
        <f>F11+F12</f>
        <v>100</v>
      </c>
      <c r="O11" s="615">
        <f>M11+N11</f>
        <v>242.04</v>
      </c>
      <c r="P11" s="615">
        <f>H11+H12</f>
        <v>235.02100000000002</v>
      </c>
      <c r="Q11" s="615">
        <f>O11-P11</f>
        <v>7.018999999999977</v>
      </c>
      <c r="R11" s="618">
        <f>P11/O11</f>
        <v>0.97100066104776084</v>
      </c>
    </row>
    <row r="12" spans="2:18">
      <c r="B12" s="549"/>
      <c r="C12" s="617"/>
      <c r="D12" s="107" t="s">
        <v>10</v>
      </c>
      <c r="E12" s="309">
        <v>14.2</v>
      </c>
      <c r="F12" s="57">
        <v>100</v>
      </c>
      <c r="G12" s="310">
        <f>E12+I11+F12</f>
        <v>120.15100000000001</v>
      </c>
      <c r="H12" s="311">
        <v>113.13200000000001</v>
      </c>
      <c r="I12" s="312">
        <f t="shared" si="0"/>
        <v>7.0190000000000055</v>
      </c>
      <c r="J12" s="491">
        <f t="shared" si="1"/>
        <v>0.94158184284774993</v>
      </c>
      <c r="K12" s="108" t="s">
        <v>101</v>
      </c>
      <c r="M12" s="614"/>
      <c r="N12" s="615"/>
      <c r="O12" s="615"/>
      <c r="P12" s="615"/>
      <c r="Q12" s="615"/>
      <c r="R12" s="619"/>
    </row>
    <row r="13" spans="2:18">
      <c r="B13" s="549"/>
      <c r="C13" s="612" t="s">
        <v>114</v>
      </c>
      <c r="D13" s="107" t="s">
        <v>12</v>
      </c>
      <c r="E13" s="309">
        <v>120.6</v>
      </c>
      <c r="F13" s="57"/>
      <c r="G13" s="310">
        <f>E13+F13</f>
        <v>120.6</v>
      </c>
      <c r="H13" s="311">
        <f>+D34</f>
        <v>31.774999999999995</v>
      </c>
      <c r="I13" s="312">
        <f t="shared" si="0"/>
        <v>88.825000000000003</v>
      </c>
      <c r="J13" s="491">
        <f t="shared" si="1"/>
        <v>0.26347429519071308</v>
      </c>
      <c r="K13" s="108" t="s">
        <v>101</v>
      </c>
      <c r="M13" s="614">
        <f>E13+E14</f>
        <v>134</v>
      </c>
      <c r="N13" s="615">
        <f>F13+F14</f>
        <v>-100</v>
      </c>
      <c r="O13" s="615">
        <f>M13+N13</f>
        <v>34</v>
      </c>
      <c r="P13" s="615">
        <f>H13+H14</f>
        <v>31.774999999999995</v>
      </c>
      <c r="Q13" s="615">
        <f>O13-P13</f>
        <v>2.225000000000005</v>
      </c>
      <c r="R13" s="621">
        <f>P13/O13</f>
        <v>0.93455882352941166</v>
      </c>
    </row>
    <row r="14" spans="2:18">
      <c r="B14" s="549"/>
      <c r="C14" s="623"/>
      <c r="D14" s="116" t="s">
        <v>10</v>
      </c>
      <c r="E14" s="313">
        <v>13.4</v>
      </c>
      <c r="F14" s="223">
        <v>-100</v>
      </c>
      <c r="G14" s="306">
        <f>E14+F14+I13</f>
        <v>2.2250000000000085</v>
      </c>
      <c r="H14" s="311"/>
      <c r="I14" s="307">
        <f t="shared" si="0"/>
        <v>2.2250000000000085</v>
      </c>
      <c r="J14" s="492">
        <f t="shared" si="1"/>
        <v>0</v>
      </c>
      <c r="K14" s="224" t="s">
        <v>101</v>
      </c>
      <c r="M14" s="624"/>
      <c r="N14" s="625"/>
      <c r="O14" s="625"/>
      <c r="P14" s="625"/>
      <c r="Q14" s="625"/>
      <c r="R14" s="622"/>
    </row>
    <row r="15" spans="2:18">
      <c r="B15" s="549"/>
      <c r="C15" s="612" t="s">
        <v>113</v>
      </c>
      <c r="D15" s="107" t="s">
        <v>12</v>
      </c>
      <c r="E15" s="309">
        <v>177.28</v>
      </c>
      <c r="F15" s="149">
        <v>-68.942999999999998</v>
      </c>
      <c r="G15" s="310">
        <f>E15+F15</f>
        <v>108.337</v>
      </c>
      <c r="H15" s="311">
        <f>+D35</f>
        <v>105.913</v>
      </c>
      <c r="I15" s="312">
        <f t="shared" ref="I15:I20" si="2">G15-H15</f>
        <v>2.4240000000000066</v>
      </c>
      <c r="J15" s="491">
        <f t="shared" si="1"/>
        <v>0.97762537267969385</v>
      </c>
      <c r="K15" s="108" t="s">
        <v>101</v>
      </c>
      <c r="M15" s="614">
        <f>E15+E16</f>
        <v>196.98</v>
      </c>
      <c r="N15" s="615">
        <f>F15+F16</f>
        <v>-68.942999999999998</v>
      </c>
      <c r="O15" s="615">
        <f>M15+N15</f>
        <v>128.03699999999998</v>
      </c>
      <c r="P15" s="615">
        <f>H15+H16</f>
        <v>125.407</v>
      </c>
      <c r="Q15" s="615">
        <f>O15-P15</f>
        <v>2.6299999999999812</v>
      </c>
      <c r="R15" s="618">
        <f>P15/O15</f>
        <v>0.97945906261471305</v>
      </c>
    </row>
    <row r="16" spans="2:18">
      <c r="B16" s="549"/>
      <c r="C16" s="613"/>
      <c r="D16" s="107" t="s">
        <v>10</v>
      </c>
      <c r="E16" s="309">
        <v>19.7</v>
      </c>
      <c r="F16" s="102"/>
      <c r="G16" s="310">
        <f>E16+F16+I15</f>
        <v>22.124000000000006</v>
      </c>
      <c r="H16" s="311">
        <v>19.494</v>
      </c>
      <c r="I16" s="312">
        <f t="shared" si="2"/>
        <v>2.6300000000000061</v>
      </c>
      <c r="J16" s="491">
        <f t="shared" ref="J16:J20" si="3">(H16/G16)</f>
        <v>0.88112457060206084</v>
      </c>
      <c r="K16" s="108" t="s">
        <v>101</v>
      </c>
      <c r="M16" s="614"/>
      <c r="N16" s="615"/>
      <c r="O16" s="615"/>
      <c r="P16" s="615"/>
      <c r="Q16" s="615"/>
      <c r="R16" s="619"/>
    </row>
    <row r="17" spans="2:18" ht="14.45" customHeight="1">
      <c r="B17" s="549"/>
      <c r="C17" s="612" t="s">
        <v>112</v>
      </c>
      <c r="D17" s="107" t="s">
        <v>12</v>
      </c>
      <c r="E17" s="309">
        <v>165.22</v>
      </c>
      <c r="F17" s="102"/>
      <c r="G17" s="310">
        <f>E17+F17</f>
        <v>165.22</v>
      </c>
      <c r="H17" s="311">
        <v>53.509</v>
      </c>
      <c r="I17" s="312">
        <f t="shared" si="2"/>
        <v>111.711</v>
      </c>
      <c r="J17" s="491">
        <f t="shared" si="3"/>
        <v>0.3238651494976395</v>
      </c>
      <c r="K17" s="108" t="s">
        <v>101</v>
      </c>
      <c r="M17" s="614">
        <f>E17+E18</f>
        <v>183.57999999999998</v>
      </c>
      <c r="N17" s="615">
        <f>F17+F18</f>
        <v>-100</v>
      </c>
      <c r="O17" s="615">
        <f>M17+N17</f>
        <v>83.579999999999984</v>
      </c>
      <c r="P17" s="615">
        <f>H17+H18</f>
        <v>80.929000000000002</v>
      </c>
      <c r="Q17" s="620">
        <f>O17-P17</f>
        <v>2.650999999999982</v>
      </c>
      <c r="R17" s="618">
        <f>P17/O17</f>
        <v>0.9682818856185692</v>
      </c>
    </row>
    <row r="18" spans="2:18">
      <c r="B18" s="549"/>
      <c r="C18" s="613"/>
      <c r="D18" s="116" t="s">
        <v>10</v>
      </c>
      <c r="E18" s="309">
        <v>18.36</v>
      </c>
      <c r="F18" s="102">
        <v>-100</v>
      </c>
      <c r="G18" s="310">
        <f>E18+F18+I17</f>
        <v>30.070999999999998</v>
      </c>
      <c r="H18" s="311">
        <v>27.42</v>
      </c>
      <c r="I18" s="312">
        <f t="shared" si="2"/>
        <v>2.6509999999999962</v>
      </c>
      <c r="J18" s="491">
        <f t="shared" si="3"/>
        <v>0.91184197399487887</v>
      </c>
      <c r="K18" s="108" t="s">
        <v>101</v>
      </c>
      <c r="M18" s="614"/>
      <c r="N18" s="615"/>
      <c r="O18" s="615"/>
      <c r="P18" s="615"/>
      <c r="Q18" s="620"/>
      <c r="R18" s="619"/>
    </row>
    <row r="19" spans="2:18">
      <c r="B19" s="549"/>
      <c r="C19" s="626" t="s">
        <v>92</v>
      </c>
      <c r="D19" s="107" t="s">
        <v>12</v>
      </c>
      <c r="E19" s="309">
        <v>12.06</v>
      </c>
      <c r="F19" s="314"/>
      <c r="G19" s="306">
        <f>E19+F19</f>
        <v>12.06</v>
      </c>
      <c r="H19" s="311"/>
      <c r="I19" s="307">
        <f t="shared" si="2"/>
        <v>12.06</v>
      </c>
      <c r="J19" s="493">
        <f t="shared" si="3"/>
        <v>0</v>
      </c>
      <c r="K19" s="315" t="s">
        <v>101</v>
      </c>
      <c r="M19" s="614">
        <f>E19+E20</f>
        <v>13.4</v>
      </c>
      <c r="N19" s="615">
        <f>F19+F20</f>
        <v>0</v>
      </c>
      <c r="O19" s="615">
        <f>M19+N19</f>
        <v>13.4</v>
      </c>
      <c r="P19" s="615">
        <f>H19+H20</f>
        <v>0</v>
      </c>
      <c r="Q19" s="615">
        <f>O19-P19</f>
        <v>13.4</v>
      </c>
      <c r="R19" s="621">
        <f>P19/O19</f>
        <v>0</v>
      </c>
    </row>
    <row r="20" spans="2:18" ht="15.75" thickBot="1">
      <c r="B20" s="550"/>
      <c r="C20" s="627"/>
      <c r="D20" s="225" t="s">
        <v>10</v>
      </c>
      <c r="E20" s="316">
        <v>1.34</v>
      </c>
      <c r="F20" s="317"/>
      <c r="G20" s="318">
        <f>E20+F20+I19</f>
        <v>13.4</v>
      </c>
      <c r="H20" s="319"/>
      <c r="I20" s="320">
        <f t="shared" si="2"/>
        <v>13.4</v>
      </c>
      <c r="J20" s="494">
        <f t="shared" si="3"/>
        <v>0</v>
      </c>
      <c r="K20" s="302" t="s">
        <v>101</v>
      </c>
      <c r="M20" s="595"/>
      <c r="N20" s="589"/>
      <c r="O20" s="589"/>
      <c r="P20" s="589"/>
      <c r="Q20" s="589"/>
      <c r="R20" s="591"/>
    </row>
    <row r="21" spans="2:18" s="201" customFormat="1" ht="16.149999999999999" customHeight="1">
      <c r="B21" s="628" t="s">
        <v>120</v>
      </c>
      <c r="C21" s="629"/>
      <c r="D21" s="218" t="s">
        <v>12</v>
      </c>
      <c r="E21" s="219">
        <f>SUM(E7+E9+E15+E17+E11+E13+E19)</f>
        <v>661</v>
      </c>
      <c r="F21" s="219">
        <f>SUM(F7+F9+F15+F17+F11+F13+F19)</f>
        <v>-68.942999999999998</v>
      </c>
      <c r="G21" s="220">
        <f>+F21+E21</f>
        <v>592.05700000000002</v>
      </c>
      <c r="H21" s="219">
        <f>SUM(H7+H9+H15+H17+H11+H13+H19)</f>
        <v>313.08599999999996</v>
      </c>
      <c r="I21" s="221">
        <f>+G21-H21</f>
        <v>278.97100000000006</v>
      </c>
      <c r="J21" s="495">
        <f>H21/G21</f>
        <v>0.52881057060384384</v>
      </c>
      <c r="K21" s="222" t="s">
        <v>101</v>
      </c>
      <c r="M21" s="636">
        <f>SUM(M7:M20)</f>
        <v>734.99999999999989</v>
      </c>
      <c r="N21" s="632">
        <f>SUM(N7:N20)</f>
        <v>-168.94299999999998</v>
      </c>
      <c r="O21" s="632">
        <f>+M21+N21</f>
        <v>566.0569999999999</v>
      </c>
      <c r="P21" s="632">
        <f>SUM(P7:P20)</f>
        <v>473.13199999999995</v>
      </c>
      <c r="Q21" s="632">
        <f>+O21-P21</f>
        <v>92.924999999999955</v>
      </c>
      <c r="R21" s="634">
        <f>+P21/O21</f>
        <v>0.8358380869771066</v>
      </c>
    </row>
    <row r="22" spans="2:18" ht="20.45" customHeight="1" thickBot="1">
      <c r="B22" s="630"/>
      <c r="C22" s="631"/>
      <c r="D22" s="144" t="s">
        <v>10</v>
      </c>
      <c r="E22" s="145">
        <f>SUM(E8+E10+E16+E18+E12+E14+E20)</f>
        <v>74.000000000000014</v>
      </c>
      <c r="F22" s="145">
        <f>SUM(F8+F10+F16+F18+F12+F14+F20)</f>
        <v>-100</v>
      </c>
      <c r="G22" s="146">
        <f>E22+F22+I21</f>
        <v>252.97100000000006</v>
      </c>
      <c r="H22" s="145">
        <f>SUM(H8+H10+H16+H18+H12+H14+H20)</f>
        <v>160.04599999999999</v>
      </c>
      <c r="I22" s="147">
        <f>+G22-H22</f>
        <v>92.925000000000068</v>
      </c>
      <c r="J22" s="496">
        <f>H22/G22</f>
        <v>0.63266540433488405</v>
      </c>
      <c r="K22" s="148" t="s">
        <v>101</v>
      </c>
      <c r="M22" s="637"/>
      <c r="N22" s="633"/>
      <c r="O22" s="633"/>
      <c r="P22" s="633"/>
      <c r="Q22" s="633"/>
      <c r="R22" s="635"/>
    </row>
    <row r="23" spans="2:18" ht="13.5" customHeight="1" thickBot="1">
      <c r="H23" s="207"/>
      <c r="J23" s="497"/>
    </row>
    <row r="24" spans="2:18" ht="14.45" customHeight="1">
      <c r="B24" s="114" t="s">
        <v>124</v>
      </c>
      <c r="C24" s="140"/>
      <c r="D24" s="584" t="s">
        <v>125</v>
      </c>
      <c r="E24" s="584">
        <v>15</v>
      </c>
      <c r="F24" s="584" t="s">
        <v>126</v>
      </c>
      <c r="G24" s="584">
        <f>+E24</f>
        <v>15</v>
      </c>
      <c r="H24" s="584">
        <v>0.02</v>
      </c>
      <c r="I24" s="584">
        <f>+G24-H24</f>
        <v>14.98</v>
      </c>
      <c r="J24" s="586">
        <f>+H24/G24</f>
        <v>1.3333333333333333E-3</v>
      </c>
      <c r="K24" s="584" t="s">
        <v>101</v>
      </c>
    </row>
    <row r="25" spans="2:18" ht="15.75" thickBot="1">
      <c r="B25" s="141"/>
      <c r="C25" s="142"/>
      <c r="D25" s="585"/>
      <c r="E25" s="585"/>
      <c r="F25" s="585"/>
      <c r="G25" s="585"/>
      <c r="H25" s="585"/>
      <c r="I25" s="585"/>
      <c r="J25" s="587"/>
      <c r="K25" s="585" t="s">
        <v>101</v>
      </c>
    </row>
    <row r="28" spans="2:18">
      <c r="B28" s="168" t="s">
        <v>127</v>
      </c>
    </row>
    <row r="29" spans="2:18">
      <c r="B29" s="168" t="s">
        <v>60</v>
      </c>
      <c r="J29" s="201"/>
    </row>
    <row r="30" spans="2:18">
      <c r="B30" s="203" t="s">
        <v>62</v>
      </c>
    </row>
    <row r="32" spans="2:18">
      <c r="F32" s="204"/>
    </row>
    <row r="33" spans="3:4" hidden="1">
      <c r="C33" s="321" t="s">
        <v>128</v>
      </c>
      <c r="D33" s="322">
        <v>114.464</v>
      </c>
    </row>
    <row r="34" spans="3:4" hidden="1">
      <c r="C34" s="321" t="s">
        <v>129</v>
      </c>
      <c r="D34" s="322">
        <v>31.774999999999995</v>
      </c>
    </row>
    <row r="35" spans="3:4" hidden="1">
      <c r="C35" s="321" t="s">
        <v>130</v>
      </c>
      <c r="D35" s="322">
        <v>105.913</v>
      </c>
    </row>
    <row r="36" spans="3:4" hidden="1">
      <c r="C36" s="321" t="s">
        <v>131</v>
      </c>
      <c r="D36" s="322">
        <v>50.527999999999992</v>
      </c>
    </row>
    <row r="37" spans="3:4" hidden="1">
      <c r="C37" s="205" t="s">
        <v>132</v>
      </c>
      <c r="D37" s="206">
        <f>SUM(D33:D36)</f>
        <v>302.67999999999995</v>
      </c>
    </row>
  </sheetData>
  <mergeCells count="73">
    <mergeCell ref="B21:C22"/>
    <mergeCell ref="Q21:Q22"/>
    <mergeCell ref="R21:R22"/>
    <mergeCell ref="M21:M22"/>
    <mergeCell ref="N21:N22"/>
    <mergeCell ref="O21:O22"/>
    <mergeCell ref="P21:P22"/>
    <mergeCell ref="Q19:Q20"/>
    <mergeCell ref="R19:R20"/>
    <mergeCell ref="C13:C14"/>
    <mergeCell ref="M13:M14"/>
    <mergeCell ref="N13:N14"/>
    <mergeCell ref="O13:O14"/>
    <mergeCell ref="P13:P14"/>
    <mergeCell ref="Q13:Q14"/>
    <mergeCell ref="C19:C20"/>
    <mergeCell ref="M19:M20"/>
    <mergeCell ref="N19:N20"/>
    <mergeCell ref="O19:O20"/>
    <mergeCell ref="P19:P20"/>
    <mergeCell ref="R17:R18"/>
    <mergeCell ref="R11:R12"/>
    <mergeCell ref="C17:C18"/>
    <mergeCell ref="M17:M18"/>
    <mergeCell ref="N17:N18"/>
    <mergeCell ref="O17:O18"/>
    <mergeCell ref="P17:P18"/>
    <mergeCell ref="Q17:Q18"/>
    <mergeCell ref="M11:M12"/>
    <mergeCell ref="N11:N12"/>
    <mergeCell ref="O11:O12"/>
    <mergeCell ref="P11:P12"/>
    <mergeCell ref="Q11:Q12"/>
    <mergeCell ref="R13:R14"/>
    <mergeCell ref="P15:P16"/>
    <mergeCell ref="Q15:Q16"/>
    <mergeCell ref="R15:R16"/>
    <mergeCell ref="B11:B20"/>
    <mergeCell ref="C15:C16"/>
    <mergeCell ref="M15:M16"/>
    <mergeCell ref="N15:N16"/>
    <mergeCell ref="O15:O16"/>
    <mergeCell ref="C11:C12"/>
    <mergeCell ref="B5:B6"/>
    <mergeCell ref="C5:C6"/>
    <mergeCell ref="D5:K5"/>
    <mergeCell ref="B2:R2"/>
    <mergeCell ref="M5:R5"/>
    <mergeCell ref="C3:O3"/>
    <mergeCell ref="P7:P8"/>
    <mergeCell ref="Q7:Q8"/>
    <mergeCell ref="R7:R8"/>
    <mergeCell ref="Q9:Q10"/>
    <mergeCell ref="B7:B8"/>
    <mergeCell ref="C7:C8"/>
    <mergeCell ref="M7:M8"/>
    <mergeCell ref="N7:N8"/>
    <mergeCell ref="O7:O8"/>
    <mergeCell ref="R9:R10"/>
    <mergeCell ref="P9:P10"/>
    <mergeCell ref="B9:B10"/>
    <mergeCell ref="C9:C10"/>
    <mergeCell ref="M9:M10"/>
    <mergeCell ref="N9:N10"/>
    <mergeCell ref="O9:O10"/>
    <mergeCell ref="K24:K25"/>
    <mergeCell ref="H24:H25"/>
    <mergeCell ref="I24:I25"/>
    <mergeCell ref="J24:J25"/>
    <mergeCell ref="D24:D25"/>
    <mergeCell ref="E24:E25"/>
    <mergeCell ref="F24:F25"/>
    <mergeCell ref="G24:G25"/>
  </mergeCells>
  <conditionalFormatting sqref="J7:J2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{4F738B38-0D48-482F-834F-19569762AC10}</x14:id>
        </ext>
      </extLst>
    </cfRule>
  </conditionalFormatting>
  <conditionalFormatting sqref="R7:R22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{7EF31786-4EC7-49C8-B4C4-92B8FBCBE386}</x14:id>
        </ext>
      </extLst>
    </cfRule>
  </conditionalFormatting>
  <pageMargins left="0.7" right="0.7" top="0.75" bottom="0.75" header="0.3" footer="0.3"/>
  <pageSetup paperSize="177" orientation="portrait" r:id="rId1"/>
  <ignoredErrors>
    <ignoredError sqref="O7:O10 O15:O18 G15:G18 G8:G12 G19:G20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738B38-0D48-482F-834F-19569762AC1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J7:J25</xm:sqref>
        </x14:conditionalFormatting>
        <x14:conditionalFormatting xmlns:xm="http://schemas.microsoft.com/office/excel/2006/main">
          <x14:cfRule type="dataBar" id="{7EF31786-4EC7-49C8-B4C4-92B8FBCBE38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R7:R22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5050"/>
  </sheetPr>
  <dimension ref="A2:AS40"/>
  <sheetViews>
    <sheetView zoomScale="80" zoomScaleNormal="80" workbookViewId="0">
      <selection activeCell="H16" sqref="H16"/>
    </sheetView>
  </sheetViews>
  <sheetFormatPr baseColWidth="10" defaultColWidth="11.42578125" defaultRowHeight="15"/>
  <cols>
    <col min="1" max="1" width="4" style="167" customWidth="1"/>
    <col min="2" max="2" width="8.42578125" style="167" customWidth="1"/>
    <col min="3" max="3" width="27.42578125" style="336" customWidth="1"/>
    <col min="4" max="4" width="9.85546875" style="167" customWidth="1"/>
    <col min="5" max="5" width="10" style="167" customWidth="1"/>
    <col min="6" max="6" width="9" style="167" customWidth="1"/>
    <col min="7" max="7" width="11" style="167" customWidth="1"/>
    <col min="8" max="8" width="10.5703125" style="167" customWidth="1"/>
    <col min="9" max="9" width="9.5703125" style="167" customWidth="1"/>
    <col min="10" max="10" width="10.5703125" style="167" customWidth="1"/>
    <col min="11" max="11" width="11.42578125" style="167"/>
    <col min="12" max="12" width="13.28515625" style="167" customWidth="1"/>
    <col min="13" max="13" width="11.42578125" style="167"/>
    <col min="14" max="14" width="11.85546875" style="167" customWidth="1"/>
    <col min="15" max="15" width="11.42578125" style="167"/>
    <col min="16" max="16" width="10.140625" style="167" customWidth="1"/>
    <col min="17" max="17" width="7.140625" style="167" bestFit="1" customWidth="1"/>
    <col min="18" max="18" width="10.140625" style="167" bestFit="1" customWidth="1"/>
    <col min="19" max="19" width="8" style="167" customWidth="1"/>
    <col min="20" max="20" width="13.5703125" style="167" customWidth="1"/>
    <col min="21" max="21" width="9" style="167" customWidth="1"/>
    <col min="22" max="22" width="10.140625" style="167" bestFit="1" customWidth="1"/>
    <col min="23" max="29" width="11.42578125" style="167"/>
    <col min="30" max="30" width="15" style="167" customWidth="1"/>
    <col min="31" max="32" width="11.42578125" style="167"/>
    <col min="33" max="33" width="11.42578125" style="169"/>
    <col min="34" max="55" width="11.42578125" style="167"/>
    <col min="56" max="56" width="17.42578125" style="167" bestFit="1" customWidth="1"/>
    <col min="57" max="57" width="11.42578125" style="167"/>
    <col min="58" max="58" width="20.5703125" style="167" bestFit="1" customWidth="1"/>
    <col min="59" max="16384" width="11.42578125" style="167"/>
  </cols>
  <sheetData>
    <row r="2" spans="1:32" ht="21">
      <c r="B2" s="673" t="s">
        <v>118</v>
      </c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  <c r="T2" s="674"/>
      <c r="U2" s="674"/>
      <c r="V2" s="674"/>
      <c r="W2" s="674"/>
      <c r="X2" s="674"/>
      <c r="Y2" s="674"/>
      <c r="Z2" s="674"/>
      <c r="AA2" s="674"/>
      <c r="AB2" s="675"/>
    </row>
    <row r="3" spans="1:32">
      <c r="B3" s="676">
        <f>+'Resumen anual'!B4:I4</f>
        <v>43830</v>
      </c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8"/>
    </row>
    <row r="4" spans="1:32">
      <c r="B4" s="327"/>
      <c r="C4" s="328"/>
      <c r="D4" s="327"/>
    </row>
    <row r="5" spans="1:32">
      <c r="B5" s="679" t="s">
        <v>46</v>
      </c>
      <c r="C5" s="681" t="s">
        <v>40</v>
      </c>
      <c r="D5" s="683" t="s">
        <v>91</v>
      </c>
      <c r="E5" s="685" t="s">
        <v>39</v>
      </c>
      <c r="F5" s="686"/>
      <c r="G5" s="686"/>
      <c r="H5" s="686"/>
      <c r="I5" s="686"/>
      <c r="J5" s="687"/>
      <c r="K5" s="688" t="s">
        <v>38</v>
      </c>
      <c r="L5" s="689"/>
      <c r="M5" s="689"/>
      <c r="N5" s="689"/>
      <c r="O5" s="689"/>
      <c r="P5" s="690"/>
      <c r="Q5" s="691" t="s">
        <v>41</v>
      </c>
      <c r="R5" s="692"/>
      <c r="S5" s="692"/>
      <c r="T5" s="692"/>
      <c r="U5" s="692"/>
      <c r="V5" s="693"/>
      <c r="W5" s="694" t="s">
        <v>42</v>
      </c>
      <c r="X5" s="695"/>
      <c r="Y5" s="695"/>
      <c r="Z5" s="695"/>
      <c r="AA5" s="695"/>
      <c r="AB5" s="695"/>
    </row>
    <row r="6" spans="1:32" ht="60">
      <c r="B6" s="680"/>
      <c r="C6" s="682"/>
      <c r="D6" s="684"/>
      <c r="E6" s="329" t="s">
        <v>36</v>
      </c>
      <c r="F6" s="329" t="s">
        <v>37</v>
      </c>
      <c r="G6" s="329" t="s">
        <v>4</v>
      </c>
      <c r="H6" s="330" t="s">
        <v>5</v>
      </c>
      <c r="I6" s="330" t="s">
        <v>22</v>
      </c>
      <c r="J6" s="330" t="s">
        <v>23</v>
      </c>
      <c r="K6" s="331" t="s">
        <v>24</v>
      </c>
      <c r="L6" s="331" t="s">
        <v>37</v>
      </c>
      <c r="M6" s="331" t="s">
        <v>4</v>
      </c>
      <c r="N6" s="332" t="s">
        <v>5</v>
      </c>
      <c r="O6" s="332" t="s">
        <v>22</v>
      </c>
      <c r="P6" s="332" t="s">
        <v>23</v>
      </c>
      <c r="Q6" s="193" t="s">
        <v>26</v>
      </c>
      <c r="R6" s="194" t="s">
        <v>37</v>
      </c>
      <c r="S6" s="194" t="s">
        <v>4</v>
      </c>
      <c r="T6" s="195" t="s">
        <v>45</v>
      </c>
      <c r="U6" s="195" t="s">
        <v>6</v>
      </c>
      <c r="V6" s="333" t="s">
        <v>23</v>
      </c>
      <c r="W6" s="196" t="s">
        <v>43</v>
      </c>
      <c r="X6" s="197" t="s">
        <v>37</v>
      </c>
      <c r="Y6" s="198" t="s">
        <v>4</v>
      </c>
      <c r="Z6" s="199" t="s">
        <v>44</v>
      </c>
      <c r="AA6" s="199" t="s">
        <v>6</v>
      </c>
      <c r="AB6" s="199" t="s">
        <v>23</v>
      </c>
    </row>
    <row r="7" spans="1:32" ht="14.45" customHeight="1">
      <c r="A7" s="337"/>
      <c r="B7" s="651" t="s">
        <v>27</v>
      </c>
      <c r="C7" s="672" t="s">
        <v>28</v>
      </c>
      <c r="D7" s="177" t="s">
        <v>12</v>
      </c>
      <c r="E7" s="522">
        <f>1.074+0.13275</f>
        <v>1.20675</v>
      </c>
      <c r="F7" s="103">
        <f>+Movimientos_LtpPep!J9</f>
        <v>0</v>
      </c>
      <c r="G7" s="151">
        <f>E7+F7</f>
        <v>1.20675</v>
      </c>
      <c r="H7" s="103"/>
      <c r="I7" s="151">
        <f>G7-H7</f>
        <v>1.20675</v>
      </c>
      <c r="J7" s="182">
        <f>H7/G7</f>
        <v>0</v>
      </c>
      <c r="K7" s="192">
        <f>+Movimientos_LtpPep!I9</f>
        <v>5.3078256000000001</v>
      </c>
      <c r="L7" s="103">
        <f>+Movimientos_LtpPep!K9</f>
        <v>0</v>
      </c>
      <c r="M7" s="66">
        <f>K7+L7</f>
        <v>5.3078256000000001</v>
      </c>
      <c r="N7" s="103"/>
      <c r="O7" s="66">
        <f>M7-N7</f>
        <v>5.3078256000000001</v>
      </c>
      <c r="P7" s="191">
        <f>N7/M7</f>
        <v>0</v>
      </c>
      <c r="Q7" s="58">
        <f>+E7+K7</f>
        <v>6.5145756000000006</v>
      </c>
      <c r="R7" s="152">
        <f>F7+L7</f>
        <v>0</v>
      </c>
      <c r="S7" s="58">
        <f>Q7+R7</f>
        <v>6.5145756000000006</v>
      </c>
      <c r="T7" s="152">
        <f>H7+N7</f>
        <v>0</v>
      </c>
      <c r="U7" s="58">
        <f>S7-T7</f>
        <v>6.5145756000000006</v>
      </c>
      <c r="V7" s="153">
        <f>T7/S7</f>
        <v>0</v>
      </c>
      <c r="W7" s="664">
        <f>Q7+Q8</f>
        <v>7.4799200000000008</v>
      </c>
      <c r="X7" s="666">
        <f>R7+R8</f>
        <v>100</v>
      </c>
      <c r="Y7" s="666">
        <f>W7+X7</f>
        <v>107.47992000000001</v>
      </c>
      <c r="Z7" s="666">
        <f>T7+T8</f>
        <v>111.05199999999999</v>
      </c>
      <c r="AA7" s="666">
        <f>Y7-Z7</f>
        <v>-3.5720799999999855</v>
      </c>
      <c r="AB7" s="654">
        <f>Z7/Y7</f>
        <v>1.0332348591253138</v>
      </c>
      <c r="AC7" s="670"/>
      <c r="AD7" s="671"/>
      <c r="AE7" s="671"/>
      <c r="AF7" s="671"/>
    </row>
    <row r="8" spans="1:32">
      <c r="A8" s="334"/>
      <c r="B8" s="652"/>
      <c r="C8" s="657"/>
      <c r="D8" s="176" t="s">
        <v>10</v>
      </c>
      <c r="E8" s="521">
        <f>0.215+0.02655</f>
        <v>0.24154999999999999</v>
      </c>
      <c r="F8" s="7">
        <f>+Movimientos_LtpPep!J10</f>
        <v>0</v>
      </c>
      <c r="G8" s="10">
        <f>E8+F8+I7</f>
        <v>1.4482999999999999</v>
      </c>
      <c r="H8" s="8">
        <v>6.2290000000000001</v>
      </c>
      <c r="I8" s="10">
        <f>G8-H8</f>
        <v>-4.7807000000000004</v>
      </c>
      <c r="J8" s="181">
        <f>H8/G8</f>
        <v>4.3009045087343782</v>
      </c>
      <c r="K8" s="188">
        <f>+Movimientos_LtpPep!I10</f>
        <v>0.72379440000000006</v>
      </c>
      <c r="L8" s="7">
        <v>100</v>
      </c>
      <c r="M8" s="12">
        <f>O7+K8+L8</f>
        <v>106.03162</v>
      </c>
      <c r="N8" s="8">
        <v>104.82299999999999</v>
      </c>
      <c r="O8" s="13">
        <f>M8-N8</f>
        <v>1.2086200000000105</v>
      </c>
      <c r="P8" s="190">
        <f>N8/M8</f>
        <v>0.98860132477462848</v>
      </c>
      <c r="Q8" s="18">
        <f>+E8+K8</f>
        <v>0.96534439999999999</v>
      </c>
      <c r="R8" s="17">
        <f t="shared" ref="R8:R22" si="0">F8+L8</f>
        <v>100</v>
      </c>
      <c r="S8" s="18">
        <f>Q8+R8+U7</f>
        <v>107.47992000000001</v>
      </c>
      <c r="T8" s="17">
        <f t="shared" ref="T8:T22" si="1">H8+N8</f>
        <v>111.05199999999999</v>
      </c>
      <c r="U8" s="19">
        <f t="shared" ref="U8:U24" si="2">S8-T8</f>
        <v>-3.5720799999999855</v>
      </c>
      <c r="V8" s="20">
        <f t="shared" ref="V8:V24" si="3">T8/S8</f>
        <v>1.0332348591253138</v>
      </c>
      <c r="W8" s="665"/>
      <c r="X8" s="667"/>
      <c r="Y8" s="667"/>
      <c r="Z8" s="667"/>
      <c r="AA8" s="667"/>
      <c r="AB8" s="655"/>
    </row>
    <row r="9" spans="1:32">
      <c r="A9" s="334"/>
      <c r="B9" s="652"/>
      <c r="C9" s="656" t="s">
        <v>71</v>
      </c>
      <c r="D9" s="177" t="s">
        <v>12</v>
      </c>
      <c r="E9" s="521">
        <f>2.138+0.02325+0.05475+0.1875</f>
        <v>2.4034999999999997</v>
      </c>
      <c r="F9" s="7">
        <f>+Movimientos_LtpPep!J11</f>
        <v>0</v>
      </c>
      <c r="G9" s="151">
        <f>E9+F9</f>
        <v>2.4034999999999997</v>
      </c>
      <c r="H9" s="103"/>
      <c r="I9" s="151">
        <f t="shared" ref="I9:I24" si="4">G9-H9</f>
        <v>2.4034999999999997</v>
      </c>
      <c r="J9" s="182">
        <f t="shared" ref="J9:J14" si="5">H9/G9</f>
        <v>0</v>
      </c>
      <c r="K9" s="188">
        <f>+Movimientos_LtpPep!I11</f>
        <v>10.575881799999999</v>
      </c>
      <c r="L9" s="14">
        <f>+Movimientos_LtpPep!K11+68.943</f>
        <v>68.942999999999998</v>
      </c>
      <c r="M9" s="66">
        <f t="shared" ref="M9" si="6">K9+L9</f>
        <v>79.518881800000003</v>
      </c>
      <c r="N9" s="103">
        <f>+D32</f>
        <v>16.215</v>
      </c>
      <c r="O9" s="66">
        <f t="shared" ref="O9:O23" si="7">M9-N9</f>
        <v>63.303881799999999</v>
      </c>
      <c r="P9" s="191">
        <f t="shared" ref="P9:P10" si="8">N9/M9</f>
        <v>0.20391383320483261</v>
      </c>
      <c r="Q9" s="58">
        <f t="shared" ref="Q9:Q22" si="9">+E9+K9</f>
        <v>12.979381799999999</v>
      </c>
      <c r="R9" s="152">
        <f t="shared" si="0"/>
        <v>68.942999999999998</v>
      </c>
      <c r="S9" s="58">
        <f t="shared" ref="S9" si="10">Q9+R9</f>
        <v>81.922381799999997</v>
      </c>
      <c r="T9" s="152">
        <f t="shared" si="1"/>
        <v>16.215</v>
      </c>
      <c r="U9" s="58">
        <f t="shared" si="2"/>
        <v>65.707381799999993</v>
      </c>
      <c r="V9" s="153">
        <f t="shared" si="3"/>
        <v>0.19793125692544258</v>
      </c>
      <c r="W9" s="664">
        <f>Q9+Q10</f>
        <v>14.902647499999999</v>
      </c>
      <c r="X9" s="666">
        <f t="shared" ref="X9" si="11">R9+R10</f>
        <v>68.942999999999998</v>
      </c>
      <c r="Y9" s="666">
        <f t="shared" ref="Y9" si="12">W9+X9</f>
        <v>83.845647499999998</v>
      </c>
      <c r="Z9" s="666">
        <f t="shared" ref="Z9" si="13">T9+T10</f>
        <v>21.338000000000001</v>
      </c>
      <c r="AA9" s="666">
        <f t="shared" ref="AA9" si="14">Y9-Z9</f>
        <v>62.507647499999997</v>
      </c>
      <c r="AB9" s="654">
        <f t="shared" ref="AB9" si="15">Z9/Y9</f>
        <v>0.25449144512838312</v>
      </c>
    </row>
    <row r="10" spans="1:32">
      <c r="A10" s="334"/>
      <c r="B10" s="652"/>
      <c r="C10" s="657"/>
      <c r="D10" s="176" t="s">
        <v>10</v>
      </c>
      <c r="E10" s="521">
        <f>0.428+0.00465+0.01095+0.0375</f>
        <v>0.48109999999999997</v>
      </c>
      <c r="F10" s="7">
        <f>+Movimientos_LtpPep!J12</f>
        <v>0</v>
      </c>
      <c r="G10" s="10">
        <f>E10+F10+I9</f>
        <v>2.8845999999999998</v>
      </c>
      <c r="H10" s="8"/>
      <c r="I10" s="10">
        <f t="shared" si="4"/>
        <v>2.8845999999999998</v>
      </c>
      <c r="J10" s="181">
        <f t="shared" si="5"/>
        <v>0</v>
      </c>
      <c r="K10" s="188">
        <f>+Movimientos_LtpPep!I12</f>
        <v>1.4421656999999999</v>
      </c>
      <c r="L10" s="7">
        <f>+Movimientos_LtpPep!K12</f>
        <v>0</v>
      </c>
      <c r="M10" s="12">
        <f>O9+K10+L10</f>
        <v>64.746047500000003</v>
      </c>
      <c r="N10" s="8">
        <v>5.1230000000000002</v>
      </c>
      <c r="O10" s="11">
        <f t="shared" si="7"/>
        <v>59.623047500000006</v>
      </c>
      <c r="P10" s="190">
        <f t="shared" si="8"/>
        <v>7.9124521075977644E-2</v>
      </c>
      <c r="Q10" s="18">
        <f t="shared" si="9"/>
        <v>1.9232657</v>
      </c>
      <c r="R10" s="17">
        <f t="shared" si="0"/>
        <v>0</v>
      </c>
      <c r="S10" s="18">
        <f>Q10+R10+U9</f>
        <v>67.630647499999995</v>
      </c>
      <c r="T10" s="17">
        <f t="shared" si="1"/>
        <v>5.1230000000000002</v>
      </c>
      <c r="U10" s="15">
        <f t="shared" si="2"/>
        <v>62.507647499999997</v>
      </c>
      <c r="V10" s="20">
        <f t="shared" si="3"/>
        <v>7.5749681385203368E-2</v>
      </c>
      <c r="W10" s="665"/>
      <c r="X10" s="667"/>
      <c r="Y10" s="667"/>
      <c r="Z10" s="667"/>
      <c r="AA10" s="667"/>
      <c r="AB10" s="655"/>
    </row>
    <row r="11" spans="1:32">
      <c r="A11" s="334"/>
      <c r="B11" s="652"/>
      <c r="C11" s="656" t="s">
        <v>70</v>
      </c>
      <c r="D11" s="177" t="s">
        <v>12</v>
      </c>
      <c r="E11" s="179">
        <f>0.49+0.447+0.1155</f>
        <v>1.0525</v>
      </c>
      <c r="F11" s="7">
        <f>+Movimientos_LtpPep!J13</f>
        <v>0</v>
      </c>
      <c r="G11" s="151">
        <f t="shared" ref="G11" si="16">E11+F11</f>
        <v>1.0525</v>
      </c>
      <c r="H11" s="103"/>
      <c r="I11" s="151">
        <f t="shared" si="4"/>
        <v>1.0525</v>
      </c>
      <c r="J11" s="182">
        <f t="shared" si="5"/>
        <v>0</v>
      </c>
      <c r="K11" s="188">
        <f>+Movimientos_LtpPep!I13</f>
        <v>4.6308680000000004</v>
      </c>
      <c r="L11" s="7">
        <f>+Movimientos_LtpPep!K13</f>
        <v>0</v>
      </c>
      <c r="M11" s="66">
        <f t="shared" ref="M11" si="17">K11+L11</f>
        <v>4.6308680000000004</v>
      </c>
      <c r="N11" s="103">
        <f>+D33</f>
        <v>1.6479999999999999</v>
      </c>
      <c r="O11" s="66">
        <f t="shared" si="7"/>
        <v>2.9828680000000007</v>
      </c>
      <c r="P11" s="191">
        <f>N11/M11</f>
        <v>0.35587280829425494</v>
      </c>
      <c r="Q11" s="58">
        <f t="shared" si="9"/>
        <v>5.6833680000000006</v>
      </c>
      <c r="R11" s="152">
        <f t="shared" si="0"/>
        <v>0</v>
      </c>
      <c r="S11" s="58">
        <f t="shared" ref="S11" si="18">Q11+R11</f>
        <v>5.6833680000000006</v>
      </c>
      <c r="T11" s="152">
        <f t="shared" si="1"/>
        <v>1.6479999999999999</v>
      </c>
      <c r="U11" s="58">
        <f t="shared" si="2"/>
        <v>4.035368000000001</v>
      </c>
      <c r="V11" s="153">
        <f t="shared" si="3"/>
        <v>0.28996890576151318</v>
      </c>
      <c r="W11" s="664">
        <f t="shared" ref="W11:X11" si="19">Q11+Q12</f>
        <v>6.5249500000000005</v>
      </c>
      <c r="X11" s="666">
        <f t="shared" si="19"/>
        <v>0</v>
      </c>
      <c r="Y11" s="666">
        <f t="shared" ref="Y11" si="20">W11+X11</f>
        <v>6.5249500000000005</v>
      </c>
      <c r="Z11" s="666">
        <f t="shared" ref="Z11" si="21">T11+T12</f>
        <v>4.6589999999999998</v>
      </c>
      <c r="AA11" s="666">
        <f t="shared" ref="AA11" si="22">Y11-Z11</f>
        <v>1.8659500000000007</v>
      </c>
      <c r="AB11" s="654">
        <f t="shared" ref="AB11" si="23">Z11/Y11</f>
        <v>0.71402845998819908</v>
      </c>
    </row>
    <row r="12" spans="1:32">
      <c r="A12" s="334"/>
      <c r="B12" s="652"/>
      <c r="C12" s="657"/>
      <c r="D12" s="176" t="s">
        <v>10</v>
      </c>
      <c r="E12" s="179">
        <f>0.098+0.089+0.0231</f>
        <v>0.21010000000000001</v>
      </c>
      <c r="F12" s="7">
        <f>+Movimientos_LtpPep!J14</f>
        <v>0</v>
      </c>
      <c r="G12" s="10">
        <f t="shared" ref="G12" si="24">E12+F12+I11</f>
        <v>1.2625999999999999</v>
      </c>
      <c r="H12" s="8"/>
      <c r="I12" s="10">
        <f t="shared" si="4"/>
        <v>1.2625999999999999</v>
      </c>
      <c r="J12" s="181">
        <f t="shared" si="5"/>
        <v>0</v>
      </c>
      <c r="K12" s="188">
        <f>+Movimientos_LtpPep!I14</f>
        <v>0.6314820000000001</v>
      </c>
      <c r="L12" s="7">
        <f>+Movimientos_LtpPep!K14</f>
        <v>0</v>
      </c>
      <c r="M12" s="12">
        <f>O11+K12+L12</f>
        <v>3.6143500000000008</v>
      </c>
      <c r="N12" s="8">
        <v>3.0110000000000001</v>
      </c>
      <c r="O12" s="11">
        <f>M12-N12</f>
        <v>0.60335000000000072</v>
      </c>
      <c r="P12" s="190">
        <f t="shared" ref="P12:P14" si="25">N12/M12</f>
        <v>0.83306818653423143</v>
      </c>
      <c r="Q12" s="18">
        <f t="shared" si="9"/>
        <v>0.84158200000000005</v>
      </c>
      <c r="R12" s="17">
        <f t="shared" si="0"/>
        <v>0</v>
      </c>
      <c r="S12" s="18">
        <f>Q12+R12+U11</f>
        <v>4.8769500000000008</v>
      </c>
      <c r="T12" s="17">
        <f t="shared" si="1"/>
        <v>3.0110000000000001</v>
      </c>
      <c r="U12" s="15">
        <f t="shared" si="2"/>
        <v>1.8659500000000007</v>
      </c>
      <c r="V12" s="20">
        <f t="shared" si="3"/>
        <v>0.61739406801382002</v>
      </c>
      <c r="W12" s="665"/>
      <c r="X12" s="667"/>
      <c r="Y12" s="667"/>
      <c r="Z12" s="667"/>
      <c r="AA12" s="667"/>
      <c r="AB12" s="655"/>
    </row>
    <row r="13" spans="1:32">
      <c r="A13" s="334"/>
      <c r="B13" s="652"/>
      <c r="C13" s="656" t="s">
        <v>29</v>
      </c>
      <c r="D13" s="177" t="s">
        <v>12</v>
      </c>
      <c r="E13" s="179">
        <f>0.09+0.1125+0.1125+0.01125</f>
        <v>0.32624999999999998</v>
      </c>
      <c r="F13" s="7">
        <f>+Movimientos_LtpPep!J15</f>
        <v>0</v>
      </c>
      <c r="G13" s="151">
        <f t="shared" ref="G13" si="26">E13+F13</f>
        <v>0.32624999999999998</v>
      </c>
      <c r="H13" s="103"/>
      <c r="I13" s="151">
        <f t="shared" si="4"/>
        <v>0.32624999999999998</v>
      </c>
      <c r="J13" s="182">
        <f t="shared" si="5"/>
        <v>0</v>
      </c>
      <c r="K13" s="188">
        <f>+Movimientos_LtpPep!I15</f>
        <v>1.4370223999999998</v>
      </c>
      <c r="L13" s="7">
        <f>+Movimientos_LtpPep!K15</f>
        <v>0</v>
      </c>
      <c r="M13" s="66">
        <f t="shared" ref="M13" si="27">K13+L13</f>
        <v>1.4370223999999998</v>
      </c>
      <c r="N13" s="103"/>
      <c r="O13" s="66">
        <f t="shared" si="7"/>
        <v>1.4370223999999998</v>
      </c>
      <c r="P13" s="191">
        <f t="shared" si="25"/>
        <v>0</v>
      </c>
      <c r="Q13" s="58">
        <f t="shared" si="9"/>
        <v>1.7632723999999997</v>
      </c>
      <c r="R13" s="152">
        <f t="shared" si="0"/>
        <v>0</v>
      </c>
      <c r="S13" s="58">
        <f t="shared" ref="S13" si="28">Q13+R13</f>
        <v>1.7632723999999997</v>
      </c>
      <c r="T13" s="152">
        <f t="shared" si="1"/>
        <v>0</v>
      </c>
      <c r="U13" s="58">
        <f t="shared" si="2"/>
        <v>1.7632723999999997</v>
      </c>
      <c r="V13" s="153">
        <f t="shared" si="3"/>
        <v>0</v>
      </c>
      <c r="W13" s="664">
        <f t="shared" ref="W13:X13" si="29">Q13+Q14</f>
        <v>2.0244799999999996</v>
      </c>
      <c r="X13" s="666">
        <f t="shared" si="29"/>
        <v>0</v>
      </c>
      <c r="Y13" s="666">
        <f t="shared" ref="Y13" si="30">W13+X13</f>
        <v>2.0244799999999996</v>
      </c>
      <c r="Z13" s="666">
        <f t="shared" ref="Z13" si="31">T13+T14</f>
        <v>0</v>
      </c>
      <c r="AA13" s="666">
        <f t="shared" ref="AA13" si="32">Y13-Z13</f>
        <v>2.0244799999999996</v>
      </c>
      <c r="AB13" s="654">
        <f t="shared" ref="AB13" si="33">Z13/Y13</f>
        <v>0</v>
      </c>
    </row>
    <row r="14" spans="1:32">
      <c r="A14" s="334"/>
      <c r="B14" s="652"/>
      <c r="C14" s="657"/>
      <c r="D14" s="176" t="s">
        <v>10</v>
      </c>
      <c r="E14" s="179">
        <f>0.018+0.0225+0.0225+0.00225</f>
        <v>6.5250000000000002E-2</v>
      </c>
      <c r="F14" s="7">
        <f>+Movimientos_LtpPep!J16</f>
        <v>0</v>
      </c>
      <c r="G14" s="10">
        <f t="shared" ref="G14" si="34">E14+F14+I13</f>
        <v>0.39149999999999996</v>
      </c>
      <c r="H14" s="8"/>
      <c r="I14" s="10">
        <f t="shared" si="4"/>
        <v>0.39149999999999996</v>
      </c>
      <c r="J14" s="181">
        <f t="shared" si="5"/>
        <v>0</v>
      </c>
      <c r="K14" s="188">
        <f>+Movimientos_LtpPep!I16</f>
        <v>0.19595759999999998</v>
      </c>
      <c r="L14" s="7">
        <f>+Movimientos_LtpPep!K16</f>
        <v>0</v>
      </c>
      <c r="M14" s="12">
        <f t="shared" ref="M14" si="35">O13+K14+L14</f>
        <v>1.6329799999999999</v>
      </c>
      <c r="N14" s="104"/>
      <c r="O14" s="11">
        <f>M14-N14</f>
        <v>1.6329799999999999</v>
      </c>
      <c r="P14" s="190">
        <f t="shared" si="25"/>
        <v>0</v>
      </c>
      <c r="Q14" s="18">
        <f t="shared" si="9"/>
        <v>0.26120759999999998</v>
      </c>
      <c r="R14" s="17">
        <f t="shared" si="0"/>
        <v>0</v>
      </c>
      <c r="S14" s="18">
        <f>Q14+R14+U13</f>
        <v>2.0244799999999996</v>
      </c>
      <c r="T14" s="17">
        <f t="shared" si="1"/>
        <v>0</v>
      </c>
      <c r="U14" s="15">
        <f t="shared" si="2"/>
        <v>2.0244799999999996</v>
      </c>
      <c r="V14" s="20">
        <f t="shared" si="3"/>
        <v>0</v>
      </c>
      <c r="W14" s="665"/>
      <c r="X14" s="667"/>
      <c r="Y14" s="667"/>
      <c r="Z14" s="667"/>
      <c r="AA14" s="667"/>
      <c r="AB14" s="655"/>
    </row>
    <row r="15" spans="1:32">
      <c r="A15" s="334"/>
      <c r="B15" s="652"/>
      <c r="C15" s="656" t="s">
        <v>73</v>
      </c>
      <c r="D15" s="177" t="s">
        <v>12</v>
      </c>
      <c r="E15" s="179">
        <v>0</v>
      </c>
      <c r="F15" s="7">
        <f>+Movimientos_LtpPep!J17</f>
        <v>0</v>
      </c>
      <c r="G15" s="60">
        <f t="shared" ref="G15" si="36">E15+F15</f>
        <v>0</v>
      </c>
      <c r="H15" s="103"/>
      <c r="I15" s="60">
        <f t="shared" si="4"/>
        <v>0</v>
      </c>
      <c r="J15" s="183">
        <v>0</v>
      </c>
      <c r="K15" s="188">
        <f>+Movimientos_LtpPep!I17</f>
        <v>0</v>
      </c>
      <c r="L15" s="7">
        <f>+Movimientos_LtpPep!K17</f>
        <v>0</v>
      </c>
      <c r="M15" s="60">
        <f t="shared" ref="M15" si="37">K15+L15</f>
        <v>0</v>
      </c>
      <c r="N15" s="103"/>
      <c r="O15" s="60">
        <f t="shared" si="7"/>
        <v>0</v>
      </c>
      <c r="P15" s="183">
        <v>0</v>
      </c>
      <c r="Q15" s="60">
        <f t="shared" si="9"/>
        <v>0</v>
      </c>
      <c r="R15" s="155">
        <f t="shared" si="0"/>
        <v>0</v>
      </c>
      <c r="S15" s="60">
        <f t="shared" ref="S15" si="38">Q15+R15</f>
        <v>0</v>
      </c>
      <c r="T15" s="155">
        <f t="shared" si="1"/>
        <v>0</v>
      </c>
      <c r="U15" s="60">
        <f t="shared" si="2"/>
        <v>0</v>
      </c>
      <c r="V15" s="154" t="e">
        <f t="shared" si="3"/>
        <v>#DIV/0!</v>
      </c>
      <c r="W15" s="658">
        <f t="shared" ref="W15:X15" si="39">Q15+Q16</f>
        <v>0</v>
      </c>
      <c r="X15" s="660">
        <f t="shared" si="39"/>
        <v>0</v>
      </c>
      <c r="Y15" s="660">
        <f t="shared" ref="Y15" si="40">W15+X15</f>
        <v>0</v>
      </c>
      <c r="Z15" s="660">
        <f t="shared" ref="Z15" si="41">T15+T16</f>
        <v>0</v>
      </c>
      <c r="AA15" s="660">
        <f t="shared" ref="AA15" si="42">Y15-Z15</f>
        <v>0</v>
      </c>
      <c r="AB15" s="662">
        <v>0</v>
      </c>
    </row>
    <row r="16" spans="1:32">
      <c r="A16" s="334"/>
      <c r="B16" s="652"/>
      <c r="C16" s="657"/>
      <c r="D16" s="176" t="s">
        <v>10</v>
      </c>
      <c r="E16" s="179">
        <v>0</v>
      </c>
      <c r="F16" s="7">
        <f>+Movimientos_LtpPep!J18</f>
        <v>0</v>
      </c>
      <c r="G16" s="61">
        <f t="shared" ref="G16" si="43">E16+F16+I15</f>
        <v>0</v>
      </c>
      <c r="H16" s="7"/>
      <c r="I16" s="61">
        <f t="shared" si="4"/>
        <v>0</v>
      </c>
      <c r="J16" s="184">
        <v>0</v>
      </c>
      <c r="K16" s="188">
        <f>+Movimientos_LtpPep!I18</f>
        <v>0</v>
      </c>
      <c r="L16" s="7">
        <f>+Movimientos_LtpPep!K18</f>
        <v>0</v>
      </c>
      <c r="M16" s="61">
        <f>O15+K16+L16</f>
        <v>0</v>
      </c>
      <c r="N16" s="7"/>
      <c r="O16" s="61">
        <f t="shared" si="7"/>
        <v>0</v>
      </c>
      <c r="P16" s="184">
        <v>0</v>
      </c>
      <c r="Q16" s="61">
        <f t="shared" si="9"/>
        <v>0</v>
      </c>
      <c r="R16" s="62">
        <f t="shared" si="0"/>
        <v>0</v>
      </c>
      <c r="S16" s="61">
        <f>Q16+R16+U15</f>
        <v>0</v>
      </c>
      <c r="T16" s="62">
        <f t="shared" si="1"/>
        <v>0</v>
      </c>
      <c r="U16" s="61">
        <f t="shared" si="2"/>
        <v>0</v>
      </c>
      <c r="V16" s="63" t="e">
        <f t="shared" si="3"/>
        <v>#DIV/0!</v>
      </c>
      <c r="W16" s="659"/>
      <c r="X16" s="661"/>
      <c r="Y16" s="661"/>
      <c r="Z16" s="661"/>
      <c r="AA16" s="661"/>
      <c r="AB16" s="663"/>
    </row>
    <row r="17" spans="1:45">
      <c r="A17" s="334"/>
      <c r="B17" s="652"/>
      <c r="C17" s="656" t="s">
        <v>25</v>
      </c>
      <c r="D17" s="177" t="s">
        <v>12</v>
      </c>
      <c r="E17" s="521">
        <f>0.011</f>
        <v>1.0999999999999999E-2</v>
      </c>
      <c r="F17" s="7">
        <f>+Movimientos_LtpPep!J19</f>
        <v>-2.82E-3</v>
      </c>
      <c r="G17" s="151">
        <f>E17+F17</f>
        <v>8.1799999999999998E-3</v>
      </c>
      <c r="H17" s="103"/>
      <c r="I17" s="151">
        <f t="shared" si="4"/>
        <v>8.1799999999999998E-3</v>
      </c>
      <c r="J17" s="182">
        <f t="shared" ref="J17:J24" si="44">H17/G17</f>
        <v>0</v>
      </c>
      <c r="K17" s="188">
        <f>+Movimientos_LtpPep!I19</f>
        <v>4.8400000000000006E-2</v>
      </c>
      <c r="L17" s="7">
        <f>+Movimientos_LtpPep!K19</f>
        <v>-1.175E-2</v>
      </c>
      <c r="M17" s="66">
        <f t="shared" ref="M17" si="45">K17+L17</f>
        <v>3.6650000000000002E-2</v>
      </c>
      <c r="N17" s="103"/>
      <c r="O17" s="66">
        <f t="shared" si="7"/>
        <v>3.6650000000000002E-2</v>
      </c>
      <c r="P17" s="191">
        <f t="shared" ref="P17:P24" si="46">N17/M17</f>
        <v>0</v>
      </c>
      <c r="Q17" s="58">
        <f t="shared" si="9"/>
        <v>5.9400000000000008E-2</v>
      </c>
      <c r="R17" s="152">
        <f t="shared" si="0"/>
        <v>-1.457E-2</v>
      </c>
      <c r="S17" s="58">
        <f t="shared" ref="S17:S21" si="47">Q17+R17</f>
        <v>4.4830000000000009E-2</v>
      </c>
      <c r="T17" s="152">
        <f t="shared" si="1"/>
        <v>0</v>
      </c>
      <c r="U17" s="58">
        <f t="shared" si="2"/>
        <v>4.4830000000000009E-2</v>
      </c>
      <c r="V17" s="153">
        <f t="shared" si="3"/>
        <v>0</v>
      </c>
      <c r="W17" s="664">
        <f>Q17+Q18</f>
        <v>6.8000000000000005E-2</v>
      </c>
      <c r="X17" s="666">
        <f t="shared" ref="X17" si="48">R17+R18</f>
        <v>-1.457E-2</v>
      </c>
      <c r="Y17" s="666">
        <f t="shared" ref="Y17" si="49">W17+X17</f>
        <v>5.3430000000000005E-2</v>
      </c>
      <c r="Z17" s="666">
        <f t="shared" ref="Z17" si="50">T17+T18</f>
        <v>0</v>
      </c>
      <c r="AA17" s="666">
        <f t="shared" ref="AA17" si="51">Y17-Z17</f>
        <v>5.3430000000000005E-2</v>
      </c>
      <c r="AB17" s="654">
        <f t="shared" ref="AB17" si="52">Z17/Y17</f>
        <v>0</v>
      </c>
    </row>
    <row r="18" spans="1:45">
      <c r="A18" s="334"/>
      <c r="B18" s="652"/>
      <c r="C18" s="657"/>
      <c r="D18" s="176" t="s">
        <v>10</v>
      </c>
      <c r="E18" s="521">
        <f>0.002</f>
        <v>2E-3</v>
      </c>
      <c r="F18" s="7">
        <f>+Movimientos_LtpPep!J20</f>
        <v>0</v>
      </c>
      <c r="G18" s="10">
        <f>E18+F18+I17</f>
        <v>1.018E-2</v>
      </c>
      <c r="H18" s="8"/>
      <c r="I18" s="10">
        <f t="shared" si="4"/>
        <v>1.018E-2</v>
      </c>
      <c r="J18" s="181">
        <f t="shared" si="44"/>
        <v>0</v>
      </c>
      <c r="K18" s="188">
        <f>+Movimientos_LtpPep!I20</f>
        <v>6.6E-3</v>
      </c>
      <c r="L18" s="7">
        <f>+Movimientos_LtpPep!K20</f>
        <v>0</v>
      </c>
      <c r="M18" s="12">
        <f t="shared" ref="M18" si="53">O17+K18+L18</f>
        <v>4.3250000000000004E-2</v>
      </c>
      <c r="N18" s="8"/>
      <c r="O18" s="13">
        <f t="shared" si="7"/>
        <v>4.3250000000000004E-2</v>
      </c>
      <c r="P18" s="190">
        <f t="shared" si="46"/>
        <v>0</v>
      </c>
      <c r="Q18" s="18">
        <f t="shared" si="9"/>
        <v>8.6E-3</v>
      </c>
      <c r="R18" s="17">
        <f t="shared" si="0"/>
        <v>0</v>
      </c>
      <c r="S18" s="18">
        <f>Q18+R18+U17</f>
        <v>5.3430000000000005E-2</v>
      </c>
      <c r="T18" s="17">
        <f t="shared" si="1"/>
        <v>0</v>
      </c>
      <c r="U18" s="19">
        <f t="shared" si="2"/>
        <v>5.3430000000000005E-2</v>
      </c>
      <c r="V18" s="20">
        <f t="shared" si="3"/>
        <v>0</v>
      </c>
      <c r="W18" s="665"/>
      <c r="X18" s="667"/>
      <c r="Y18" s="667"/>
      <c r="Z18" s="667"/>
      <c r="AA18" s="667"/>
      <c r="AB18" s="655"/>
    </row>
    <row r="19" spans="1:45">
      <c r="A19" s="334"/>
      <c r="B19" s="652"/>
      <c r="C19" s="656" t="s">
        <v>85</v>
      </c>
      <c r="D19" s="177" t="s">
        <v>12</v>
      </c>
      <c r="E19" s="179">
        <v>0</v>
      </c>
      <c r="F19" s="7">
        <f>+Movimientos_LtpPep!J21</f>
        <v>0</v>
      </c>
      <c r="G19" s="151">
        <f>E19+F19</f>
        <v>0</v>
      </c>
      <c r="H19" s="103"/>
      <c r="I19" s="151">
        <f>G19-H19</f>
        <v>0</v>
      </c>
      <c r="J19" s="182">
        <v>0</v>
      </c>
      <c r="K19" s="188">
        <f>+Movimientos_LtpPep!I21</f>
        <v>2.2000000000000001E-3</v>
      </c>
      <c r="L19" s="7">
        <f>+Movimientos_LtpPep!K21</f>
        <v>0</v>
      </c>
      <c r="M19" s="66">
        <f t="shared" ref="M19" si="54">K19+L19</f>
        <v>2.2000000000000001E-3</v>
      </c>
      <c r="N19" s="103"/>
      <c r="O19" s="66">
        <f t="shared" si="7"/>
        <v>2.2000000000000001E-3</v>
      </c>
      <c r="P19" s="191">
        <f t="shared" si="46"/>
        <v>0</v>
      </c>
      <c r="Q19" s="58">
        <f t="shared" si="9"/>
        <v>2.2000000000000001E-3</v>
      </c>
      <c r="R19" s="152">
        <f t="shared" si="0"/>
        <v>0</v>
      </c>
      <c r="S19" s="58">
        <f t="shared" ref="S19" si="55">Q19+R19</f>
        <v>2.2000000000000001E-3</v>
      </c>
      <c r="T19" s="152">
        <f t="shared" si="1"/>
        <v>0</v>
      </c>
      <c r="U19" s="58">
        <f t="shared" si="2"/>
        <v>2.2000000000000001E-3</v>
      </c>
      <c r="V19" s="153">
        <f t="shared" si="3"/>
        <v>0</v>
      </c>
      <c r="W19" s="664">
        <f>Q19+Q20</f>
        <v>2.5000000000000001E-3</v>
      </c>
      <c r="X19" s="666">
        <f>R19+R20</f>
        <v>0</v>
      </c>
      <c r="Y19" s="668">
        <f t="shared" ref="Y19" si="56">W19+X19</f>
        <v>2.5000000000000001E-3</v>
      </c>
      <c r="Z19" s="666">
        <f>T19+T20</f>
        <v>0</v>
      </c>
      <c r="AA19" s="666">
        <f t="shared" ref="AA19" si="57">Y19-Z19</f>
        <v>2.5000000000000001E-3</v>
      </c>
      <c r="AB19" s="654">
        <f t="shared" ref="AB19" si="58">Z19/Y19</f>
        <v>0</v>
      </c>
    </row>
    <row r="20" spans="1:45">
      <c r="A20" s="334"/>
      <c r="B20" s="652"/>
      <c r="C20" s="657"/>
      <c r="D20" s="176" t="s">
        <v>10</v>
      </c>
      <c r="E20" s="179">
        <v>0</v>
      </c>
      <c r="F20" s="7">
        <f>+Movimientos_LtpPep!J22</f>
        <v>0</v>
      </c>
      <c r="G20" s="9">
        <f>E20+F20+I19</f>
        <v>0</v>
      </c>
      <c r="H20" s="7"/>
      <c r="I20" s="9">
        <f t="shared" ref="I20" si="59">G20-H20</f>
        <v>0</v>
      </c>
      <c r="J20" s="180">
        <v>0</v>
      </c>
      <c r="K20" s="188">
        <f>+Movimientos_LtpPep!I22</f>
        <v>3.0000000000000003E-4</v>
      </c>
      <c r="L20" s="7">
        <f>+Movimientos_LtpPep!K22</f>
        <v>0</v>
      </c>
      <c r="M20" s="11">
        <f>O19+K20+L20</f>
        <v>2.5000000000000001E-3</v>
      </c>
      <c r="N20" s="7"/>
      <c r="O20" s="11">
        <f t="shared" si="7"/>
        <v>2.5000000000000001E-3</v>
      </c>
      <c r="P20" s="189">
        <f t="shared" si="46"/>
        <v>0</v>
      </c>
      <c r="Q20" s="15">
        <f t="shared" si="9"/>
        <v>3.0000000000000003E-4</v>
      </c>
      <c r="R20" s="14">
        <f t="shared" si="0"/>
        <v>0</v>
      </c>
      <c r="S20" s="15">
        <f>Q20+R20+U19</f>
        <v>2.5000000000000001E-3</v>
      </c>
      <c r="T20" s="14">
        <f t="shared" si="1"/>
        <v>0</v>
      </c>
      <c r="U20" s="15">
        <f t="shared" si="2"/>
        <v>2.5000000000000001E-3</v>
      </c>
      <c r="V20" s="16">
        <f t="shared" si="3"/>
        <v>0</v>
      </c>
      <c r="W20" s="665"/>
      <c r="X20" s="667"/>
      <c r="Y20" s="669"/>
      <c r="Z20" s="667"/>
      <c r="AA20" s="667"/>
      <c r="AB20" s="655"/>
    </row>
    <row r="21" spans="1:45">
      <c r="A21" s="334"/>
      <c r="B21" s="652"/>
      <c r="C21" s="656" t="s">
        <v>72</v>
      </c>
      <c r="D21" s="177" t="s">
        <v>12</v>
      </c>
      <c r="E21" s="179">
        <v>0</v>
      </c>
      <c r="F21" s="7">
        <f>+Movimientos_LtpPep!J23</f>
        <v>2.82E-3</v>
      </c>
      <c r="G21" s="60">
        <f>E21+F21</f>
        <v>2.82E-3</v>
      </c>
      <c r="H21" s="103"/>
      <c r="I21" s="60">
        <f t="shared" si="4"/>
        <v>2.82E-3</v>
      </c>
      <c r="J21" s="183">
        <v>0</v>
      </c>
      <c r="K21" s="188">
        <f>+Movimientos_LtpPep!I23</f>
        <v>0</v>
      </c>
      <c r="L21" s="7">
        <f>+Movimientos_LtpPep!K23</f>
        <v>1.175E-2</v>
      </c>
      <c r="M21" s="60">
        <f t="shared" ref="M21" si="60">K21+L21</f>
        <v>1.175E-2</v>
      </c>
      <c r="N21" s="103"/>
      <c r="O21" s="60">
        <f t="shared" si="7"/>
        <v>1.175E-2</v>
      </c>
      <c r="P21" s="183">
        <v>0</v>
      </c>
      <c r="Q21" s="60">
        <f t="shared" si="9"/>
        <v>0</v>
      </c>
      <c r="R21" s="155">
        <f t="shared" si="0"/>
        <v>1.457E-2</v>
      </c>
      <c r="S21" s="60">
        <f t="shared" si="47"/>
        <v>1.457E-2</v>
      </c>
      <c r="T21" s="155">
        <f t="shared" si="1"/>
        <v>0</v>
      </c>
      <c r="U21" s="60">
        <f t="shared" si="2"/>
        <v>1.457E-2</v>
      </c>
      <c r="V21" s="154">
        <f t="shared" si="3"/>
        <v>0</v>
      </c>
      <c r="W21" s="658">
        <f>Q21+Q22</f>
        <v>0</v>
      </c>
      <c r="X21" s="660">
        <f t="shared" ref="X21" si="61">R21+R22</f>
        <v>1.457E-2</v>
      </c>
      <c r="Y21" s="660">
        <f t="shared" ref="Y21" si="62">W21+X21</f>
        <v>1.457E-2</v>
      </c>
      <c r="Z21" s="660">
        <f t="shared" ref="Z21" si="63">T21+T22</f>
        <v>0</v>
      </c>
      <c r="AA21" s="660">
        <f t="shared" ref="AA21" si="64">Y21-Z21</f>
        <v>1.457E-2</v>
      </c>
      <c r="AB21" s="662">
        <v>0</v>
      </c>
    </row>
    <row r="22" spans="1:45" ht="15.75" thickBot="1">
      <c r="A22" s="334"/>
      <c r="B22" s="652"/>
      <c r="C22" s="657"/>
      <c r="D22" s="175" t="s">
        <v>10</v>
      </c>
      <c r="E22" s="179">
        <v>0</v>
      </c>
      <c r="F22" s="7">
        <f>+Movimientos_LtpPep!J24</f>
        <v>0</v>
      </c>
      <c r="G22" s="61">
        <f>E22+F22+I21</f>
        <v>2.82E-3</v>
      </c>
      <c r="H22" s="7"/>
      <c r="I22" s="61">
        <f t="shared" si="4"/>
        <v>2.82E-3</v>
      </c>
      <c r="J22" s="184">
        <v>0</v>
      </c>
      <c r="K22" s="188">
        <f>+Movimientos_LtpPep!I24</f>
        <v>0</v>
      </c>
      <c r="L22" s="7">
        <f>+Movimientos_LtpPep!K24</f>
        <v>0</v>
      </c>
      <c r="M22" s="61">
        <f t="shared" ref="M22" si="65">O21+K22+L22</f>
        <v>1.175E-2</v>
      </c>
      <c r="N22" s="7"/>
      <c r="O22" s="61">
        <f t="shared" si="7"/>
        <v>1.175E-2</v>
      </c>
      <c r="P22" s="184">
        <v>0</v>
      </c>
      <c r="Q22" s="61">
        <f t="shared" si="9"/>
        <v>0</v>
      </c>
      <c r="R22" s="62">
        <f t="shared" si="0"/>
        <v>0</v>
      </c>
      <c r="S22" s="61">
        <f>Q22+R22+U21</f>
        <v>1.457E-2</v>
      </c>
      <c r="T22" s="62">
        <f t="shared" si="1"/>
        <v>0</v>
      </c>
      <c r="U22" s="61">
        <f t="shared" si="2"/>
        <v>1.457E-2</v>
      </c>
      <c r="V22" s="63">
        <f t="shared" si="3"/>
        <v>0</v>
      </c>
      <c r="W22" s="659"/>
      <c r="X22" s="661"/>
      <c r="Y22" s="661"/>
      <c r="Z22" s="661"/>
      <c r="AA22" s="661"/>
      <c r="AB22" s="663"/>
    </row>
    <row r="23" spans="1:45" s="170" customFormat="1">
      <c r="A23" s="334"/>
      <c r="B23" s="652"/>
      <c r="C23" s="641" t="s">
        <v>93</v>
      </c>
      <c r="D23" s="178" t="s">
        <v>12</v>
      </c>
      <c r="E23" s="185">
        <f>+E7+E9+E11+E13+E15+E17+E19+E21</f>
        <v>5</v>
      </c>
      <c r="F23" s="157">
        <f>+F7+F9+F11+F13+F15+F17+F19+F21</f>
        <v>0</v>
      </c>
      <c r="G23" s="158">
        <f>+E23+F23</f>
        <v>5</v>
      </c>
      <c r="H23" s="157">
        <f>+H7+H9+H11+H13+H15+H17+H19+H21</f>
        <v>0</v>
      </c>
      <c r="I23" s="159">
        <f t="shared" si="4"/>
        <v>5</v>
      </c>
      <c r="J23" s="186">
        <f t="shared" si="44"/>
        <v>0</v>
      </c>
      <c r="K23" s="185">
        <f>+K7+K9+K11+K13+K15+K17+K19+K21</f>
        <v>22.002197799999998</v>
      </c>
      <c r="L23" s="157">
        <f>+L7+L9+L11+L13+L15+L17+L19+L21</f>
        <v>68.942999999999998</v>
      </c>
      <c r="M23" s="158">
        <f>+K23+L23</f>
        <v>90.945197799999988</v>
      </c>
      <c r="N23" s="157">
        <f>+N7+N9+N11+N13+N15+N17+N19+N21</f>
        <v>17.863</v>
      </c>
      <c r="O23" s="159">
        <f t="shared" si="7"/>
        <v>73.082197799999989</v>
      </c>
      <c r="P23" s="186">
        <f t="shared" si="46"/>
        <v>0.19641498871972327</v>
      </c>
      <c r="Q23" s="157">
        <f>+Q7+Q9+Q11+Q13+Q15+Q17+Q19+Q21</f>
        <v>27.002197799999998</v>
      </c>
      <c r="R23" s="157">
        <f>+R7+R9+R11+R13+R15+R17+R19+R21</f>
        <v>68.942999999999998</v>
      </c>
      <c r="S23" s="158">
        <f>+Q23+R23</f>
        <v>95.945197799999988</v>
      </c>
      <c r="T23" s="157">
        <f>+T7+T9+T11+T13+T15+T17+T19+T21</f>
        <v>17.863</v>
      </c>
      <c r="U23" s="159">
        <f t="shared" si="2"/>
        <v>78.082197799999989</v>
      </c>
      <c r="V23" s="160">
        <f t="shared" si="3"/>
        <v>0.18617919822559376</v>
      </c>
      <c r="W23" s="643">
        <f>SUM(W7:W22)</f>
        <v>31.002497500000004</v>
      </c>
      <c r="X23" s="645">
        <f>SUM(X7:X22)</f>
        <v>168.94299999999998</v>
      </c>
      <c r="Y23" s="647">
        <f>+W23+X23</f>
        <v>199.94549749999999</v>
      </c>
      <c r="Z23" s="645">
        <f>SUM(Z7:Z22)</f>
        <v>137.04899999999998</v>
      </c>
      <c r="AA23" s="649">
        <f>Y23-Z23</f>
        <v>62.896497500000009</v>
      </c>
      <c r="AB23" s="638">
        <f>Z23/Y23</f>
        <v>0.68543178873032629</v>
      </c>
      <c r="AC23" s="167"/>
      <c r="AD23" s="167"/>
      <c r="AE23" s="167"/>
      <c r="AF23" s="167"/>
      <c r="AG23" s="169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</row>
    <row r="24" spans="1:45" s="170" customFormat="1">
      <c r="A24" s="335"/>
      <c r="B24" s="653"/>
      <c r="C24" s="642"/>
      <c r="D24" s="176" t="s">
        <v>10</v>
      </c>
      <c r="E24" s="172">
        <f>+E8+E10+E12+E14+E16+E18+E20+E22</f>
        <v>1</v>
      </c>
      <c r="F24" s="171">
        <f>+F8+F10+F12+F14+F16+F18+F20+F22</f>
        <v>0</v>
      </c>
      <c r="G24" s="172">
        <f>+G23+E24+F24</f>
        <v>6</v>
      </c>
      <c r="H24" s="171">
        <f>+H8+H10+H12+H14+H16+H18+H20+H22</f>
        <v>6.2290000000000001</v>
      </c>
      <c r="I24" s="173">
        <f t="shared" si="4"/>
        <v>-0.22900000000000009</v>
      </c>
      <c r="J24" s="187">
        <f t="shared" si="44"/>
        <v>1.0381666666666667</v>
      </c>
      <c r="K24" s="172">
        <f>+K8+K10+K12+K14+K16+K18+K20+K22</f>
        <v>3.0002997000000002</v>
      </c>
      <c r="L24" s="171">
        <f>+L8+L10+L12+L14+L16+L18+L20+L22</f>
        <v>100</v>
      </c>
      <c r="M24" s="172">
        <f>+M23+K24+L24</f>
        <v>193.94549749999999</v>
      </c>
      <c r="N24" s="171">
        <f>+N8+N10+N12+N14+N16+N18+N20+N22</f>
        <v>112.95699999999999</v>
      </c>
      <c r="O24" s="172">
        <f>M24-N24</f>
        <v>80.988497499999994</v>
      </c>
      <c r="P24" s="187">
        <f t="shared" si="46"/>
        <v>0.582416201747607</v>
      </c>
      <c r="Q24" s="171">
        <f>+Q8+Q10+Q12+Q14+Q16+Q18+Q20+Q22</f>
        <v>4.0002997000000002</v>
      </c>
      <c r="R24" s="171">
        <f>+R8+R10+R12+R14+R16+R18+R20+R22</f>
        <v>100</v>
      </c>
      <c r="S24" s="172">
        <f>+S23+Q24+R24</f>
        <v>199.94549749999999</v>
      </c>
      <c r="T24" s="171">
        <f>+T8+T10+T12+T14+T16+T18+T20+T22</f>
        <v>119.18599999999999</v>
      </c>
      <c r="U24" s="173">
        <f t="shared" si="2"/>
        <v>80.759497499999995</v>
      </c>
      <c r="V24" s="174">
        <f t="shared" si="3"/>
        <v>0.59609244264177541</v>
      </c>
      <c r="W24" s="644"/>
      <c r="X24" s="646"/>
      <c r="Y24" s="648"/>
      <c r="Z24" s="646"/>
      <c r="AA24" s="650"/>
      <c r="AB24" s="639"/>
      <c r="AC24" s="167"/>
      <c r="AD24" s="167"/>
      <c r="AE24" s="167"/>
      <c r="AF24" s="167"/>
      <c r="AG24" s="169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</row>
    <row r="25" spans="1:45">
      <c r="B25" s="168" t="s">
        <v>61</v>
      </c>
      <c r="N25" s="169">
        <f>N23+N24</f>
        <v>130.82</v>
      </c>
    </row>
    <row r="26" spans="1:45" ht="15.6" customHeight="1">
      <c r="B26" s="168" t="s">
        <v>60</v>
      </c>
    </row>
    <row r="27" spans="1:45">
      <c r="B27" s="640" t="s">
        <v>62</v>
      </c>
      <c r="C27" s="640"/>
      <c r="D27" s="640"/>
      <c r="E27" s="640"/>
      <c r="F27" s="640"/>
      <c r="G27" s="640"/>
      <c r="H27" s="640"/>
      <c r="I27" s="640"/>
      <c r="J27" s="640"/>
      <c r="K27" s="640"/>
      <c r="L27" s="640"/>
      <c r="M27" s="640"/>
      <c r="N27" s="640"/>
      <c r="O27" s="640"/>
      <c r="P27" s="640"/>
      <c r="Q27" s="640"/>
      <c r="R27" s="640"/>
      <c r="S27" s="640"/>
      <c r="T27" s="640"/>
      <c r="U27" s="640"/>
      <c r="V27" s="640"/>
      <c r="W27" s="640"/>
      <c r="X27" s="640"/>
    </row>
    <row r="29" spans="1:45" ht="13.9" hidden="1" customHeight="1"/>
    <row r="30" spans="1:45" hidden="1"/>
    <row r="31" spans="1:45" ht="9" hidden="1" customHeight="1"/>
    <row r="32" spans="1:45" hidden="1">
      <c r="C32" s="321" t="s">
        <v>71</v>
      </c>
      <c r="D32" s="322">
        <v>16.215</v>
      </c>
    </row>
    <row r="33" spans="3:4" hidden="1">
      <c r="C33" s="321" t="s">
        <v>133</v>
      </c>
      <c r="D33" s="322">
        <v>1.6479999999999999</v>
      </c>
    </row>
    <row r="34" spans="3:4" hidden="1">
      <c r="D34" s="338">
        <f>SUM(D32:D33)</f>
        <v>17.863</v>
      </c>
    </row>
    <row r="35" spans="3:4" hidden="1"/>
    <row r="36" spans="3:4" hidden="1"/>
    <row r="37" spans="3:4" hidden="1"/>
    <row r="38" spans="3:4" hidden="1"/>
    <row r="39" spans="3:4" hidden="1"/>
    <row r="40" spans="3:4" hidden="1"/>
  </sheetData>
  <mergeCells count="75">
    <mergeCell ref="B2:AB2"/>
    <mergeCell ref="B3:AB3"/>
    <mergeCell ref="B5:B6"/>
    <mergeCell ref="C5:C6"/>
    <mergeCell ref="D5:D6"/>
    <mergeCell ref="E5:J5"/>
    <mergeCell ref="K5:P5"/>
    <mergeCell ref="Q5:V5"/>
    <mergeCell ref="W5:AB5"/>
    <mergeCell ref="AA7:AA8"/>
    <mergeCell ref="AB7:AB8"/>
    <mergeCell ref="AC7:AF7"/>
    <mergeCell ref="C9:C10"/>
    <mergeCell ref="W9:W10"/>
    <mergeCell ref="X9:X10"/>
    <mergeCell ref="Y9:Y10"/>
    <mergeCell ref="Z9:Z10"/>
    <mergeCell ref="AA9:AA10"/>
    <mergeCell ref="AB9:AB10"/>
    <mergeCell ref="C7:C8"/>
    <mergeCell ref="W7:W8"/>
    <mergeCell ref="X7:X8"/>
    <mergeCell ref="Y7:Y8"/>
    <mergeCell ref="Z7:Z8"/>
    <mergeCell ref="Z11:Z12"/>
    <mergeCell ref="AA11:AA12"/>
    <mergeCell ref="AB11:AB12"/>
    <mergeCell ref="C13:C14"/>
    <mergeCell ref="W13:W14"/>
    <mergeCell ref="X13:X14"/>
    <mergeCell ref="Y13:Y14"/>
    <mergeCell ref="Z13:Z14"/>
    <mergeCell ref="AA13:AA14"/>
    <mergeCell ref="AB13:AB14"/>
    <mergeCell ref="C11:C12"/>
    <mergeCell ref="W11:W12"/>
    <mergeCell ref="X11:X12"/>
    <mergeCell ref="Y11:Y12"/>
    <mergeCell ref="AB15:AB16"/>
    <mergeCell ref="C17:C18"/>
    <mergeCell ref="W17:W18"/>
    <mergeCell ref="X17:X18"/>
    <mergeCell ref="Y17:Y18"/>
    <mergeCell ref="Z17:Z18"/>
    <mergeCell ref="AA17:AA18"/>
    <mergeCell ref="AB17:AB18"/>
    <mergeCell ref="C15:C16"/>
    <mergeCell ref="W15:W16"/>
    <mergeCell ref="X15:X16"/>
    <mergeCell ref="Y15:Y16"/>
    <mergeCell ref="Z15:Z16"/>
    <mergeCell ref="AA15:AA16"/>
    <mergeCell ref="AB21:AB22"/>
    <mergeCell ref="C19:C20"/>
    <mergeCell ref="W19:W20"/>
    <mergeCell ref="X19:X20"/>
    <mergeCell ref="Y19:Y20"/>
    <mergeCell ref="Z19:Z20"/>
    <mergeCell ref="AA19:AA20"/>
    <mergeCell ref="AB23:AB24"/>
    <mergeCell ref="B27:X27"/>
    <mergeCell ref="C23:C24"/>
    <mergeCell ref="W23:W24"/>
    <mergeCell ref="X23:X24"/>
    <mergeCell ref="Y23:Y24"/>
    <mergeCell ref="Z23:Z24"/>
    <mergeCell ref="AA23:AA24"/>
    <mergeCell ref="B7:B24"/>
    <mergeCell ref="AB19:AB20"/>
    <mergeCell ref="C21:C22"/>
    <mergeCell ref="W21:W22"/>
    <mergeCell ref="X21:X22"/>
    <mergeCell ref="Y21:Y22"/>
    <mergeCell ref="Z21:Z22"/>
    <mergeCell ref="AA21:AA22"/>
  </mergeCells>
  <conditionalFormatting sqref="J7:J24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{53696A3D-7D3A-4A09-BB0C-72FCC46A930C}</x14:id>
        </ext>
      </extLst>
    </cfRule>
  </conditionalFormatting>
  <conditionalFormatting sqref="P7:P24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{8D1DBC57-3A61-4ADA-A53D-E42AF4D4DE70}</x14:id>
        </ext>
      </extLst>
    </cfRule>
  </conditionalFormatting>
  <conditionalFormatting sqref="AB7:AB2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{76B0DCBD-3F01-45CD-8624-916F3EAF8B31}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696A3D-7D3A-4A09-BB0C-72FCC46A930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J7:J24</xm:sqref>
        </x14:conditionalFormatting>
        <x14:conditionalFormatting xmlns:xm="http://schemas.microsoft.com/office/excel/2006/main">
          <x14:cfRule type="dataBar" id="{8D1DBC57-3A61-4ADA-A53D-E42AF4D4DE7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P7:P24</xm:sqref>
        </x14:conditionalFormatting>
        <x14:conditionalFormatting xmlns:xm="http://schemas.microsoft.com/office/excel/2006/main">
          <x14:cfRule type="dataBar" id="{76B0DCBD-3F01-45CD-8624-916F3EAF8B3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AB7:AB24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1:AB54"/>
  <sheetViews>
    <sheetView topLeftCell="A4" zoomScale="70" zoomScaleNormal="70" workbookViewId="0">
      <selection activeCell="R41" sqref="R41"/>
    </sheetView>
  </sheetViews>
  <sheetFormatPr baseColWidth="10" defaultColWidth="11.5703125" defaultRowHeight="15"/>
  <cols>
    <col min="1" max="1" width="5.7109375" style="215" customWidth="1"/>
    <col min="2" max="2" width="19.7109375" style="200" customWidth="1"/>
    <col min="3" max="3" width="35.7109375" style="200" customWidth="1"/>
    <col min="4" max="4" width="11.5703125" style="200" customWidth="1"/>
    <col min="5" max="5" width="14" style="200" customWidth="1"/>
    <col min="6" max="6" width="13" style="200" customWidth="1"/>
    <col min="7" max="7" width="12.28515625" style="200" customWidth="1"/>
    <col min="8" max="8" width="13.42578125" style="200" customWidth="1"/>
    <col min="9" max="9" width="12.85546875" style="200" customWidth="1"/>
    <col min="10" max="10" width="11.5703125" style="200" customWidth="1"/>
    <col min="11" max="11" width="12.5703125" style="200" customWidth="1"/>
    <col min="12" max="12" width="13.7109375" style="200" customWidth="1"/>
    <col min="13" max="13" width="12.28515625" style="200" customWidth="1"/>
    <col min="14" max="14" width="14.140625" style="200" customWidth="1"/>
    <col min="15" max="15" width="14" style="200" customWidth="1"/>
    <col min="16" max="16" width="14.85546875" style="200" customWidth="1"/>
    <col min="17" max="17" width="11.5703125" style="200" customWidth="1"/>
    <col min="18" max="18" width="13.28515625" style="200" customWidth="1"/>
    <col min="19" max="19" width="13.5703125" style="200" customWidth="1"/>
    <col min="20" max="20" width="11.5703125" style="200" customWidth="1"/>
    <col min="21" max="21" width="12" style="200" customWidth="1"/>
    <col min="22" max="22" width="10.42578125" style="200" customWidth="1"/>
    <col min="23" max="23" width="14.85546875" style="200" customWidth="1"/>
    <col min="24" max="24" width="15.28515625" style="200" customWidth="1"/>
    <col min="25" max="25" width="16.42578125" style="200" customWidth="1"/>
    <col min="26" max="26" width="15.85546875" style="200" customWidth="1"/>
    <col min="27" max="27" width="16.42578125" style="200" customWidth="1"/>
    <col min="28" max="28" width="17" style="200" customWidth="1"/>
    <col min="29" max="29" width="23.5703125" style="200" customWidth="1"/>
    <col min="30" max="16384" width="11.5703125" style="200"/>
  </cols>
  <sheetData>
    <row r="1" spans="1:28">
      <c r="D1" s="215"/>
    </row>
    <row r="2" spans="1:28" ht="30" customHeight="1">
      <c r="B2" s="701" t="s">
        <v>171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</row>
    <row r="3" spans="1:28" ht="27.6" customHeight="1">
      <c r="B3" s="702">
        <f>+'Resumen anual'!B4:I4</f>
        <v>43830</v>
      </c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</row>
    <row r="5" spans="1:28" ht="26.45" customHeight="1">
      <c r="B5" s="703" t="s">
        <v>172</v>
      </c>
      <c r="C5" s="703" t="s">
        <v>173</v>
      </c>
      <c r="D5" s="704" t="s">
        <v>174</v>
      </c>
      <c r="E5" s="705" t="s">
        <v>175</v>
      </c>
      <c r="F5" s="706"/>
      <c r="G5" s="706"/>
      <c r="H5" s="706"/>
      <c r="I5" s="706"/>
      <c r="J5" s="707"/>
      <c r="K5" s="708" t="s">
        <v>176</v>
      </c>
      <c r="L5" s="708"/>
      <c r="M5" s="708"/>
      <c r="N5" s="708"/>
      <c r="O5" s="708"/>
      <c r="P5" s="708"/>
      <c r="Q5" s="709" t="s">
        <v>177</v>
      </c>
      <c r="R5" s="709"/>
      <c r="S5" s="709"/>
      <c r="T5" s="709"/>
      <c r="U5" s="709"/>
      <c r="V5" s="709"/>
      <c r="W5" s="710" t="s">
        <v>178</v>
      </c>
      <c r="X5" s="710"/>
      <c r="Y5" s="710"/>
      <c r="Z5" s="710"/>
      <c r="AA5" s="710"/>
      <c r="AB5" s="710"/>
    </row>
    <row r="6" spans="1:28" ht="30.6" customHeight="1">
      <c r="A6" s="216"/>
      <c r="B6" s="703"/>
      <c r="C6" s="703"/>
      <c r="D6" s="704"/>
      <c r="E6" s="350" t="s">
        <v>179</v>
      </c>
      <c r="F6" s="339" t="s">
        <v>37</v>
      </c>
      <c r="G6" s="339" t="s">
        <v>4</v>
      </c>
      <c r="H6" s="340" t="s">
        <v>5</v>
      </c>
      <c r="I6" s="340" t="s">
        <v>22</v>
      </c>
      <c r="J6" s="341" t="s">
        <v>23</v>
      </c>
      <c r="K6" s="331" t="s">
        <v>180</v>
      </c>
      <c r="L6" s="331" t="s">
        <v>181</v>
      </c>
      <c r="M6" s="342" t="s">
        <v>4</v>
      </c>
      <c r="N6" s="332" t="s">
        <v>44</v>
      </c>
      <c r="O6" s="343" t="s">
        <v>22</v>
      </c>
      <c r="P6" s="332" t="s">
        <v>17</v>
      </c>
      <c r="Q6" s="344" t="s">
        <v>182</v>
      </c>
      <c r="R6" s="345" t="s">
        <v>37</v>
      </c>
      <c r="S6" s="345" t="s">
        <v>4</v>
      </c>
      <c r="T6" s="344" t="s">
        <v>183</v>
      </c>
      <c r="U6" s="344" t="s">
        <v>22</v>
      </c>
      <c r="V6" s="344" t="s">
        <v>17</v>
      </c>
      <c r="W6" s="195" t="s">
        <v>182</v>
      </c>
      <c r="X6" s="194" t="s">
        <v>184</v>
      </c>
      <c r="Y6" s="194" t="s">
        <v>4</v>
      </c>
      <c r="Z6" s="195" t="s">
        <v>183</v>
      </c>
      <c r="AA6" s="195" t="s">
        <v>22</v>
      </c>
      <c r="AB6" s="195" t="s">
        <v>17</v>
      </c>
    </row>
    <row r="7" spans="1:28" ht="20.100000000000001" customHeight="1">
      <c r="A7" s="216"/>
      <c r="B7" s="696" t="s">
        <v>94</v>
      </c>
      <c r="C7" s="697" t="str">
        <f>+Movimientos_LtpPep!B49</f>
        <v>CAMANCHACA PESCA SUR</v>
      </c>
      <c r="D7" s="351" t="s">
        <v>185</v>
      </c>
      <c r="E7" s="352">
        <f>+Movimientos_LtpPep!H49</f>
        <v>632.84541209999998</v>
      </c>
      <c r="F7" s="353">
        <f>+Movimientos_LtpPep!J49</f>
        <v>-411.49161316479996</v>
      </c>
      <c r="G7" s="352">
        <f>E7+F7</f>
        <v>221.35379893520002</v>
      </c>
      <c r="H7" s="354">
        <f>+D47+E47</f>
        <v>193</v>
      </c>
      <c r="I7" s="352">
        <f>G7-H7</f>
        <v>28.353798935200018</v>
      </c>
      <c r="J7" s="355">
        <f>H7/G7</f>
        <v>0.87190733083600513</v>
      </c>
      <c r="K7" s="356">
        <f>+Movimientos_LtpPep!I49</f>
        <v>2049.3963547399999</v>
      </c>
      <c r="L7" s="353">
        <f>+Movimientos_LtpPep!K49</f>
        <v>59.546127755760097</v>
      </c>
      <c r="M7" s="352">
        <f>K7+L7</f>
        <v>2108.94248249576</v>
      </c>
      <c r="N7" s="354">
        <f>+F47+G47</f>
        <v>2058.9399999999996</v>
      </c>
      <c r="O7" s="352">
        <f>M7-N7</f>
        <v>50.002482495760432</v>
      </c>
      <c r="P7" s="357">
        <f>N7/M7</f>
        <v>0.97629025783738466</v>
      </c>
      <c r="Q7" s="358">
        <f>+E7+K7</f>
        <v>2682.2417668399999</v>
      </c>
      <c r="R7" s="353">
        <f>F7+L7</f>
        <v>-351.94548540903986</v>
      </c>
      <c r="S7" s="359">
        <f>Q7+R7</f>
        <v>2330.2962814309599</v>
      </c>
      <c r="T7" s="360">
        <f>H7+N7</f>
        <v>2251.9399999999996</v>
      </c>
      <c r="U7" s="359">
        <f>S7-T7</f>
        <v>78.35628143096028</v>
      </c>
      <c r="V7" s="361">
        <f>T7/S7</f>
        <v>0.96637497040383025</v>
      </c>
      <c r="W7" s="698">
        <f>Q7+Q8</f>
        <v>2980.1265769799998</v>
      </c>
      <c r="X7" s="699">
        <f>R7+R8</f>
        <v>-252.72598540903988</v>
      </c>
      <c r="Y7" s="700">
        <f t="shared" ref="Y7" si="0">W7+X7</f>
        <v>2727.4005915709599</v>
      </c>
      <c r="Z7" s="712">
        <f>T7+T8</f>
        <v>2726.7269999999999</v>
      </c>
      <c r="AA7" s="700">
        <f>Y7-Z7</f>
        <v>0.67359157096007038</v>
      </c>
      <c r="AB7" s="713">
        <f t="shared" ref="AB7" si="1">Z7/Y7</f>
        <v>0.99975302800291166</v>
      </c>
    </row>
    <row r="8" spans="1:28" ht="20.100000000000001" customHeight="1">
      <c r="A8" s="216"/>
      <c r="B8" s="696"/>
      <c r="C8" s="697"/>
      <c r="D8" s="351" t="s">
        <v>10</v>
      </c>
      <c r="E8" s="352">
        <f>+Movimientos_LtpPep!H50</f>
        <v>70.31615690000001</v>
      </c>
      <c r="F8" s="353">
        <f>+Movimientos_LtpPep!J50</f>
        <v>0</v>
      </c>
      <c r="G8" s="362">
        <f>E8+F8+I7</f>
        <v>98.669955835200028</v>
      </c>
      <c r="H8" s="364">
        <v>98.484999999999999</v>
      </c>
      <c r="I8" s="362">
        <f>G8-H8</f>
        <v>0.18495583520002867</v>
      </c>
      <c r="J8" s="363">
        <f t="shared" ref="J8:J26" si="2">H8/G8</f>
        <v>0.99812551010452522</v>
      </c>
      <c r="K8" s="356">
        <f>+Movimientos_LtpPep!I50</f>
        <v>227.56865324</v>
      </c>
      <c r="L8" s="353">
        <f>+Movimientos_LtpPep!K50</f>
        <v>99.219499999999996</v>
      </c>
      <c r="M8" s="362">
        <f>K8+L8+O7</f>
        <v>376.79063573576042</v>
      </c>
      <c r="N8" s="364">
        <v>376.30200000000002</v>
      </c>
      <c r="O8" s="362">
        <f>M8-N8</f>
        <v>0.48863573576039698</v>
      </c>
      <c r="P8" s="365">
        <f>N8/M8</f>
        <v>0.99870316380128121</v>
      </c>
      <c r="Q8" s="366">
        <f t="shared" ref="Q8:Q34" si="3">+E8+K8</f>
        <v>297.88481014000001</v>
      </c>
      <c r="R8" s="367">
        <f t="shared" ref="R8:R34" si="4">F8+L8</f>
        <v>99.219499999999996</v>
      </c>
      <c r="S8" s="368">
        <f>Q8+R8+U7</f>
        <v>475.46059157096028</v>
      </c>
      <c r="T8" s="369">
        <f>H8+N8</f>
        <v>474.78700000000003</v>
      </c>
      <c r="U8" s="368">
        <f>S8-T8</f>
        <v>0.67359157096024092</v>
      </c>
      <c r="V8" s="370">
        <f>T8/S8</f>
        <v>0.99858328622203019</v>
      </c>
      <c r="W8" s="698"/>
      <c r="X8" s="699"/>
      <c r="Y8" s="700"/>
      <c r="Z8" s="712"/>
      <c r="AA8" s="700"/>
      <c r="AB8" s="713"/>
    </row>
    <row r="9" spans="1:28" ht="20.100000000000001" customHeight="1">
      <c r="A9" s="216"/>
      <c r="B9" s="696"/>
      <c r="C9" s="697" t="str">
        <f>+Movimientos_LtpPep!B51</f>
        <v>BRACPESCA</v>
      </c>
      <c r="D9" s="351" t="s">
        <v>185</v>
      </c>
      <c r="E9" s="352">
        <f>+Movimientos_LtpPep!H51</f>
        <v>68.889645000000002</v>
      </c>
      <c r="F9" s="353">
        <f>+Movimientos_LtpPep!J51</f>
        <v>258.27531281999995</v>
      </c>
      <c r="G9" s="371">
        <f t="shared" ref="G9" si="5">E9+F9</f>
        <v>327.16495781999993</v>
      </c>
      <c r="H9" s="372">
        <f>+D46+E46</f>
        <v>195.714</v>
      </c>
      <c r="I9" s="371">
        <f t="shared" ref="I9:I27" si="6">G9-H9</f>
        <v>131.45095781999993</v>
      </c>
      <c r="J9" s="355">
        <f t="shared" si="2"/>
        <v>0.59821198854578495</v>
      </c>
      <c r="K9" s="356">
        <f>+Movimientos_LtpPep!I51</f>
        <v>223.09111299999998</v>
      </c>
      <c r="L9" s="353">
        <f>+Movimientos_LtpPep!K51</f>
        <v>-232.68941766</v>
      </c>
      <c r="M9" s="352">
        <f t="shared" ref="M9" si="7">K9+L9</f>
        <v>-9.598304660000025</v>
      </c>
      <c r="N9" s="373"/>
      <c r="O9" s="352">
        <f>M9-N9</f>
        <v>-9.598304660000025</v>
      </c>
      <c r="P9" s="357">
        <f>N9/M9</f>
        <v>0</v>
      </c>
      <c r="Q9" s="374">
        <f t="shared" si="3"/>
        <v>291.98075799999998</v>
      </c>
      <c r="R9" s="375">
        <f>F9+L9</f>
        <v>25.58589515999995</v>
      </c>
      <c r="S9" s="376">
        <f t="shared" ref="S9:S25" si="8">Q9+R9</f>
        <v>317.56665315999993</v>
      </c>
      <c r="T9" s="377">
        <f>H9+N9</f>
        <v>195.714</v>
      </c>
      <c r="U9" s="359">
        <f t="shared" ref="U9:U34" si="9">S9-T9</f>
        <v>121.85265315999993</v>
      </c>
      <c r="V9" s="361">
        <f t="shared" ref="V9:V26" si="10">T9/S9</f>
        <v>0.61629266817694872</v>
      </c>
      <c r="W9" s="698">
        <f t="shared" ref="W9:X9" si="11">Q9+Q10</f>
        <v>324.407601</v>
      </c>
      <c r="X9" s="699">
        <f t="shared" si="11"/>
        <v>25.58589515999995</v>
      </c>
      <c r="Y9" s="700">
        <f t="shared" ref="Y9" si="12">W9+X9</f>
        <v>349.99349615999995</v>
      </c>
      <c r="Z9" s="712">
        <f t="shared" ref="Z9" si="13">T9+T10</f>
        <v>346.38199999999995</v>
      </c>
      <c r="AA9" s="700">
        <f t="shared" ref="AA9" si="14">Y9-Z9</f>
        <v>3.6114961600000015</v>
      </c>
      <c r="AB9" s="711">
        <f t="shared" ref="AB9" si="15">Z9/Y9</f>
        <v>0.98968124779567612</v>
      </c>
    </row>
    <row r="10" spans="1:28" ht="20.100000000000001" customHeight="1">
      <c r="A10" s="216"/>
      <c r="B10" s="696"/>
      <c r="C10" s="697"/>
      <c r="D10" s="351" t="s">
        <v>10</v>
      </c>
      <c r="E10" s="352">
        <f>+Movimientos_LtpPep!H52</f>
        <v>7.6544049999999997</v>
      </c>
      <c r="F10" s="353">
        <f>+Movimientos_LtpPep!J52</f>
        <v>0</v>
      </c>
      <c r="G10" s="362">
        <f t="shared" ref="G10" si="16">E10+F10+I9</f>
        <v>139.10536281999993</v>
      </c>
      <c r="H10" s="364">
        <v>137.97399999999999</v>
      </c>
      <c r="I10" s="362">
        <f t="shared" si="6"/>
        <v>1.1313628199999357</v>
      </c>
      <c r="J10" s="363">
        <f t="shared" si="2"/>
        <v>0.99186686410168168</v>
      </c>
      <c r="K10" s="356">
        <f>+Movimientos_LtpPep!I52</f>
        <v>24.772437999999998</v>
      </c>
      <c r="L10" s="353">
        <f>+Movimientos_LtpPep!K52</f>
        <v>0</v>
      </c>
      <c r="M10" s="362">
        <f t="shared" ref="M10" si="17">K10+L10+O9</f>
        <v>15.174133339999972</v>
      </c>
      <c r="N10" s="364">
        <v>12.694000000000001</v>
      </c>
      <c r="O10" s="362">
        <f t="shared" ref="O10:O34" si="18">M10-N10</f>
        <v>2.4801333399999717</v>
      </c>
      <c r="P10" s="365">
        <f t="shared" ref="P10:P26" si="19">N10/M10</f>
        <v>0.8365551900442193</v>
      </c>
      <c r="Q10" s="366">
        <f t="shared" si="3"/>
        <v>32.426842999999998</v>
      </c>
      <c r="R10" s="367">
        <f t="shared" si="4"/>
        <v>0</v>
      </c>
      <c r="S10" s="368">
        <f>Q10+R10+U9</f>
        <v>154.27949615999992</v>
      </c>
      <c r="T10" s="369">
        <f t="shared" ref="T10:T34" si="20">H10+N10</f>
        <v>150.66799999999998</v>
      </c>
      <c r="U10" s="368">
        <f t="shared" si="9"/>
        <v>3.6114961599999447</v>
      </c>
      <c r="V10" s="370">
        <f t="shared" si="10"/>
        <v>0.97659121108190206</v>
      </c>
      <c r="W10" s="698"/>
      <c r="X10" s="699"/>
      <c r="Y10" s="700"/>
      <c r="Z10" s="712"/>
      <c r="AA10" s="700"/>
      <c r="AB10" s="711"/>
    </row>
    <row r="11" spans="1:28" ht="20.100000000000001" customHeight="1">
      <c r="A11" s="216"/>
      <c r="B11" s="696"/>
      <c r="C11" s="697" t="str">
        <f>+Movimientos_LtpPep!B53</f>
        <v>ALIMAR</v>
      </c>
      <c r="D11" s="351" t="s">
        <v>185</v>
      </c>
      <c r="E11" s="352">
        <f>+Movimientos_LtpPep!H53</f>
        <v>4.95</v>
      </c>
      <c r="F11" s="353">
        <f>+Movimientos_LtpPep!J53</f>
        <v>0</v>
      </c>
      <c r="G11" s="371">
        <f t="shared" ref="G11" si="21">E11+F11</f>
        <v>4.95</v>
      </c>
      <c r="H11" s="373"/>
      <c r="I11" s="371">
        <f t="shared" si="6"/>
        <v>4.95</v>
      </c>
      <c r="J11" s="355">
        <f t="shared" si="2"/>
        <v>0</v>
      </c>
      <c r="K11" s="356">
        <f>+Movimientos_LtpPep!I53</f>
        <v>16.03</v>
      </c>
      <c r="L11" s="353">
        <f>+Movimientos_LtpPep!K53</f>
        <v>0</v>
      </c>
      <c r="M11" s="352">
        <f t="shared" ref="M11" si="22">K11+L11</f>
        <v>16.03</v>
      </c>
      <c r="N11" s="373"/>
      <c r="O11" s="352">
        <f t="shared" si="18"/>
        <v>16.03</v>
      </c>
      <c r="P11" s="357">
        <f t="shared" si="19"/>
        <v>0</v>
      </c>
      <c r="Q11" s="374">
        <f t="shared" si="3"/>
        <v>20.98</v>
      </c>
      <c r="R11" s="375">
        <f t="shared" si="4"/>
        <v>0</v>
      </c>
      <c r="S11" s="376">
        <f t="shared" si="8"/>
        <v>20.98</v>
      </c>
      <c r="T11" s="377">
        <f t="shared" si="20"/>
        <v>0</v>
      </c>
      <c r="U11" s="359">
        <f t="shared" si="9"/>
        <v>20.98</v>
      </c>
      <c r="V11" s="361">
        <f t="shared" si="10"/>
        <v>0</v>
      </c>
      <c r="W11" s="698">
        <f t="shared" ref="W11:X11" si="23">Q11+Q12</f>
        <v>23.310000000000002</v>
      </c>
      <c r="X11" s="699">
        <f t="shared" si="23"/>
        <v>0</v>
      </c>
      <c r="Y11" s="700">
        <f t="shared" ref="Y11" si="24">W11+X11</f>
        <v>23.310000000000002</v>
      </c>
      <c r="Z11" s="712">
        <f t="shared" ref="Z11" si="25">T11+T12</f>
        <v>0</v>
      </c>
      <c r="AA11" s="700">
        <f t="shared" ref="AA11" si="26">Y11-Z11</f>
        <v>23.310000000000002</v>
      </c>
      <c r="AB11" s="711">
        <f t="shared" ref="AB11" si="27">Z11/Y11</f>
        <v>0</v>
      </c>
    </row>
    <row r="12" spans="1:28" ht="20.100000000000001" customHeight="1">
      <c r="A12" s="216"/>
      <c r="B12" s="696"/>
      <c r="C12" s="697"/>
      <c r="D12" s="351" t="s">
        <v>10</v>
      </c>
      <c r="E12" s="352">
        <f>+Movimientos_LtpPep!H54</f>
        <v>0.55000000000000004</v>
      </c>
      <c r="F12" s="353">
        <f>+Movimientos_LtpPep!J54</f>
        <v>0</v>
      </c>
      <c r="G12" s="362">
        <f t="shared" ref="G12" si="28">E12+F12+I11</f>
        <v>5.5</v>
      </c>
      <c r="H12" s="364"/>
      <c r="I12" s="362">
        <f t="shared" si="6"/>
        <v>5.5</v>
      </c>
      <c r="J12" s="363">
        <f t="shared" si="2"/>
        <v>0</v>
      </c>
      <c r="K12" s="356">
        <f>+Movimientos_LtpPep!I54</f>
        <v>1.78</v>
      </c>
      <c r="L12" s="353">
        <f>+Movimientos_LtpPep!K54</f>
        <v>0</v>
      </c>
      <c r="M12" s="362">
        <f t="shared" ref="M12" si="29">K12+L12+O11</f>
        <v>17.810000000000002</v>
      </c>
      <c r="N12" s="364"/>
      <c r="O12" s="362">
        <f t="shared" si="18"/>
        <v>17.810000000000002</v>
      </c>
      <c r="P12" s="365">
        <f t="shared" si="19"/>
        <v>0</v>
      </c>
      <c r="Q12" s="366">
        <f t="shared" si="3"/>
        <v>2.33</v>
      </c>
      <c r="R12" s="367">
        <f t="shared" si="4"/>
        <v>0</v>
      </c>
      <c r="S12" s="368">
        <f>Q12+R12+U11</f>
        <v>23.310000000000002</v>
      </c>
      <c r="T12" s="369">
        <f t="shared" si="20"/>
        <v>0</v>
      </c>
      <c r="U12" s="368">
        <f t="shared" si="9"/>
        <v>23.310000000000002</v>
      </c>
      <c r="V12" s="370">
        <f t="shared" si="10"/>
        <v>0</v>
      </c>
      <c r="W12" s="698"/>
      <c r="X12" s="699"/>
      <c r="Y12" s="700"/>
      <c r="Z12" s="712"/>
      <c r="AA12" s="700"/>
      <c r="AB12" s="711"/>
    </row>
    <row r="13" spans="1:28" ht="20.100000000000001" customHeight="1">
      <c r="A13" s="216"/>
      <c r="B13" s="696"/>
      <c r="C13" s="697" t="str">
        <f>+Movimientos_LtpPep!B55</f>
        <v>ISLA DAMAS S.A.</v>
      </c>
      <c r="D13" s="351" t="s">
        <v>185</v>
      </c>
      <c r="E13" s="352">
        <f>+Movimientos_LtpPep!H55</f>
        <v>58.984160400000007</v>
      </c>
      <c r="F13" s="353">
        <f>+Movimientos_LtpPep!J55</f>
        <v>100.413000682</v>
      </c>
      <c r="G13" s="371">
        <f t="shared" ref="G13" si="30">E13+F13</f>
        <v>159.39716108200003</v>
      </c>
      <c r="H13" s="372">
        <f>+D48+E48</f>
        <v>156.40700000000001</v>
      </c>
      <c r="I13" s="371">
        <f t="shared" si="6"/>
        <v>2.9901610820000144</v>
      </c>
      <c r="J13" s="355">
        <f t="shared" si="2"/>
        <v>0.98124081343919445</v>
      </c>
      <c r="K13" s="356">
        <f>+Movimientos_LtpPep!I55</f>
        <v>191.01335176000003</v>
      </c>
      <c r="L13" s="353">
        <f>+Movimientos_LtpPep!K55</f>
        <v>187.44200749999999</v>
      </c>
      <c r="M13" s="352">
        <f t="shared" ref="M13" si="31">K13+L13</f>
        <v>378.45535926000002</v>
      </c>
      <c r="N13" s="373">
        <f>+F48+G48</f>
        <v>336.44200000000001</v>
      </c>
      <c r="O13" s="352">
        <f t="shared" si="18"/>
        <v>42.013359260000016</v>
      </c>
      <c r="P13" s="357">
        <f t="shared" si="19"/>
        <v>0.88898727886388129</v>
      </c>
      <c r="Q13" s="374">
        <f t="shared" si="3"/>
        <v>249.99751216000004</v>
      </c>
      <c r="R13" s="375">
        <f t="shared" si="4"/>
        <v>287.85500818200001</v>
      </c>
      <c r="S13" s="376">
        <f t="shared" si="8"/>
        <v>537.85252034200005</v>
      </c>
      <c r="T13" s="377">
        <f t="shared" si="20"/>
        <v>492.84900000000005</v>
      </c>
      <c r="U13" s="359">
        <f t="shared" si="9"/>
        <v>45.003520342000002</v>
      </c>
      <c r="V13" s="361">
        <f t="shared" si="10"/>
        <v>0.91632739712108446</v>
      </c>
      <c r="W13" s="698">
        <f t="shared" ref="W13:X13" si="32">Q13+Q14</f>
        <v>277.76177352000002</v>
      </c>
      <c r="X13" s="699">
        <f t="shared" si="32"/>
        <v>287.85500818200001</v>
      </c>
      <c r="Y13" s="700">
        <f t="shared" ref="Y13" si="33">W13+X13</f>
        <v>565.61678170200003</v>
      </c>
      <c r="Z13" s="712">
        <f t="shared" ref="Z13" si="34">T13+T14</f>
        <v>564.07300000000009</v>
      </c>
      <c r="AA13" s="700">
        <f t="shared" ref="AA13" si="35">Y13-Z13</f>
        <v>1.5437817019999329</v>
      </c>
      <c r="AB13" s="711">
        <f t="shared" ref="AB13" si="36">Z13/Y13</f>
        <v>0.99727062252758036</v>
      </c>
    </row>
    <row r="14" spans="1:28" ht="20.100000000000001" customHeight="1">
      <c r="A14" s="216"/>
      <c r="B14" s="696"/>
      <c r="C14" s="697"/>
      <c r="D14" s="351" t="s">
        <v>10</v>
      </c>
      <c r="E14" s="352">
        <f>+Movimientos_LtpPep!H56</f>
        <v>6.5537956000000008</v>
      </c>
      <c r="F14" s="353">
        <f>+Movimientos_LtpPep!J56</f>
        <v>0</v>
      </c>
      <c r="G14" s="362">
        <f>E14+F14+I13</f>
        <v>9.5439566820000152</v>
      </c>
      <c r="H14" s="364">
        <f>1.024+8.309</f>
        <v>9.3329999999999984</v>
      </c>
      <c r="I14" s="362">
        <f t="shared" si="6"/>
        <v>0.21095668200001683</v>
      </c>
      <c r="J14" s="363">
        <f t="shared" si="2"/>
        <v>0.97789630768150038</v>
      </c>
      <c r="K14" s="356">
        <f>+Movimientos_LtpPep!I56</f>
        <v>21.210465760000002</v>
      </c>
      <c r="L14" s="353">
        <f>+Movimientos_LtpPep!K56</f>
        <v>0</v>
      </c>
      <c r="M14" s="362">
        <f t="shared" ref="M14" si="37">K14+L14+O13</f>
        <v>63.223825020000021</v>
      </c>
      <c r="N14" s="364">
        <f>60.061+1.83</f>
        <v>61.890999999999998</v>
      </c>
      <c r="O14" s="362">
        <f t="shared" si="18"/>
        <v>1.3328250200000227</v>
      </c>
      <c r="P14" s="365">
        <f>N14/M14</f>
        <v>0.97891894361692922</v>
      </c>
      <c r="Q14" s="366">
        <f t="shared" si="3"/>
        <v>27.764261360000003</v>
      </c>
      <c r="R14" s="367">
        <f t="shared" si="4"/>
        <v>0</v>
      </c>
      <c r="S14" s="368">
        <f>Q14+R14+U13</f>
        <v>72.767781702000008</v>
      </c>
      <c r="T14" s="369">
        <f t="shared" si="20"/>
        <v>71.22399999999999</v>
      </c>
      <c r="U14" s="368">
        <f t="shared" si="9"/>
        <v>1.5437817020000182</v>
      </c>
      <c r="V14" s="370">
        <f t="shared" si="10"/>
        <v>0.97878481841974874</v>
      </c>
      <c r="W14" s="698"/>
      <c r="X14" s="699"/>
      <c r="Y14" s="700"/>
      <c r="Z14" s="712"/>
      <c r="AA14" s="700"/>
      <c r="AB14" s="711"/>
    </row>
    <row r="15" spans="1:28" ht="20.100000000000001" customHeight="1">
      <c r="A15" s="216"/>
      <c r="B15" s="696"/>
      <c r="C15" s="697" t="str">
        <f>+Movimientos_LtpPep!B57</f>
        <v>ANTARTIC SEAFOOD S.A.</v>
      </c>
      <c r="D15" s="351" t="s">
        <v>185</v>
      </c>
      <c r="E15" s="352">
        <f>+Movimientos_LtpPep!H57</f>
        <v>55.311794999999996</v>
      </c>
      <c r="F15" s="353">
        <f>+Movimientos_LtpPep!J57</f>
        <v>227.12859991079998</v>
      </c>
      <c r="G15" s="371">
        <f t="shared" ref="G15" si="38">E15+F15</f>
        <v>282.44039491079997</v>
      </c>
      <c r="H15" s="354">
        <f>+D45+E45</f>
        <v>275.57099999999997</v>
      </c>
      <c r="I15" s="371">
        <f t="shared" si="6"/>
        <v>6.869394910799997</v>
      </c>
      <c r="J15" s="355">
        <f t="shared" si="2"/>
        <v>0.97567842619335854</v>
      </c>
      <c r="K15" s="356">
        <f>+Movimientos_LtpPep!I57</f>
        <v>179.120823</v>
      </c>
      <c r="L15" s="353">
        <f>+Movimientos_LtpPep!K57</f>
        <v>-183.79919988360001</v>
      </c>
      <c r="M15" s="352">
        <f t="shared" ref="M15" si="39">K15+L15</f>
        <v>-4.6783768836000093</v>
      </c>
      <c r="N15" s="378"/>
      <c r="O15" s="352">
        <f t="shared" si="18"/>
        <v>-4.6783768836000093</v>
      </c>
      <c r="P15" s="357">
        <f t="shared" si="19"/>
        <v>0</v>
      </c>
      <c r="Q15" s="374">
        <f t="shared" si="3"/>
        <v>234.43261799999999</v>
      </c>
      <c r="R15" s="375">
        <f t="shared" si="4"/>
        <v>43.329400027199966</v>
      </c>
      <c r="S15" s="376">
        <f t="shared" si="8"/>
        <v>277.76201802719993</v>
      </c>
      <c r="T15" s="377">
        <f t="shared" si="20"/>
        <v>275.57099999999997</v>
      </c>
      <c r="U15" s="359">
        <f t="shared" si="9"/>
        <v>2.1910180271999593</v>
      </c>
      <c r="V15" s="361">
        <f t="shared" si="10"/>
        <v>0.9921118875692162</v>
      </c>
      <c r="W15" s="698">
        <f t="shared" ref="W15" si="40">Q15+Q16</f>
        <v>260.46827099999996</v>
      </c>
      <c r="X15" s="699">
        <f>R15+R16</f>
        <v>43.329400027199966</v>
      </c>
      <c r="Y15" s="700">
        <f t="shared" ref="Y15" si="41">W15+X15</f>
        <v>303.79767102719995</v>
      </c>
      <c r="Z15" s="712">
        <f t="shared" ref="Z15" si="42">T15+T16</f>
        <v>299.92099999999999</v>
      </c>
      <c r="AA15" s="700">
        <f t="shared" ref="AA15" si="43">Y15-Z15</f>
        <v>3.8766710271999614</v>
      </c>
      <c r="AB15" s="711">
        <f t="shared" ref="AB15" si="44">Z15/Y15</f>
        <v>0.98723929971519475</v>
      </c>
    </row>
    <row r="16" spans="1:28" ht="20.100000000000001" customHeight="1">
      <c r="A16" s="216"/>
      <c r="B16" s="696"/>
      <c r="C16" s="697"/>
      <c r="D16" s="351" t="s">
        <v>10</v>
      </c>
      <c r="E16" s="352">
        <f>+Movimientos_LtpPep!H58</f>
        <v>6.1457549999999994</v>
      </c>
      <c r="F16" s="353">
        <f>+Movimientos_LtpPep!J58</f>
        <v>0</v>
      </c>
      <c r="G16" s="362">
        <f t="shared" ref="G16" si="45">E16+F16+I15</f>
        <v>13.015149910799996</v>
      </c>
      <c r="H16" s="364">
        <v>10.358000000000001</v>
      </c>
      <c r="I16" s="362">
        <f t="shared" si="6"/>
        <v>2.6571499107999959</v>
      </c>
      <c r="J16" s="363">
        <f t="shared" si="2"/>
        <v>0.79584177446968263</v>
      </c>
      <c r="K16" s="356">
        <f>+Movimientos_LtpPep!I58</f>
        <v>19.889897999999999</v>
      </c>
      <c r="L16" s="353">
        <f>+Movimientos_LtpPep!K58</f>
        <v>0</v>
      </c>
      <c r="M16" s="362">
        <f t="shared" ref="M16" si="46">K16+L16+O15</f>
        <v>15.211521116399989</v>
      </c>
      <c r="N16" s="364">
        <v>13.992000000000001</v>
      </c>
      <c r="O16" s="362">
        <f t="shared" si="18"/>
        <v>1.2195211163999886</v>
      </c>
      <c r="P16" s="365">
        <f t="shared" si="19"/>
        <v>0.91982911458570782</v>
      </c>
      <c r="Q16" s="366">
        <f t="shared" si="3"/>
        <v>26.035652999999996</v>
      </c>
      <c r="R16" s="367">
        <f t="shared" si="4"/>
        <v>0</v>
      </c>
      <c r="S16" s="368">
        <f>Q16+R16+U15</f>
        <v>28.226671027199956</v>
      </c>
      <c r="T16" s="369">
        <f t="shared" si="20"/>
        <v>24.35</v>
      </c>
      <c r="U16" s="368">
        <f t="shared" si="9"/>
        <v>3.8766710271999543</v>
      </c>
      <c r="V16" s="370">
        <f t="shared" si="10"/>
        <v>0.86265929044681555</v>
      </c>
      <c r="W16" s="698"/>
      <c r="X16" s="699"/>
      <c r="Y16" s="700"/>
      <c r="Z16" s="712"/>
      <c r="AA16" s="700"/>
      <c r="AB16" s="711"/>
    </row>
    <row r="17" spans="1:28" ht="20.100000000000001" customHeight="1">
      <c r="A17" s="216"/>
      <c r="B17" s="696"/>
      <c r="C17" s="697" t="str">
        <f>+Movimientos_LtpPep!B59</f>
        <v>RUBIO Y MAUAD LTDA.</v>
      </c>
      <c r="D17" s="351" t="s">
        <v>12</v>
      </c>
      <c r="E17" s="352">
        <f>+Movimientos_LtpPep!H59</f>
        <v>1.1088</v>
      </c>
      <c r="F17" s="353">
        <f>+Movimientos_LtpPep!J59</f>
        <v>0</v>
      </c>
      <c r="G17" s="58">
        <f>E17+F17</f>
        <v>1.1088</v>
      </c>
      <c r="H17" s="103"/>
      <c r="I17" s="58">
        <f t="shared" si="6"/>
        <v>1.1088</v>
      </c>
      <c r="J17" s="379">
        <v>0</v>
      </c>
      <c r="K17" s="356">
        <f>+Movimientos_LtpPep!I59</f>
        <v>3.5907200000000006</v>
      </c>
      <c r="L17" s="353">
        <f>+Movimientos_LtpPep!K59</f>
        <v>0</v>
      </c>
      <c r="M17" s="352">
        <f t="shared" ref="M17" si="47">K17+L17</f>
        <v>3.5907200000000006</v>
      </c>
      <c r="N17" s="373"/>
      <c r="O17" s="352">
        <f t="shared" si="18"/>
        <v>3.5907200000000006</v>
      </c>
      <c r="P17" s="380">
        <v>0</v>
      </c>
      <c r="Q17" s="374">
        <f t="shared" si="3"/>
        <v>4.6995200000000006</v>
      </c>
      <c r="R17" s="375">
        <f t="shared" si="4"/>
        <v>0</v>
      </c>
      <c r="S17" s="376">
        <f>Q17+R17</f>
        <v>4.6995200000000006</v>
      </c>
      <c r="T17" s="377">
        <f t="shared" si="20"/>
        <v>0</v>
      </c>
      <c r="U17" s="359">
        <f t="shared" si="9"/>
        <v>4.6995200000000006</v>
      </c>
      <c r="V17" s="361">
        <v>0</v>
      </c>
      <c r="W17" s="714">
        <f>Q17+Q18</f>
        <v>5.2214400000000003</v>
      </c>
      <c r="X17" s="699">
        <f>R17+R18</f>
        <v>0</v>
      </c>
      <c r="Y17" s="700">
        <f t="shared" ref="Y17" si="48">W17+X17</f>
        <v>5.2214400000000003</v>
      </c>
      <c r="Z17" s="712">
        <f>T17+T18</f>
        <v>0</v>
      </c>
      <c r="AA17" s="700">
        <f t="shared" ref="AA17" si="49">Y17-Z17</f>
        <v>5.2214400000000003</v>
      </c>
      <c r="AB17" s="711">
        <v>0</v>
      </c>
    </row>
    <row r="18" spans="1:28" ht="20.100000000000001" customHeight="1">
      <c r="A18" s="216"/>
      <c r="B18" s="696"/>
      <c r="C18" s="697"/>
      <c r="D18" s="351" t="s">
        <v>10</v>
      </c>
      <c r="E18" s="352">
        <f>+Movimientos_LtpPep!H60</f>
        <v>0.12320000000000002</v>
      </c>
      <c r="F18" s="353">
        <f>+Movimientos_LtpPep!J60</f>
        <v>0</v>
      </c>
      <c r="G18" s="18">
        <f>E18+F18+I17</f>
        <v>1.232</v>
      </c>
      <c r="H18" s="364"/>
      <c r="I18" s="18">
        <f>G18-H18</f>
        <v>1.232</v>
      </c>
      <c r="J18" s="363">
        <v>0</v>
      </c>
      <c r="K18" s="356">
        <f>+Movimientos_LtpPep!I60</f>
        <v>0.39872000000000002</v>
      </c>
      <c r="L18" s="353">
        <f>+Movimientos_LtpPep!K60</f>
        <v>0</v>
      </c>
      <c r="M18" s="362">
        <f t="shared" ref="M18" si="50">K18+L18+O17</f>
        <v>3.9894400000000005</v>
      </c>
      <c r="N18" s="381"/>
      <c r="O18" s="362">
        <f t="shared" si="18"/>
        <v>3.9894400000000005</v>
      </c>
      <c r="P18" s="365">
        <v>0</v>
      </c>
      <c r="Q18" s="366">
        <f t="shared" si="3"/>
        <v>0.52192000000000005</v>
      </c>
      <c r="R18" s="367">
        <f t="shared" si="4"/>
        <v>0</v>
      </c>
      <c r="S18" s="368">
        <f>Q18+R18+U17</f>
        <v>5.2214400000000003</v>
      </c>
      <c r="T18" s="369">
        <f t="shared" si="20"/>
        <v>0</v>
      </c>
      <c r="U18" s="368">
        <f t="shared" si="9"/>
        <v>5.2214400000000003</v>
      </c>
      <c r="V18" s="370">
        <v>0</v>
      </c>
      <c r="W18" s="714"/>
      <c r="X18" s="699"/>
      <c r="Y18" s="700"/>
      <c r="Z18" s="715"/>
      <c r="AA18" s="700"/>
      <c r="AB18" s="711"/>
    </row>
    <row r="19" spans="1:28" ht="20.100000000000001" customHeight="1">
      <c r="A19" s="216"/>
      <c r="B19" s="696"/>
      <c r="C19" s="697" t="str">
        <f>+Movimientos_LtpPep!B61</f>
        <v>PESQ. QUINTERO S.A.</v>
      </c>
      <c r="D19" s="351" t="s">
        <v>12</v>
      </c>
      <c r="E19" s="352">
        <f>+Movimientos_LtpPep!H61</f>
        <v>4.3411054500000006</v>
      </c>
      <c r="F19" s="353">
        <f>+Movimientos_LtpPep!J61</f>
        <v>0</v>
      </c>
      <c r="G19" s="371">
        <f t="shared" ref="G19" si="51">E19+F19</f>
        <v>4.3411054500000006</v>
      </c>
      <c r="H19" s="373"/>
      <c r="I19" s="371">
        <f t="shared" si="6"/>
        <v>4.3411054500000006</v>
      </c>
      <c r="J19" s="355">
        <v>0</v>
      </c>
      <c r="K19" s="356">
        <f>+Movimientos_LtpPep!I61</f>
        <v>14.058165730000001</v>
      </c>
      <c r="L19" s="353">
        <f>+Movimientos_LtpPep!K61</f>
        <v>0</v>
      </c>
      <c r="M19" s="352">
        <f t="shared" ref="M19" si="52">K19+L19</f>
        <v>14.058165730000001</v>
      </c>
      <c r="N19" s="373"/>
      <c r="O19" s="352">
        <f t="shared" si="18"/>
        <v>14.058165730000001</v>
      </c>
      <c r="P19" s="357">
        <v>0</v>
      </c>
      <c r="Q19" s="374">
        <f t="shared" si="3"/>
        <v>18.39927118</v>
      </c>
      <c r="R19" s="375">
        <f t="shared" si="4"/>
        <v>0</v>
      </c>
      <c r="S19" s="376">
        <f t="shared" si="8"/>
        <v>18.39927118</v>
      </c>
      <c r="T19" s="377">
        <f t="shared" si="20"/>
        <v>0</v>
      </c>
      <c r="U19" s="359">
        <f t="shared" si="9"/>
        <v>18.39927118</v>
      </c>
      <c r="V19" s="361">
        <v>0</v>
      </c>
      <c r="W19" s="698">
        <f t="shared" ref="W19:X19" si="53">Q19+Q20</f>
        <v>20.44266021</v>
      </c>
      <c r="X19" s="699">
        <f t="shared" si="53"/>
        <v>0</v>
      </c>
      <c r="Y19" s="700">
        <f t="shared" ref="Y19" si="54">W19+X19</f>
        <v>20.44266021</v>
      </c>
      <c r="Z19" s="712">
        <f t="shared" ref="Z19" si="55">T19+T20</f>
        <v>0</v>
      </c>
      <c r="AA19" s="700">
        <f t="shared" ref="AA19" si="56">Y19-Z19</f>
        <v>20.44266021</v>
      </c>
      <c r="AB19" s="711">
        <v>0</v>
      </c>
    </row>
    <row r="20" spans="1:28" ht="20.100000000000001" customHeight="1">
      <c r="A20" s="216"/>
      <c r="B20" s="696"/>
      <c r="C20" s="697"/>
      <c r="D20" s="351" t="s">
        <v>10</v>
      </c>
      <c r="E20" s="352">
        <f>+Movimientos_LtpPep!H62</f>
        <v>0.48234505000000005</v>
      </c>
      <c r="F20" s="353">
        <f>+Movimientos_LtpPep!J62</f>
        <v>0</v>
      </c>
      <c r="G20" s="362">
        <f t="shared" ref="G20" si="57">E20+F20+I19</f>
        <v>4.8234505000000008</v>
      </c>
      <c r="H20" s="364"/>
      <c r="I20" s="362">
        <f t="shared" si="6"/>
        <v>4.8234505000000008</v>
      </c>
      <c r="J20" s="363">
        <v>0</v>
      </c>
      <c r="K20" s="356">
        <f>+Movimientos_LtpPep!I62</f>
        <v>1.56104398</v>
      </c>
      <c r="L20" s="353">
        <f>+Movimientos_LtpPep!K62</f>
        <v>0</v>
      </c>
      <c r="M20" s="362">
        <f t="shared" ref="M20" si="58">K20+L20+O19</f>
        <v>15.61920971</v>
      </c>
      <c r="N20" s="364"/>
      <c r="O20" s="362">
        <f t="shared" si="18"/>
        <v>15.61920971</v>
      </c>
      <c r="P20" s="365">
        <v>0</v>
      </c>
      <c r="Q20" s="366">
        <f t="shared" si="3"/>
        <v>2.0433890300000002</v>
      </c>
      <c r="R20" s="367">
        <f t="shared" si="4"/>
        <v>0</v>
      </c>
      <c r="S20" s="368">
        <f>Q20+R20+U19</f>
        <v>20.44266021</v>
      </c>
      <c r="T20" s="369">
        <f t="shared" si="20"/>
        <v>0</v>
      </c>
      <c r="U20" s="368">
        <f t="shared" si="9"/>
        <v>20.44266021</v>
      </c>
      <c r="V20" s="370">
        <v>0</v>
      </c>
      <c r="W20" s="698"/>
      <c r="X20" s="699"/>
      <c r="Y20" s="700"/>
      <c r="Z20" s="712"/>
      <c r="AA20" s="700"/>
      <c r="AB20" s="711"/>
    </row>
    <row r="21" spans="1:28" ht="20.100000000000001" customHeight="1">
      <c r="A21" s="216"/>
      <c r="B21" s="696"/>
      <c r="C21" s="697" t="str">
        <f>+Movimientos_LtpPep!B63</f>
        <v>SOC. PESQ. ENFEMAR LTDA.</v>
      </c>
      <c r="D21" s="351" t="s">
        <v>12</v>
      </c>
      <c r="E21" s="352">
        <f>+Movimientos_LtpPep!H63</f>
        <v>3.1610699999999999E-2</v>
      </c>
      <c r="F21" s="353">
        <f>+Movimientos_LtpPep!J63</f>
        <v>0</v>
      </c>
      <c r="G21" s="371">
        <f t="shared" ref="G21" si="59">E21+F21</f>
        <v>3.1610699999999999E-2</v>
      </c>
      <c r="H21" s="373"/>
      <c r="I21" s="371">
        <f t="shared" si="6"/>
        <v>3.1610699999999999E-2</v>
      </c>
      <c r="J21" s="355">
        <f t="shared" si="2"/>
        <v>0</v>
      </c>
      <c r="K21" s="356">
        <f>+Movimientos_LtpPep!I63</f>
        <v>0.10236758</v>
      </c>
      <c r="L21" s="353">
        <f>+Movimientos_LtpPep!K63</f>
        <v>0</v>
      </c>
      <c r="M21" s="352">
        <f t="shared" ref="M21" si="60">K21+L21</f>
        <v>0.10236758</v>
      </c>
      <c r="N21" s="373"/>
      <c r="O21" s="352">
        <f t="shared" si="18"/>
        <v>0.10236758</v>
      </c>
      <c r="P21" s="357">
        <f t="shared" si="19"/>
        <v>0</v>
      </c>
      <c r="Q21" s="374">
        <f t="shared" si="3"/>
        <v>0.13397828000000001</v>
      </c>
      <c r="R21" s="375">
        <f t="shared" si="4"/>
        <v>0</v>
      </c>
      <c r="S21" s="376">
        <f t="shared" si="8"/>
        <v>0.13397828000000001</v>
      </c>
      <c r="T21" s="377">
        <f t="shared" si="20"/>
        <v>0</v>
      </c>
      <c r="U21" s="359">
        <f t="shared" si="9"/>
        <v>0.13397828000000001</v>
      </c>
      <c r="V21" s="361">
        <f t="shared" si="10"/>
        <v>0</v>
      </c>
      <c r="W21" s="698">
        <f t="shared" ref="W21:X21" si="61">Q21+Q22</f>
        <v>0.14885766</v>
      </c>
      <c r="X21" s="699">
        <f t="shared" si="61"/>
        <v>0</v>
      </c>
      <c r="Y21" s="700">
        <f t="shared" ref="Y21" si="62">W21+X21</f>
        <v>0.14885766</v>
      </c>
      <c r="Z21" s="712">
        <f t="shared" ref="Z21" si="63">T21+T22</f>
        <v>0</v>
      </c>
      <c r="AA21" s="700">
        <f t="shared" ref="AA21" si="64">Y21-Z21</f>
        <v>0.14885766</v>
      </c>
      <c r="AB21" s="711">
        <f t="shared" ref="AB21" si="65">Z21/Y21</f>
        <v>0</v>
      </c>
    </row>
    <row r="22" spans="1:28" ht="20.100000000000001" customHeight="1">
      <c r="A22" s="216"/>
      <c r="B22" s="696"/>
      <c r="C22" s="697"/>
      <c r="D22" s="351" t="s">
        <v>10</v>
      </c>
      <c r="E22" s="352">
        <f>+Movimientos_LtpPep!H64</f>
        <v>3.5123000000000003E-3</v>
      </c>
      <c r="F22" s="353">
        <f>+Movimientos_LtpPep!J64</f>
        <v>0</v>
      </c>
      <c r="G22" s="362">
        <f t="shared" ref="G22" si="66">E22+F22+I21</f>
        <v>3.5123000000000001E-2</v>
      </c>
      <c r="H22" s="364"/>
      <c r="I22" s="362">
        <f t="shared" si="6"/>
        <v>3.5123000000000001E-2</v>
      </c>
      <c r="J22" s="363">
        <f t="shared" si="2"/>
        <v>0</v>
      </c>
      <c r="K22" s="356">
        <f>+Movimientos_LtpPep!I64</f>
        <v>1.136708E-2</v>
      </c>
      <c r="L22" s="353">
        <f>+Movimientos_LtpPep!K64</f>
        <v>0</v>
      </c>
      <c r="M22" s="362">
        <f t="shared" ref="M22" si="67">K22+L22+O21</f>
        <v>0.11373466</v>
      </c>
      <c r="N22" s="364"/>
      <c r="O22" s="362">
        <f t="shared" si="18"/>
        <v>0.11373466</v>
      </c>
      <c r="P22" s="365">
        <f t="shared" si="19"/>
        <v>0</v>
      </c>
      <c r="Q22" s="366">
        <f t="shared" si="3"/>
        <v>1.4879380000000001E-2</v>
      </c>
      <c r="R22" s="367">
        <f t="shared" si="4"/>
        <v>0</v>
      </c>
      <c r="S22" s="368">
        <f>Q22+R22+U21</f>
        <v>0.14885766</v>
      </c>
      <c r="T22" s="369">
        <f t="shared" si="20"/>
        <v>0</v>
      </c>
      <c r="U22" s="368">
        <f t="shared" si="9"/>
        <v>0.14885766</v>
      </c>
      <c r="V22" s="370">
        <f t="shared" si="10"/>
        <v>0</v>
      </c>
      <c r="W22" s="698"/>
      <c r="X22" s="699"/>
      <c r="Y22" s="700"/>
      <c r="Z22" s="712"/>
      <c r="AA22" s="700"/>
      <c r="AB22" s="711"/>
    </row>
    <row r="23" spans="1:28" ht="20.100000000000001" customHeight="1">
      <c r="A23" s="216"/>
      <c r="B23" s="696"/>
      <c r="C23" s="697" t="str">
        <f>+Movimientos_LtpPep!B65</f>
        <v xml:space="preserve">PESQ. ANTONIO CRUZ CORDOVA </v>
      </c>
      <c r="D23" s="351" t="s">
        <v>12</v>
      </c>
      <c r="E23" s="352">
        <f>+Movimientos_LtpPep!H65</f>
        <v>8.1674999999999998E-2</v>
      </c>
      <c r="F23" s="353">
        <f>+Movimientos_LtpPep!J65</f>
        <v>0</v>
      </c>
      <c r="G23" s="371">
        <f t="shared" ref="G23" si="68">E23+F23</f>
        <v>8.1674999999999998E-2</v>
      </c>
      <c r="H23" s="373"/>
      <c r="I23" s="371">
        <f t="shared" si="6"/>
        <v>8.1674999999999998E-2</v>
      </c>
      <c r="J23" s="355">
        <f t="shared" si="2"/>
        <v>0</v>
      </c>
      <c r="K23" s="356">
        <f>+Movimientos_LtpPep!I65</f>
        <v>0.26449499999999998</v>
      </c>
      <c r="L23" s="353">
        <f>+Movimientos_LtpPep!K65</f>
        <v>0</v>
      </c>
      <c r="M23" s="352">
        <f t="shared" ref="M23" si="69">K23+L23</f>
        <v>0.26449499999999998</v>
      </c>
      <c r="N23" s="373"/>
      <c r="O23" s="352">
        <f t="shared" si="18"/>
        <v>0.26449499999999998</v>
      </c>
      <c r="P23" s="357">
        <f t="shared" si="19"/>
        <v>0</v>
      </c>
      <c r="Q23" s="374">
        <f t="shared" si="3"/>
        <v>0.34616999999999998</v>
      </c>
      <c r="R23" s="375">
        <f t="shared" si="4"/>
        <v>0</v>
      </c>
      <c r="S23" s="376">
        <f t="shared" si="8"/>
        <v>0.34616999999999998</v>
      </c>
      <c r="T23" s="377">
        <f t="shared" si="20"/>
        <v>0</v>
      </c>
      <c r="U23" s="359">
        <f t="shared" si="9"/>
        <v>0.34616999999999998</v>
      </c>
      <c r="V23" s="361">
        <f t="shared" si="10"/>
        <v>0</v>
      </c>
      <c r="W23" s="698">
        <f t="shared" ref="W23" si="70">Q23+Q24</f>
        <v>0.38461499999999998</v>
      </c>
      <c r="X23" s="699">
        <f>R23+R24</f>
        <v>0</v>
      </c>
      <c r="Y23" s="700">
        <f t="shared" ref="Y23" si="71">W23+X23</f>
        <v>0.38461499999999998</v>
      </c>
      <c r="Z23" s="712">
        <f t="shared" ref="Z23" si="72">T23+T24</f>
        <v>0</v>
      </c>
      <c r="AA23" s="700">
        <f t="shared" ref="AA23" si="73">Y23-Z23</f>
        <v>0.38461499999999998</v>
      </c>
      <c r="AB23" s="711">
        <f t="shared" ref="AB23" si="74">Z23/Y23</f>
        <v>0</v>
      </c>
    </row>
    <row r="24" spans="1:28" ht="20.100000000000001" customHeight="1">
      <c r="A24" s="216"/>
      <c r="B24" s="696"/>
      <c r="C24" s="697"/>
      <c r="D24" s="351" t="s">
        <v>10</v>
      </c>
      <c r="E24" s="352">
        <f>+Movimientos_LtpPep!H66</f>
        <v>9.0749999999999997E-3</v>
      </c>
      <c r="F24" s="353">
        <f>+Movimientos_LtpPep!J66</f>
        <v>0</v>
      </c>
      <c r="G24" s="362">
        <f t="shared" ref="G24" si="75">E24+F24+I23</f>
        <v>9.0749999999999997E-2</v>
      </c>
      <c r="H24" s="364"/>
      <c r="I24" s="362">
        <f t="shared" si="6"/>
        <v>9.0749999999999997E-2</v>
      </c>
      <c r="J24" s="363">
        <f t="shared" si="2"/>
        <v>0</v>
      </c>
      <c r="K24" s="356">
        <f>+Movimientos_LtpPep!I66</f>
        <v>2.937E-2</v>
      </c>
      <c r="L24" s="353">
        <f>+Movimientos_LtpPep!K66</f>
        <v>0</v>
      </c>
      <c r="M24" s="362">
        <f t="shared" ref="M24" si="76">K24+L24+O23</f>
        <v>0.29386499999999999</v>
      </c>
      <c r="N24" s="364"/>
      <c r="O24" s="362">
        <f t="shared" si="18"/>
        <v>0.29386499999999999</v>
      </c>
      <c r="P24" s="365">
        <f t="shared" si="19"/>
        <v>0</v>
      </c>
      <c r="Q24" s="366">
        <f t="shared" si="3"/>
        <v>3.8445E-2</v>
      </c>
      <c r="R24" s="367">
        <f t="shared" si="4"/>
        <v>0</v>
      </c>
      <c r="S24" s="368">
        <f>Q24+R24+U23</f>
        <v>0.38461499999999998</v>
      </c>
      <c r="T24" s="369">
        <f t="shared" si="20"/>
        <v>0</v>
      </c>
      <c r="U24" s="368">
        <f t="shared" si="9"/>
        <v>0.38461499999999998</v>
      </c>
      <c r="V24" s="370">
        <f t="shared" si="10"/>
        <v>0</v>
      </c>
      <c r="W24" s="698"/>
      <c r="X24" s="699"/>
      <c r="Y24" s="700"/>
      <c r="Z24" s="712"/>
      <c r="AA24" s="700"/>
      <c r="AB24" s="711"/>
    </row>
    <row r="25" spans="1:28" ht="20.100000000000001" customHeight="1">
      <c r="A25" s="216"/>
      <c r="B25" s="696"/>
      <c r="C25" s="697" t="str">
        <f>+Movimientos_LtpPep!B67</f>
        <v>PACIFICBLU SpA</v>
      </c>
      <c r="D25" s="351" t="s">
        <v>12</v>
      </c>
      <c r="E25" s="352">
        <f>+Movimientos_LtpPep!H67</f>
        <v>157.99149728999998</v>
      </c>
      <c r="F25" s="353">
        <f>+Movimientos_LtpPep!J67</f>
        <v>-174.32530024800002</v>
      </c>
      <c r="G25" s="371">
        <f t="shared" ref="G25" si="77">E25+F25</f>
        <v>-16.333802958000035</v>
      </c>
      <c r="H25" s="373"/>
      <c r="I25" s="371">
        <f t="shared" si="6"/>
        <v>-16.333802958000035</v>
      </c>
      <c r="J25" s="379">
        <f t="shared" si="2"/>
        <v>0</v>
      </c>
      <c r="K25" s="356">
        <f>+Movimientos_LtpPep!I67</f>
        <v>511.63711142599993</v>
      </c>
      <c r="L25" s="353">
        <f>+Movimientos_LtpPep!K67</f>
        <v>-564.49701771215996</v>
      </c>
      <c r="M25" s="352">
        <f t="shared" ref="M25" si="78">K25+L25</f>
        <v>-52.859906286160026</v>
      </c>
      <c r="N25" s="373"/>
      <c r="O25" s="352">
        <f t="shared" si="18"/>
        <v>-52.859906286160026</v>
      </c>
      <c r="P25" s="357">
        <f t="shared" si="19"/>
        <v>0</v>
      </c>
      <c r="Q25" s="374">
        <f t="shared" si="3"/>
        <v>669.62860871599992</v>
      </c>
      <c r="R25" s="375">
        <f t="shared" si="4"/>
        <v>-738.82231796016003</v>
      </c>
      <c r="S25" s="376">
        <f t="shared" si="8"/>
        <v>-69.193709244160118</v>
      </c>
      <c r="T25" s="377">
        <f t="shared" si="20"/>
        <v>0</v>
      </c>
      <c r="U25" s="359">
        <f t="shared" si="9"/>
        <v>-69.193709244160118</v>
      </c>
      <c r="V25" s="361">
        <f t="shared" si="10"/>
        <v>0</v>
      </c>
      <c r="W25" s="700">
        <f t="shared" ref="W25:X25" si="79">Q25+Q26</f>
        <v>743.99632360199985</v>
      </c>
      <c r="X25" s="699">
        <f t="shared" si="79"/>
        <v>-738.82231796016003</v>
      </c>
      <c r="Y25" s="700">
        <f t="shared" ref="Y25" si="80">W25+X25</f>
        <v>5.1740056418398126</v>
      </c>
      <c r="Z25" s="712">
        <f t="shared" ref="Z25" si="81">T25+T26</f>
        <v>0</v>
      </c>
      <c r="AA25" s="700">
        <f t="shared" ref="AA25" si="82">Y25-Z25</f>
        <v>5.1740056418398126</v>
      </c>
      <c r="AB25" s="711">
        <f t="shared" ref="AB25" si="83">Z25/Y25</f>
        <v>0</v>
      </c>
    </row>
    <row r="26" spans="1:28" ht="20.100000000000001" customHeight="1">
      <c r="A26" s="216"/>
      <c r="B26" s="696"/>
      <c r="C26" s="697"/>
      <c r="D26" s="351" t="s">
        <v>10</v>
      </c>
      <c r="E26" s="352">
        <f>+Movimientos_LtpPep!H68</f>
        <v>17.554610809999996</v>
      </c>
      <c r="F26" s="353">
        <f>+Movimientos_LtpPep!J68</f>
        <v>0</v>
      </c>
      <c r="G26" s="362">
        <f t="shared" ref="G26" si="84">E26+F26+I25</f>
        <v>1.220807851999961</v>
      </c>
      <c r="H26" s="364"/>
      <c r="I26" s="362">
        <f t="shared" si="6"/>
        <v>1.220807851999961</v>
      </c>
      <c r="J26" s="363">
        <f t="shared" si="2"/>
        <v>0</v>
      </c>
      <c r="K26" s="356">
        <f>+Movimientos_LtpPep!I68</f>
        <v>56.813104075999995</v>
      </c>
      <c r="L26" s="353">
        <f>+Movimientos_LtpPep!K68</f>
        <v>0</v>
      </c>
      <c r="M26" s="362">
        <f t="shared" ref="M26" si="85">K26+L26+O25</f>
        <v>3.9531977898399688</v>
      </c>
      <c r="N26" s="364"/>
      <c r="O26" s="362">
        <f t="shared" si="18"/>
        <v>3.9531977898399688</v>
      </c>
      <c r="P26" s="365">
        <f t="shared" si="19"/>
        <v>0</v>
      </c>
      <c r="Q26" s="366">
        <f t="shared" si="3"/>
        <v>74.367714885999987</v>
      </c>
      <c r="R26" s="367">
        <f t="shared" si="4"/>
        <v>0</v>
      </c>
      <c r="S26" s="368">
        <f>Q26+R26+U25</f>
        <v>5.1740056418398694</v>
      </c>
      <c r="T26" s="369">
        <f t="shared" si="20"/>
        <v>0</v>
      </c>
      <c r="U26" s="368">
        <f t="shared" si="9"/>
        <v>5.1740056418398694</v>
      </c>
      <c r="V26" s="370">
        <f t="shared" si="10"/>
        <v>0</v>
      </c>
      <c r="W26" s="700"/>
      <c r="X26" s="699"/>
      <c r="Y26" s="700"/>
      <c r="Z26" s="712"/>
      <c r="AA26" s="700"/>
      <c r="AB26" s="711"/>
    </row>
    <row r="27" spans="1:28" ht="20.100000000000001" customHeight="1">
      <c r="A27" s="216"/>
      <c r="B27" s="696"/>
      <c r="C27" s="697" t="str">
        <f>+Movimientos_LtpPep!B69</f>
        <v xml:space="preserve">ANTONIO DA VENEZIA RETAMALES </v>
      </c>
      <c r="D27" s="351" t="s">
        <v>12</v>
      </c>
      <c r="E27" s="352">
        <f>+Movimientos_LtpPep!H69</f>
        <v>8.9496000000000003E-3</v>
      </c>
      <c r="F27" s="353">
        <f>+Movimientos_LtpPep!J69</f>
        <v>0</v>
      </c>
      <c r="G27" s="15">
        <f>E27+F27</f>
        <v>8.9496000000000003E-3</v>
      </c>
      <c r="H27" s="373"/>
      <c r="I27" s="15">
        <f t="shared" si="6"/>
        <v>8.9496000000000003E-3</v>
      </c>
      <c r="J27" s="355">
        <v>0</v>
      </c>
      <c r="K27" s="356">
        <f>+Movimientos_LtpPep!I69</f>
        <v>2.8982239999999999E-2</v>
      </c>
      <c r="L27" s="353">
        <f>+Movimientos_LtpPep!K69</f>
        <v>0</v>
      </c>
      <c r="M27" s="352">
        <f t="shared" ref="M27" si="86">K27+L27</f>
        <v>2.8982239999999999E-2</v>
      </c>
      <c r="N27" s="382"/>
      <c r="O27" s="352">
        <f t="shared" si="18"/>
        <v>2.8982239999999999E-2</v>
      </c>
      <c r="P27" s="357">
        <v>0</v>
      </c>
      <c r="Q27" s="358">
        <f t="shared" si="3"/>
        <v>3.7931840000000001E-2</v>
      </c>
      <c r="R27" s="375">
        <f t="shared" si="4"/>
        <v>0</v>
      </c>
      <c r="S27" s="359">
        <f>Q27+R27</f>
        <v>3.7931840000000001E-2</v>
      </c>
      <c r="T27" s="360">
        <f t="shared" si="20"/>
        <v>0</v>
      </c>
      <c r="U27" s="359">
        <f t="shared" si="9"/>
        <v>3.7931840000000001E-2</v>
      </c>
      <c r="V27" s="361">
        <v>0</v>
      </c>
      <c r="W27" s="700">
        <f>Q27+Q28</f>
        <v>4.2144479999999998E-2</v>
      </c>
      <c r="X27" s="699">
        <f>R27+R28</f>
        <v>0</v>
      </c>
      <c r="Y27" s="700">
        <f t="shared" ref="Y27" si="87">W27+X27</f>
        <v>4.2144479999999998E-2</v>
      </c>
      <c r="Z27" s="715">
        <f>T27+T28</f>
        <v>0</v>
      </c>
      <c r="AA27" s="700">
        <f t="shared" ref="AA27" si="88">Y27-Z27</f>
        <v>4.2144479999999998E-2</v>
      </c>
      <c r="AB27" s="711">
        <v>0</v>
      </c>
    </row>
    <row r="28" spans="1:28" ht="20.100000000000001" customHeight="1">
      <c r="A28" s="216"/>
      <c r="B28" s="696"/>
      <c r="C28" s="697"/>
      <c r="D28" s="351" t="s">
        <v>10</v>
      </c>
      <c r="E28" s="352">
        <f>+Movimientos_LtpPep!H70</f>
        <v>9.9439999999999988E-4</v>
      </c>
      <c r="F28" s="353">
        <f>+Movimientos_LtpPep!J70</f>
        <v>0</v>
      </c>
      <c r="G28" s="15">
        <f>E28+F28+I27</f>
        <v>9.9439999999999997E-3</v>
      </c>
      <c r="H28" s="383"/>
      <c r="I28" s="15">
        <f>G28-H28</f>
        <v>9.9439999999999997E-3</v>
      </c>
      <c r="J28" s="355">
        <v>0</v>
      </c>
      <c r="K28" s="356">
        <f>+Movimientos_LtpPep!I70</f>
        <v>3.2182399999999998E-3</v>
      </c>
      <c r="L28" s="353">
        <f>+Movimientos_LtpPep!K70</f>
        <v>0</v>
      </c>
      <c r="M28" s="362">
        <f t="shared" ref="M28" si="89">K28+L28+O27</f>
        <v>3.2200479999999997E-2</v>
      </c>
      <c r="N28" s="382"/>
      <c r="O28" s="362">
        <f t="shared" si="18"/>
        <v>3.2200479999999997E-2</v>
      </c>
      <c r="P28" s="365">
        <v>0</v>
      </c>
      <c r="Q28" s="358">
        <f t="shared" si="3"/>
        <v>4.2126400000000001E-3</v>
      </c>
      <c r="R28" s="367">
        <f t="shared" si="4"/>
        <v>0</v>
      </c>
      <c r="S28" s="359">
        <f>Q28+R28+U27</f>
        <v>4.2144479999999998E-2</v>
      </c>
      <c r="T28" s="360">
        <f t="shared" si="20"/>
        <v>0</v>
      </c>
      <c r="U28" s="368">
        <f t="shared" si="9"/>
        <v>4.2144479999999998E-2</v>
      </c>
      <c r="V28" s="370">
        <v>0</v>
      </c>
      <c r="W28" s="700"/>
      <c r="X28" s="699"/>
      <c r="Y28" s="700"/>
      <c r="Z28" s="715"/>
      <c r="AA28" s="700"/>
      <c r="AB28" s="711"/>
    </row>
    <row r="29" spans="1:28" ht="20.100000000000001" customHeight="1">
      <c r="A29" s="216"/>
      <c r="B29" s="696"/>
      <c r="C29" s="697" t="str">
        <f>+Movimientos_LtpPep!B71</f>
        <v>SOC. PESQ. LANDES S.A.</v>
      </c>
      <c r="D29" s="351" t="s">
        <v>12</v>
      </c>
      <c r="E29" s="352">
        <f>+Movimientos_LtpPep!H71</f>
        <v>0.495</v>
      </c>
      <c r="F29" s="353">
        <f>+Movimientos_LtpPep!J71</f>
        <v>0</v>
      </c>
      <c r="G29" s="371">
        <f>E29+F29</f>
        <v>0.495</v>
      </c>
      <c r="H29" s="373"/>
      <c r="I29" s="371">
        <f t="shared" ref="I29:I34" si="90">G29-H29</f>
        <v>0.495</v>
      </c>
      <c r="J29" s="379">
        <f t="shared" ref="J29:J30" si="91">H29/G29</f>
        <v>0</v>
      </c>
      <c r="K29" s="356">
        <f>+Movimientos_LtpPep!I71</f>
        <v>1.603</v>
      </c>
      <c r="L29" s="353">
        <f>+Movimientos_LtpPep!K71</f>
        <v>0</v>
      </c>
      <c r="M29" s="352">
        <f t="shared" ref="M29" si="92">K29+L29</f>
        <v>1.603</v>
      </c>
      <c r="N29" s="373"/>
      <c r="O29" s="352">
        <f>M29-N29</f>
        <v>1.603</v>
      </c>
      <c r="P29" s="357">
        <f t="shared" ref="P29:P34" si="93">N29/M29</f>
        <v>0</v>
      </c>
      <c r="Q29" s="374">
        <f t="shared" si="3"/>
        <v>2.0979999999999999</v>
      </c>
      <c r="R29" s="375">
        <f t="shared" si="4"/>
        <v>0</v>
      </c>
      <c r="S29" s="376">
        <f>Q29+R29</f>
        <v>2.0979999999999999</v>
      </c>
      <c r="T29" s="377">
        <f t="shared" si="20"/>
        <v>0</v>
      </c>
      <c r="U29" s="359">
        <f t="shared" si="9"/>
        <v>2.0979999999999999</v>
      </c>
      <c r="V29" s="361">
        <f t="shared" ref="V29:V30" si="94">T29/S29</f>
        <v>0</v>
      </c>
      <c r="W29" s="698">
        <f>Q29+Q30</f>
        <v>2.331</v>
      </c>
      <c r="X29" s="699">
        <f>R29+R30</f>
        <v>0</v>
      </c>
      <c r="Y29" s="700">
        <f t="shared" ref="Y29" si="95">W29+X29</f>
        <v>2.331</v>
      </c>
      <c r="Z29" s="712">
        <f>T29+T30</f>
        <v>0</v>
      </c>
      <c r="AA29" s="700">
        <f t="shared" ref="AA29" si="96">Y29-Z29</f>
        <v>2.331</v>
      </c>
      <c r="AB29" s="711">
        <f t="shared" ref="AB29" si="97">Z29/Y29</f>
        <v>0</v>
      </c>
    </row>
    <row r="30" spans="1:28" ht="20.100000000000001" customHeight="1">
      <c r="A30" s="216"/>
      <c r="B30" s="696"/>
      <c r="C30" s="697"/>
      <c r="D30" s="351" t="s">
        <v>10</v>
      </c>
      <c r="E30" s="352">
        <f>+Movimientos_LtpPep!H72</f>
        <v>5.5E-2</v>
      </c>
      <c r="F30" s="353">
        <f>+Movimientos_LtpPep!J72</f>
        <v>0</v>
      </c>
      <c r="G30" s="362">
        <f>E30+F30+I29</f>
        <v>0.55000000000000004</v>
      </c>
      <c r="H30" s="364"/>
      <c r="I30" s="362">
        <f t="shared" si="90"/>
        <v>0.55000000000000004</v>
      </c>
      <c r="J30" s="363">
        <f t="shared" si="91"/>
        <v>0</v>
      </c>
      <c r="K30" s="356">
        <f>+Movimientos_LtpPep!I72</f>
        <v>0.17799999999999999</v>
      </c>
      <c r="L30" s="353">
        <f>+Movimientos_LtpPep!K72</f>
        <v>0</v>
      </c>
      <c r="M30" s="362">
        <f t="shared" ref="M30" si="98">K30+L30+O29</f>
        <v>1.7809999999999999</v>
      </c>
      <c r="N30" s="364"/>
      <c r="O30" s="362">
        <f t="shared" si="18"/>
        <v>1.7809999999999999</v>
      </c>
      <c r="P30" s="365">
        <f t="shared" si="93"/>
        <v>0</v>
      </c>
      <c r="Q30" s="366">
        <f t="shared" si="3"/>
        <v>0.23299999999999998</v>
      </c>
      <c r="R30" s="367">
        <f t="shared" si="4"/>
        <v>0</v>
      </c>
      <c r="S30" s="368">
        <f>Q30+R30+U29</f>
        <v>2.331</v>
      </c>
      <c r="T30" s="369">
        <f t="shared" si="20"/>
        <v>0</v>
      </c>
      <c r="U30" s="368">
        <f t="shared" si="9"/>
        <v>2.331</v>
      </c>
      <c r="V30" s="370">
        <f t="shared" si="94"/>
        <v>0</v>
      </c>
      <c r="W30" s="698"/>
      <c r="X30" s="699"/>
      <c r="Y30" s="700"/>
      <c r="Z30" s="712"/>
      <c r="AA30" s="700"/>
      <c r="AB30" s="711"/>
    </row>
    <row r="31" spans="1:28" ht="20.100000000000001" customHeight="1">
      <c r="A31" s="216"/>
      <c r="B31" s="696"/>
      <c r="C31" s="697" t="str">
        <f>+Movimientos_LtpPep!B73</f>
        <v>GONZALO ZUÑIGA ROMERO</v>
      </c>
      <c r="D31" s="351" t="s">
        <v>12</v>
      </c>
      <c r="E31" s="352">
        <f>+Movimientos_LtpPep!H73</f>
        <v>1.0538549999999999E-2</v>
      </c>
      <c r="F31" s="353">
        <f>+Movimientos_LtpPep!J73</f>
        <v>0</v>
      </c>
      <c r="G31" s="371">
        <f>E31+F31</f>
        <v>1.0538549999999999E-2</v>
      </c>
      <c r="H31" s="373"/>
      <c r="I31" s="371">
        <f t="shared" ref="I31:I32" si="99">G31-H31</f>
        <v>1.0538549999999999E-2</v>
      </c>
      <c r="J31" s="379">
        <f t="shared" ref="J31:J32" si="100">H31/G31</f>
        <v>0</v>
      </c>
      <c r="K31" s="356">
        <f>+Movimientos_LtpPep!I73</f>
        <v>3.4127869999999998E-2</v>
      </c>
      <c r="L31" s="353">
        <f>+Movimientos_LtpPep!K73</f>
        <v>0</v>
      </c>
      <c r="M31" s="352">
        <f t="shared" ref="M31" si="101">K31+L31</f>
        <v>3.4127869999999998E-2</v>
      </c>
      <c r="N31" s="373"/>
      <c r="O31" s="352">
        <f>M31-N31</f>
        <v>3.4127869999999998E-2</v>
      </c>
      <c r="P31" s="357">
        <f t="shared" ref="P31:P32" si="102">N31/M31</f>
        <v>0</v>
      </c>
      <c r="Q31" s="374">
        <f t="shared" ref="Q31:Q32" si="103">+E31+K31</f>
        <v>4.4666419999999998E-2</v>
      </c>
      <c r="R31" s="375">
        <f t="shared" ref="R31:R32" si="104">F31+L31</f>
        <v>0</v>
      </c>
      <c r="S31" s="376">
        <f>Q31+R31</f>
        <v>4.4666419999999998E-2</v>
      </c>
      <c r="T31" s="377">
        <f t="shared" ref="T31:T32" si="105">H31+N31</f>
        <v>0</v>
      </c>
      <c r="U31" s="359">
        <f t="shared" ref="U31:U32" si="106">S31-T31</f>
        <v>4.4666419999999998E-2</v>
      </c>
      <c r="V31" s="361">
        <f t="shared" ref="V31:V32" si="107">T31/S31</f>
        <v>0</v>
      </c>
      <c r="W31" s="698">
        <f>Q31+Q32</f>
        <v>4.9626989999999996E-2</v>
      </c>
      <c r="X31" s="699">
        <f>R31+R32</f>
        <v>0</v>
      </c>
      <c r="Y31" s="700">
        <f t="shared" ref="Y31" si="108">W31+X31</f>
        <v>4.9626989999999996E-2</v>
      </c>
      <c r="Z31" s="712">
        <f>T31+T32</f>
        <v>0</v>
      </c>
      <c r="AA31" s="700">
        <f t="shared" ref="AA31" si="109">Y31-Z31</f>
        <v>4.9626989999999996E-2</v>
      </c>
      <c r="AB31" s="711">
        <f t="shared" ref="AB31" si="110">Z31/Y31</f>
        <v>0</v>
      </c>
    </row>
    <row r="32" spans="1:28" ht="20.100000000000001" customHeight="1">
      <c r="A32" s="216"/>
      <c r="B32" s="696"/>
      <c r="C32" s="697"/>
      <c r="D32" s="351" t="s">
        <v>10</v>
      </c>
      <c r="E32" s="352">
        <f>+Movimientos_LtpPep!H74</f>
        <v>1.1709499999999998E-3</v>
      </c>
      <c r="F32" s="353">
        <f>+Movimientos_LtpPep!J74</f>
        <v>0</v>
      </c>
      <c r="G32" s="362">
        <f>E32+F32+I31</f>
        <v>1.1709499999999999E-2</v>
      </c>
      <c r="H32" s="364"/>
      <c r="I32" s="362">
        <f t="shared" si="99"/>
        <v>1.1709499999999999E-2</v>
      </c>
      <c r="J32" s="363">
        <f t="shared" si="100"/>
        <v>0</v>
      </c>
      <c r="K32" s="356">
        <f>+Movimientos_LtpPep!I74</f>
        <v>3.7896199999999996E-3</v>
      </c>
      <c r="L32" s="353">
        <f>+Movimientos_LtpPep!K74</f>
        <v>0</v>
      </c>
      <c r="M32" s="362">
        <f t="shared" ref="M32" si="111">K32+L32+O31</f>
        <v>3.7917489999999998E-2</v>
      </c>
      <c r="N32" s="364"/>
      <c r="O32" s="362">
        <f t="shared" ref="O32" si="112">M32-N32</f>
        <v>3.7917489999999998E-2</v>
      </c>
      <c r="P32" s="365">
        <f t="shared" si="102"/>
        <v>0</v>
      </c>
      <c r="Q32" s="366">
        <f t="shared" si="103"/>
        <v>4.9605699999999992E-3</v>
      </c>
      <c r="R32" s="367">
        <f t="shared" si="104"/>
        <v>0</v>
      </c>
      <c r="S32" s="368">
        <f>Q32+R32+U31</f>
        <v>4.9626989999999996E-2</v>
      </c>
      <c r="T32" s="369">
        <f t="shared" si="105"/>
        <v>0</v>
      </c>
      <c r="U32" s="368">
        <f t="shared" si="106"/>
        <v>4.9626989999999996E-2</v>
      </c>
      <c r="V32" s="370">
        <f t="shared" si="107"/>
        <v>0</v>
      </c>
      <c r="W32" s="698"/>
      <c r="X32" s="699"/>
      <c r="Y32" s="700"/>
      <c r="Z32" s="712"/>
      <c r="AA32" s="700"/>
      <c r="AB32" s="711"/>
    </row>
    <row r="33" spans="1:28" ht="20.100000000000001" customHeight="1">
      <c r="A33" s="216"/>
      <c r="B33" s="696"/>
      <c r="C33" s="697" t="str">
        <f>+Movimientos_LtpPep!B75</f>
        <v>JORGE COFRE REYES</v>
      </c>
      <c r="D33" s="351" t="s">
        <v>12</v>
      </c>
      <c r="E33" s="352">
        <f>+Movimientos_LtpPep!H75</f>
        <v>0</v>
      </c>
      <c r="F33" s="353">
        <f>+Movimientos_LtpPep!J75</f>
        <v>0</v>
      </c>
      <c r="G33" s="58">
        <f>E33+F33</f>
        <v>0</v>
      </c>
      <c r="H33" s="373"/>
      <c r="I33" s="58">
        <f t="shared" si="90"/>
        <v>0</v>
      </c>
      <c r="J33" s="379">
        <v>0</v>
      </c>
      <c r="K33" s="356">
        <f>+Movimientos_LtpPep!I75</f>
        <v>0</v>
      </c>
      <c r="L33" s="353">
        <f>+Movimientos_LtpPep!K75</f>
        <v>634.77800000000002</v>
      </c>
      <c r="M33" s="352">
        <f>K33+L33</f>
        <v>634.77800000000002</v>
      </c>
      <c r="N33" s="384">
        <f>+F49+G49</f>
        <v>553.87099999999998</v>
      </c>
      <c r="O33" s="352">
        <f>M33-N33</f>
        <v>80.907000000000039</v>
      </c>
      <c r="P33" s="357">
        <f t="shared" si="93"/>
        <v>0.87254284174939889</v>
      </c>
      <c r="Q33" s="374">
        <f t="shared" si="3"/>
        <v>0</v>
      </c>
      <c r="R33" s="375">
        <f t="shared" si="4"/>
        <v>634.77800000000002</v>
      </c>
      <c r="S33" s="376">
        <f>Q33+R33</f>
        <v>634.77800000000002</v>
      </c>
      <c r="T33" s="377">
        <f t="shared" si="20"/>
        <v>553.87099999999998</v>
      </c>
      <c r="U33" s="359">
        <f t="shared" si="9"/>
        <v>80.907000000000039</v>
      </c>
      <c r="V33" s="361">
        <v>0</v>
      </c>
      <c r="W33" s="714">
        <f>Q33+Q34</f>
        <v>0</v>
      </c>
      <c r="X33" s="699">
        <f>R33+R34</f>
        <v>634.77800000000002</v>
      </c>
      <c r="Y33" s="700">
        <f t="shared" ref="Y33" si="113">W33+X33</f>
        <v>634.77800000000002</v>
      </c>
      <c r="Z33" s="715">
        <f>T33+T34</f>
        <v>634.35599999999999</v>
      </c>
      <c r="AA33" s="700">
        <f t="shared" ref="AA33" si="114">Y33-Z33</f>
        <v>0.42200000000002547</v>
      </c>
      <c r="AB33" s="711">
        <f t="shared" ref="AB33" si="115">Z33/Y33</f>
        <v>0.99933520065282666</v>
      </c>
    </row>
    <row r="34" spans="1:28" ht="20.100000000000001" customHeight="1">
      <c r="A34" s="216"/>
      <c r="B34" s="696"/>
      <c r="C34" s="697"/>
      <c r="D34" s="351" t="s">
        <v>10</v>
      </c>
      <c r="E34" s="352">
        <f>+Movimientos_LtpPep!H76</f>
        <v>0</v>
      </c>
      <c r="F34" s="353">
        <f>+Movimientos_LtpPep!J76</f>
        <v>0</v>
      </c>
      <c r="G34" s="15">
        <f>E34+F34+I33</f>
        <v>0</v>
      </c>
      <c r="H34" s="383"/>
      <c r="I34" s="15">
        <f t="shared" si="90"/>
        <v>0</v>
      </c>
      <c r="J34" s="363">
        <v>0</v>
      </c>
      <c r="K34" s="356">
        <f>+Movimientos_LtpPep!I76</f>
        <v>0</v>
      </c>
      <c r="L34" s="353">
        <f>+Movimientos_LtpPep!K76</f>
        <v>0</v>
      </c>
      <c r="M34" s="362">
        <f t="shared" ref="M34" si="116">K34+L34+O33</f>
        <v>80.907000000000039</v>
      </c>
      <c r="N34" s="383">
        <v>80.484999999999999</v>
      </c>
      <c r="O34" s="362">
        <f t="shared" si="18"/>
        <v>0.42200000000003968</v>
      </c>
      <c r="P34" s="365">
        <f t="shared" si="93"/>
        <v>0.99478413487090067</v>
      </c>
      <c r="Q34" s="358">
        <f t="shared" si="3"/>
        <v>0</v>
      </c>
      <c r="R34" s="367">
        <f t="shared" si="4"/>
        <v>0</v>
      </c>
      <c r="S34" s="359">
        <f>Q34+R34+U33</f>
        <v>80.907000000000039</v>
      </c>
      <c r="T34" s="360">
        <f t="shared" si="20"/>
        <v>80.484999999999999</v>
      </c>
      <c r="U34" s="368">
        <f t="shared" si="9"/>
        <v>0.42200000000003968</v>
      </c>
      <c r="V34" s="370">
        <v>0</v>
      </c>
      <c r="W34" s="714"/>
      <c r="X34" s="699"/>
      <c r="Y34" s="700"/>
      <c r="Z34" s="715"/>
      <c r="AA34" s="700"/>
      <c r="AB34" s="711"/>
    </row>
    <row r="35" spans="1:28" ht="20.100000000000001" customHeight="1">
      <c r="A35" s="216"/>
      <c r="B35" s="696"/>
      <c r="C35" s="697" t="str">
        <f>+Movimientos_LtpPep!B77</f>
        <v>PESQUERA CMK LTDA.</v>
      </c>
      <c r="D35" s="351" t="s">
        <v>12</v>
      </c>
      <c r="E35" s="352">
        <f>+Movimientos_LtpPep!H77</f>
        <v>0</v>
      </c>
      <c r="F35" s="353">
        <f>+Movimientos_LtpPep!J77</f>
        <v>0</v>
      </c>
      <c r="G35" s="58">
        <f>E35+F35</f>
        <v>0</v>
      </c>
      <c r="H35" s="373"/>
      <c r="I35" s="58">
        <f t="shared" ref="I35:I36" si="117">G35-H35</f>
        <v>0</v>
      </c>
      <c r="J35" s="379">
        <v>0</v>
      </c>
      <c r="K35" s="356">
        <f>+Movimientos_LtpPep!I77</f>
        <v>0</v>
      </c>
      <c r="L35" s="353">
        <f>+Movimientos_LtpPep!K77</f>
        <v>99.219499999999982</v>
      </c>
      <c r="M35" s="352">
        <f>K35+L35</f>
        <v>99.219499999999982</v>
      </c>
      <c r="N35" s="373"/>
      <c r="O35" s="352">
        <f>M35-N35</f>
        <v>99.219499999999982</v>
      </c>
      <c r="P35" s="357">
        <f t="shared" ref="P35" si="118">N35/M35</f>
        <v>0</v>
      </c>
      <c r="Q35" s="374">
        <f t="shared" ref="Q35:Q36" si="119">+E35+K35</f>
        <v>0</v>
      </c>
      <c r="R35" s="375">
        <f t="shared" ref="R35:R36" si="120">F35+L35</f>
        <v>99.219499999999982</v>
      </c>
      <c r="S35" s="376">
        <f>Q35+R35</f>
        <v>99.219499999999982</v>
      </c>
      <c r="T35" s="377">
        <f t="shared" ref="T35:T36" si="121">H35+N35</f>
        <v>0</v>
      </c>
      <c r="U35" s="359">
        <f t="shared" ref="U35:U36" si="122">S35-T35</f>
        <v>99.219499999999982</v>
      </c>
      <c r="V35" s="361">
        <v>0</v>
      </c>
      <c r="W35" s="714">
        <f>Q35+Q36</f>
        <v>0</v>
      </c>
      <c r="X35" s="699">
        <f>R35+R36</f>
        <v>0</v>
      </c>
      <c r="Y35" s="700">
        <f t="shared" ref="Y35" si="123">W35+X35</f>
        <v>0</v>
      </c>
      <c r="Z35" s="715">
        <f>T35+T36</f>
        <v>0</v>
      </c>
      <c r="AA35" s="700">
        <f t="shared" ref="AA35" si="124">Y35-Z35</f>
        <v>0</v>
      </c>
      <c r="AB35" s="711">
        <v>0</v>
      </c>
    </row>
    <row r="36" spans="1:28" ht="20.100000000000001" customHeight="1">
      <c r="A36" s="216"/>
      <c r="B36" s="696"/>
      <c r="C36" s="697"/>
      <c r="D36" s="351" t="s">
        <v>10</v>
      </c>
      <c r="E36" s="352">
        <f>+Movimientos_LtpPep!H78</f>
        <v>0</v>
      </c>
      <c r="F36" s="353">
        <f>+Movimientos_LtpPep!J78</f>
        <v>0</v>
      </c>
      <c r="G36" s="15">
        <f>E36+F36+I35</f>
        <v>0</v>
      </c>
      <c r="H36" s="383"/>
      <c r="I36" s="15">
        <f t="shared" si="117"/>
        <v>0</v>
      </c>
      <c r="J36" s="363">
        <v>0</v>
      </c>
      <c r="K36" s="356">
        <f>+Movimientos_LtpPep!I78</f>
        <v>0</v>
      </c>
      <c r="L36" s="353">
        <f>+Movimientos_LtpPep!K78</f>
        <v>-99.219499999999996</v>
      </c>
      <c r="M36" s="362">
        <f t="shared" ref="M36" si="125">K36+L36+O35</f>
        <v>0</v>
      </c>
      <c r="N36" s="364"/>
      <c r="O36" s="362">
        <f t="shared" ref="O36" si="126">M36-N36</f>
        <v>0</v>
      </c>
      <c r="P36" s="365">
        <v>0</v>
      </c>
      <c r="Q36" s="358">
        <f t="shared" si="119"/>
        <v>0</v>
      </c>
      <c r="R36" s="367">
        <f t="shared" si="120"/>
        <v>-99.219499999999996</v>
      </c>
      <c r="S36" s="359">
        <f>Q36+R36+U35</f>
        <v>0</v>
      </c>
      <c r="T36" s="360">
        <f t="shared" si="121"/>
        <v>0</v>
      </c>
      <c r="U36" s="368">
        <f t="shared" si="122"/>
        <v>0</v>
      </c>
      <c r="V36" s="370">
        <v>0</v>
      </c>
      <c r="W36" s="714"/>
      <c r="X36" s="699"/>
      <c r="Y36" s="700"/>
      <c r="Z36" s="715"/>
      <c r="AA36" s="700"/>
      <c r="AB36" s="711"/>
    </row>
    <row r="37" spans="1:28" ht="20.100000000000001" customHeight="1">
      <c r="A37" s="216"/>
      <c r="B37" s="696"/>
      <c r="C37" s="720" t="s">
        <v>186</v>
      </c>
      <c r="D37" s="351" t="s">
        <v>12</v>
      </c>
      <c r="E37" s="385">
        <f>+E7+E9+E11+E13+E15+E19+E21+E23+E25+E27+E29+E33+E17+E35</f>
        <v>985.03965054000003</v>
      </c>
      <c r="F37" s="385">
        <f>+F7+F9+F11+F13+F15+F19+F21+F23+F25+F27+F29+F33+F17+F35</f>
        <v>-5.6843418860808015E-14</v>
      </c>
      <c r="G37" s="385">
        <f>+E37+F37</f>
        <v>985.03965053999991</v>
      </c>
      <c r="H37" s="385">
        <f>+H7+H9+H11+H13+H15+H19+H21+H23+H25+H27+H29+H33+H17+H35</f>
        <v>820.69200000000001</v>
      </c>
      <c r="I37" s="385">
        <f>G37-H37</f>
        <v>164.3476505399999</v>
      </c>
      <c r="J37" s="386">
        <f>H37/G37</f>
        <v>0.83315630954560627</v>
      </c>
      <c r="K37" s="385">
        <f>+K7+K9+K11+K13+K15+K19+K21+K23+K25+K27+K29+K33+K17+K35</f>
        <v>3189.9364844760007</v>
      </c>
      <c r="L37" s="385">
        <f>+L7+L9+L11+L13+L15+L19+L21+L23+L25+L27+L29+L33+L17+L35</f>
        <v>0</v>
      </c>
      <c r="M37" s="387">
        <f>+K37+L37</f>
        <v>3189.9364844760007</v>
      </c>
      <c r="N37" s="385">
        <f>+N7+N9+N11+N13+N15+N19+N21+N23+N25+N27+N29+N33+N17+N35</f>
        <v>2949.2529999999997</v>
      </c>
      <c r="O37" s="388">
        <f>M37-N37</f>
        <v>240.68348447600101</v>
      </c>
      <c r="P37" s="389">
        <f>N37/M37</f>
        <v>0.92454912953681045</v>
      </c>
      <c r="Q37" s="385">
        <f>+Q7+Q9+Q11+Q13+Q15+Q19+Q21+Q23+Q25+Q27+Q29+Q33+Q17</f>
        <v>4174.9761350159997</v>
      </c>
      <c r="R37" s="385">
        <f>+R7+R9+R11+R13+R15+R19+R21+R23+R25+R27+R29+R33+R17</f>
        <v>-99.219499999999925</v>
      </c>
      <c r="S37" s="390">
        <f>+Q37+R37</f>
        <v>4075.7566350159996</v>
      </c>
      <c r="T37" s="385">
        <f>+T7+T9+T11+T13+T15+T19+T21+T23+T25+T27+T29+T33+T17</f>
        <v>3769.9449999999997</v>
      </c>
      <c r="U37" s="390">
        <f>S37-T37</f>
        <v>305.81163501599985</v>
      </c>
      <c r="V37" s="391">
        <f>T37/S37</f>
        <v>0.92496813171113212</v>
      </c>
      <c r="W37" s="721">
        <f>SUM(W7:W36)</f>
        <v>4638.6908904419997</v>
      </c>
      <c r="X37" s="721">
        <f>SUM(X7:X36)</f>
        <v>0</v>
      </c>
      <c r="Y37" s="721">
        <f>+W37+X37</f>
        <v>4638.6908904419997</v>
      </c>
      <c r="Z37" s="722">
        <f>SUM(Z7:Z36)</f>
        <v>4571.4589999999998</v>
      </c>
      <c r="AA37" s="721">
        <f>SUM(AA7:AA36)</f>
        <v>67.231890441999795</v>
      </c>
      <c r="AB37" s="723">
        <f>Z37/Y37</f>
        <v>0.98550627924345402</v>
      </c>
    </row>
    <row r="38" spans="1:28" ht="25.9" customHeight="1">
      <c r="A38" s="216"/>
      <c r="B38" s="696"/>
      <c r="C38" s="720"/>
      <c r="D38" s="351" t="s">
        <v>10</v>
      </c>
      <c r="E38" s="385">
        <f>+E8+E10+E12+E14+E16+E20+E22+E24+E26+E28+E30+E34+E18+E36</f>
        <v>109.44885006</v>
      </c>
      <c r="F38" s="385">
        <f>+F8+F10+F12+F14+F16+F20+F22+F24+F26+F28+F30+F34+F18+F36</f>
        <v>0</v>
      </c>
      <c r="G38" s="392">
        <f>E38+F38+I37</f>
        <v>273.79650059999989</v>
      </c>
      <c r="H38" s="385">
        <f>+H8+H10+H12+H14+H16+H20+H22+H24+H26+H28+H30+H34+H18+H36</f>
        <v>256.14999999999998</v>
      </c>
      <c r="I38" s="385">
        <f>G38-H38</f>
        <v>17.646500599999911</v>
      </c>
      <c r="J38" s="386">
        <f>H38/G38</f>
        <v>0.93554884536022476</v>
      </c>
      <c r="K38" s="385">
        <f>+K8+K10+K12+K14+K16+K20+K22+K24+K26+K28+K30+K34+K18+K36</f>
        <v>354.21627837600005</v>
      </c>
      <c r="L38" s="385">
        <f>+L8+L10+L12+L14+L16+L20+L22+L24+L26+L28+L30+L34+L18+L36</f>
        <v>0</v>
      </c>
      <c r="M38" s="393">
        <f>K38+L38+O37</f>
        <v>594.899762852001</v>
      </c>
      <c r="N38" s="385">
        <f>+N8+N10+N12+N14+N16+N20+N22+N24+N26+N28+N30+N34+N18+N36</f>
        <v>545.36400000000003</v>
      </c>
      <c r="O38" s="388">
        <f>M38-N38</f>
        <v>49.535762852000971</v>
      </c>
      <c r="P38" s="389">
        <f>N38/M38</f>
        <v>0.91673258934493063</v>
      </c>
      <c r="Q38" s="385">
        <f>+Q8+Q10+Q12+Q14+Q16+Q20+Q22+Q24+Q26+Q28+Q30+Q34+Q18</f>
        <v>463.66512843600009</v>
      </c>
      <c r="R38" s="385">
        <f>+R8+R10+R12+R14+R16+R20+R22+R24+R26+R28+R30+R34+R18</f>
        <v>99.219499999999996</v>
      </c>
      <c r="S38" s="394">
        <f>Q38+R38+U37</f>
        <v>868.69626345199993</v>
      </c>
      <c r="T38" s="385">
        <f>+T8+T10+T12+T14+T16+T20+T22+T24+T26+T28+T30+T34+T18</f>
        <v>801.51400000000012</v>
      </c>
      <c r="U38" s="390">
        <f>S38-T38</f>
        <v>67.182263451999802</v>
      </c>
      <c r="V38" s="391">
        <f>T38/S38</f>
        <v>0.92266311451020533</v>
      </c>
      <c r="W38" s="721"/>
      <c r="X38" s="721"/>
      <c r="Y38" s="721"/>
      <c r="Z38" s="722"/>
      <c r="AA38" s="721"/>
      <c r="AB38" s="723"/>
    </row>
    <row r="39" spans="1:28" ht="21" customHeight="1">
      <c r="A39" s="216"/>
      <c r="B39" s="168" t="s">
        <v>61</v>
      </c>
      <c r="C39" s="395"/>
      <c r="D39" s="395"/>
      <c r="E39" s="395"/>
      <c r="F39" s="396"/>
      <c r="G39" s="395"/>
      <c r="H39" s="518">
        <f>H37+H38</f>
        <v>1076.8420000000001</v>
      </c>
      <c r="I39" s="395"/>
      <c r="J39" s="395"/>
      <c r="N39" s="398">
        <f>N37+N38</f>
        <v>3494.6169999999997</v>
      </c>
      <c r="Y39" s="397"/>
      <c r="Z39" s="207"/>
    </row>
    <row r="40" spans="1:28" ht="21" customHeight="1">
      <c r="A40" s="216"/>
      <c r="B40" s="168"/>
      <c r="C40" s="395"/>
      <c r="D40" s="395"/>
      <c r="E40" s="395"/>
      <c r="F40" s="396"/>
      <c r="G40" s="395"/>
      <c r="H40" s="517"/>
      <c r="I40" s="395"/>
      <c r="J40" s="395"/>
      <c r="N40" s="398"/>
    </row>
    <row r="41" spans="1:28">
      <c r="A41" s="216"/>
      <c r="B41" s="168" t="s">
        <v>60</v>
      </c>
      <c r="N41" s="398"/>
    </row>
    <row r="42" spans="1:28">
      <c r="A42" s="216"/>
      <c r="B42" s="296" t="s">
        <v>62</v>
      </c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Z42" s="207"/>
    </row>
    <row r="43" spans="1:28" ht="17.45" customHeight="1">
      <c r="A43" s="216"/>
      <c r="H43" s="207"/>
      <c r="I43" s="296"/>
      <c r="J43" s="296"/>
      <c r="K43" s="296"/>
      <c r="L43" s="296"/>
      <c r="N43" s="399"/>
    </row>
    <row r="44" spans="1:28">
      <c r="A44" s="216"/>
      <c r="C44" s="270" t="s">
        <v>187</v>
      </c>
      <c r="D44" s="271">
        <v>5</v>
      </c>
      <c r="E44" s="273">
        <v>6</v>
      </c>
      <c r="F44" s="271">
        <v>7</v>
      </c>
      <c r="G44" s="272">
        <v>8</v>
      </c>
      <c r="H44" s="166" t="s">
        <v>132</v>
      </c>
      <c r="I44" s="296"/>
      <c r="J44" s="296"/>
      <c r="K44" s="296"/>
      <c r="L44" s="296"/>
    </row>
    <row r="45" spans="1:28">
      <c r="A45" s="216"/>
      <c r="C45" s="400" t="s">
        <v>28</v>
      </c>
      <c r="D45" s="346">
        <v>248.33099999999996</v>
      </c>
      <c r="E45" s="347">
        <v>27.240000000000002</v>
      </c>
      <c r="F45" s="347"/>
      <c r="G45" s="347"/>
      <c r="H45" s="401">
        <f>SUM(D45:G45)</f>
        <v>275.57099999999997</v>
      </c>
      <c r="I45" s="296"/>
      <c r="J45" s="296"/>
      <c r="K45" s="296"/>
      <c r="L45" s="296"/>
    </row>
    <row r="46" spans="1:28">
      <c r="A46" s="216"/>
      <c r="C46" s="402" t="s">
        <v>71</v>
      </c>
      <c r="D46" s="348">
        <v>194.114</v>
      </c>
      <c r="E46" s="322">
        <v>1.6</v>
      </c>
      <c r="F46" s="322"/>
      <c r="G46" s="322"/>
      <c r="H46" s="401">
        <f t="shared" ref="H46:H49" si="127">SUM(D46:G46)</f>
        <v>195.714</v>
      </c>
      <c r="I46" s="296"/>
      <c r="J46" s="296"/>
      <c r="K46" s="296"/>
      <c r="L46" s="296"/>
    </row>
    <row r="47" spans="1:28">
      <c r="A47" s="216"/>
      <c r="C47" s="403" t="s">
        <v>188</v>
      </c>
      <c r="D47" s="346">
        <v>193</v>
      </c>
      <c r="E47" s="347"/>
      <c r="F47" s="347">
        <v>629.44399999999962</v>
      </c>
      <c r="G47" s="347">
        <v>1429.4960000000001</v>
      </c>
      <c r="H47" s="401">
        <f t="shared" si="127"/>
        <v>2251.9399999999996</v>
      </c>
      <c r="I47" s="296"/>
      <c r="J47" s="296"/>
      <c r="K47" s="296"/>
      <c r="L47" s="296"/>
    </row>
    <row r="48" spans="1:28">
      <c r="A48" s="216"/>
      <c r="C48" s="403" t="s">
        <v>133</v>
      </c>
      <c r="D48" s="346">
        <v>156.40700000000001</v>
      </c>
      <c r="E48" s="347"/>
      <c r="F48" s="347">
        <v>233.77699999999999</v>
      </c>
      <c r="G48" s="347">
        <v>102.66500000000001</v>
      </c>
      <c r="H48" s="401">
        <f t="shared" si="127"/>
        <v>492.84899999999999</v>
      </c>
      <c r="I48" s="404"/>
      <c r="J48" s="296"/>
      <c r="K48" s="296"/>
      <c r="L48" s="296"/>
    </row>
    <row r="49" spans="1:12">
      <c r="A49" s="216"/>
      <c r="C49" s="405" t="s">
        <v>217</v>
      </c>
      <c r="D49" s="406"/>
      <c r="E49" s="407"/>
      <c r="F49" s="349">
        <v>402.63299999999992</v>
      </c>
      <c r="G49" s="349">
        <v>151.23800000000003</v>
      </c>
      <c r="H49" s="401">
        <f t="shared" si="127"/>
        <v>553.87099999999998</v>
      </c>
      <c r="I49" s="296"/>
      <c r="J49" s="296"/>
      <c r="K49" s="296"/>
      <c r="L49" s="296"/>
    </row>
    <row r="50" spans="1:12">
      <c r="A50" s="216"/>
      <c r="C50" s="408"/>
      <c r="D50" s="409">
        <f t="shared" ref="D50:F50" si="128">SUM(D45:D49)</f>
        <v>791.85199999999998</v>
      </c>
      <c r="E50" s="410">
        <f t="shared" si="128"/>
        <v>28.840000000000003</v>
      </c>
      <c r="F50" s="411">
        <f t="shared" si="128"/>
        <v>1265.8539999999994</v>
      </c>
      <c r="G50" s="410">
        <f>SUM(G45:G49)</f>
        <v>1683.3990000000001</v>
      </c>
      <c r="H50" s="412">
        <f>SUM(H45:H49)</f>
        <v>3769.9449999999997</v>
      </c>
      <c r="I50" s="413">
        <f>+H50-Z37</f>
        <v>-801.51400000000012</v>
      </c>
      <c r="J50" s="414"/>
      <c r="K50" s="296"/>
      <c r="L50" s="296"/>
    </row>
    <row r="51" spans="1:12" ht="14.45" customHeight="1">
      <c r="D51" s="716">
        <f>+D50+E50</f>
        <v>820.69200000000001</v>
      </c>
      <c r="E51" s="716"/>
      <c r="F51" s="719">
        <f>+F50+G50</f>
        <v>2949.2529999999997</v>
      </c>
      <c r="G51" s="716"/>
      <c r="I51" s="414"/>
      <c r="J51" s="414"/>
      <c r="K51" s="296"/>
      <c r="L51" s="296"/>
    </row>
    <row r="52" spans="1:12">
      <c r="D52" s="717">
        <f>+D51-H37</f>
        <v>0</v>
      </c>
      <c r="E52" s="716"/>
      <c r="F52" s="718">
        <f>+F51-N37</f>
        <v>0</v>
      </c>
      <c r="G52" s="716"/>
      <c r="I52" s="414"/>
      <c r="J52" s="414"/>
      <c r="K52" s="296"/>
      <c r="L52" s="296"/>
    </row>
    <row r="53" spans="1:12">
      <c r="I53" s="414"/>
      <c r="J53" s="414"/>
      <c r="K53" s="296"/>
      <c r="L53" s="296"/>
    </row>
    <row r="54" spans="1:12">
      <c r="I54" s="414"/>
      <c r="J54" s="414"/>
      <c r="K54" s="296"/>
      <c r="L54" s="296"/>
    </row>
  </sheetData>
  <mergeCells count="126">
    <mergeCell ref="D52:E52"/>
    <mergeCell ref="F52:G52"/>
    <mergeCell ref="F51:G51"/>
    <mergeCell ref="AA33:AA34"/>
    <mergeCell ref="AB33:AB34"/>
    <mergeCell ref="C37:C38"/>
    <mergeCell ref="W37:W38"/>
    <mergeCell ref="X37:X38"/>
    <mergeCell ref="Y37:Y38"/>
    <mergeCell ref="Z37:Z38"/>
    <mergeCell ref="AA37:AA38"/>
    <mergeCell ref="AB37:AB38"/>
    <mergeCell ref="C33:C34"/>
    <mergeCell ref="W33:W34"/>
    <mergeCell ref="X33:X34"/>
    <mergeCell ref="Y33:Y34"/>
    <mergeCell ref="Z33:Z34"/>
    <mergeCell ref="C35:C36"/>
    <mergeCell ref="W35:W36"/>
    <mergeCell ref="X35:X36"/>
    <mergeCell ref="Y35:Y36"/>
    <mergeCell ref="Z35:Z36"/>
    <mergeCell ref="AA35:AA36"/>
    <mergeCell ref="AB35:AB36"/>
    <mergeCell ref="D51:E51"/>
    <mergeCell ref="AA27:AA28"/>
    <mergeCell ref="AB27:AB28"/>
    <mergeCell ref="C29:C30"/>
    <mergeCell ref="W29:W30"/>
    <mergeCell ref="X29:X30"/>
    <mergeCell ref="Y29:Y30"/>
    <mergeCell ref="Z29:Z30"/>
    <mergeCell ref="AA29:AA30"/>
    <mergeCell ref="AB29:AB30"/>
    <mergeCell ref="C27:C28"/>
    <mergeCell ref="W27:W28"/>
    <mergeCell ref="X27:X28"/>
    <mergeCell ref="Y27:Y28"/>
    <mergeCell ref="Z27:Z28"/>
    <mergeCell ref="C31:C32"/>
    <mergeCell ref="W31:W32"/>
    <mergeCell ref="X31:X32"/>
    <mergeCell ref="Y31:Y32"/>
    <mergeCell ref="Z31:Z32"/>
    <mergeCell ref="AA31:AA32"/>
    <mergeCell ref="AB31:AB32"/>
    <mergeCell ref="AA23:AA24"/>
    <mergeCell ref="AB23:AB24"/>
    <mergeCell ref="C25:C26"/>
    <mergeCell ref="W25:W26"/>
    <mergeCell ref="X25:X26"/>
    <mergeCell ref="Y25:Y26"/>
    <mergeCell ref="Z25:Z26"/>
    <mergeCell ref="AA25:AA26"/>
    <mergeCell ref="AB25:AB26"/>
    <mergeCell ref="C23:C24"/>
    <mergeCell ref="W23:W24"/>
    <mergeCell ref="X23:X24"/>
    <mergeCell ref="Y23:Y24"/>
    <mergeCell ref="Z23:Z24"/>
    <mergeCell ref="C21:C22"/>
    <mergeCell ref="W21:W22"/>
    <mergeCell ref="X21:X22"/>
    <mergeCell ref="Y21:Y22"/>
    <mergeCell ref="Z21:Z22"/>
    <mergeCell ref="AA21:AA22"/>
    <mergeCell ref="AB21:AB22"/>
    <mergeCell ref="C19:C20"/>
    <mergeCell ref="W19:W20"/>
    <mergeCell ref="X19:X20"/>
    <mergeCell ref="Y19:Y20"/>
    <mergeCell ref="Z19:Z20"/>
    <mergeCell ref="C17:C18"/>
    <mergeCell ref="W17:W18"/>
    <mergeCell ref="X17:X18"/>
    <mergeCell ref="Y17:Y18"/>
    <mergeCell ref="Z17:Z18"/>
    <mergeCell ref="AA17:AA18"/>
    <mergeCell ref="AB17:AB18"/>
    <mergeCell ref="AA19:AA20"/>
    <mergeCell ref="AB19:AB20"/>
    <mergeCell ref="Y13:Y14"/>
    <mergeCell ref="Z13:Z14"/>
    <mergeCell ref="AA13:AA14"/>
    <mergeCell ref="AB13:AB14"/>
    <mergeCell ref="C15:C16"/>
    <mergeCell ref="W15:W16"/>
    <mergeCell ref="X15:X16"/>
    <mergeCell ref="Y15:Y16"/>
    <mergeCell ref="Z15:Z16"/>
    <mergeCell ref="AA15:AA16"/>
    <mergeCell ref="AB15:AB16"/>
    <mergeCell ref="AB11:AB12"/>
    <mergeCell ref="Z7:Z8"/>
    <mergeCell ref="AA7:AA8"/>
    <mergeCell ref="AB7:AB8"/>
    <mergeCell ref="C9:C10"/>
    <mergeCell ref="W9:W10"/>
    <mergeCell ref="X9:X10"/>
    <mergeCell ref="Y9:Y10"/>
    <mergeCell ref="Z9:Z10"/>
    <mergeCell ref="AA9:AA10"/>
    <mergeCell ref="B7:B38"/>
    <mergeCell ref="C7:C8"/>
    <mergeCell ref="W7:W8"/>
    <mergeCell ref="X7:X8"/>
    <mergeCell ref="Y7:Y8"/>
    <mergeCell ref="C13:C14"/>
    <mergeCell ref="W13:W14"/>
    <mergeCell ref="X13:X14"/>
    <mergeCell ref="B2:AB2"/>
    <mergeCell ref="B3:AB3"/>
    <mergeCell ref="B5:B6"/>
    <mergeCell ref="C5:C6"/>
    <mergeCell ref="D5:D6"/>
    <mergeCell ref="E5:J5"/>
    <mergeCell ref="K5:P5"/>
    <mergeCell ref="Q5:V5"/>
    <mergeCell ref="W5:AB5"/>
    <mergeCell ref="AB9:AB10"/>
    <mergeCell ref="C11:C12"/>
    <mergeCell ref="W11:W12"/>
    <mergeCell ref="X11:X12"/>
    <mergeCell ref="Y11:Y12"/>
    <mergeCell ref="Z11:Z12"/>
    <mergeCell ref="AA11:AA12"/>
  </mergeCells>
  <conditionalFormatting sqref="J7:J38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{621C4F21-DCEF-47CC-A5D3-C0E8C6A37BC2}</x14:id>
        </ext>
      </extLst>
    </cfRule>
  </conditionalFormatting>
  <conditionalFormatting sqref="P7:P38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{8CC62806-3972-42EB-B164-F4BC735C2D0D}</x14:id>
        </ext>
      </extLst>
    </cfRule>
  </conditionalFormatting>
  <conditionalFormatting sqref="V7:V38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{C9D7BE67-397A-45C6-A306-2C6E2AE9765E}</x14:id>
        </ext>
      </extLst>
    </cfRule>
  </conditionalFormatting>
  <conditionalFormatting sqref="AB7:AB3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{7D440D24-3F63-43F9-B887-25BF401FF5EF}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1C4F21-DCEF-47CC-A5D3-C0E8C6A37BC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J7:J38</xm:sqref>
        </x14:conditionalFormatting>
        <x14:conditionalFormatting xmlns:xm="http://schemas.microsoft.com/office/excel/2006/main">
          <x14:cfRule type="dataBar" id="{8CC62806-3972-42EB-B164-F4BC735C2D0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P7:P38</xm:sqref>
        </x14:conditionalFormatting>
        <x14:conditionalFormatting xmlns:xm="http://schemas.microsoft.com/office/excel/2006/main">
          <x14:cfRule type="dataBar" id="{C9D7BE67-397A-45C6-A306-2C6E2AE9765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V7:V38</xm:sqref>
        </x14:conditionalFormatting>
        <x14:conditionalFormatting xmlns:xm="http://schemas.microsoft.com/office/excel/2006/main">
          <x14:cfRule type="dataBar" id="{7D440D24-3F63-43F9-B887-25BF401FF5E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AB7:AB38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K22"/>
  <sheetViews>
    <sheetView showGridLines="0" zoomScale="90" zoomScaleNormal="90" workbookViewId="0">
      <selection activeCell="J27" sqref="J27"/>
    </sheetView>
  </sheetViews>
  <sheetFormatPr baseColWidth="10" defaultRowHeight="15"/>
  <cols>
    <col min="2" max="2" width="6.85546875" customWidth="1"/>
    <col min="3" max="3" width="23.42578125" customWidth="1"/>
    <col min="4" max="4" width="16.42578125" customWidth="1"/>
  </cols>
  <sheetData>
    <row r="1" spans="2:11" ht="36.6" customHeight="1" thickBot="1"/>
    <row r="2" spans="2:11" ht="29.45" customHeight="1" thickBot="1">
      <c r="C2" s="724" t="s">
        <v>213</v>
      </c>
      <c r="D2" s="725"/>
      <c r="E2" s="725"/>
      <c r="F2" s="725"/>
      <c r="G2" s="725"/>
      <c r="H2" s="725"/>
      <c r="I2" s="725"/>
      <c r="J2" s="725"/>
      <c r="K2" s="726"/>
    </row>
    <row r="3" spans="2:11" ht="29.45" customHeight="1" thickBot="1">
      <c r="C3" s="214" t="s">
        <v>202</v>
      </c>
      <c r="D3" s="275" t="s">
        <v>203</v>
      </c>
      <c r="E3" s="214" t="s">
        <v>204</v>
      </c>
      <c r="F3" s="275" t="s">
        <v>205</v>
      </c>
      <c r="G3" s="275" t="s">
        <v>206</v>
      </c>
      <c r="H3" s="275" t="s">
        <v>207</v>
      </c>
      <c r="I3" s="275" t="s">
        <v>208</v>
      </c>
      <c r="J3" s="275" t="s">
        <v>209</v>
      </c>
      <c r="K3" s="214" t="s">
        <v>198</v>
      </c>
    </row>
    <row r="4" spans="2:11">
      <c r="C4" s="281" t="s">
        <v>192</v>
      </c>
      <c r="D4" s="281" t="s">
        <v>131</v>
      </c>
      <c r="E4" s="286"/>
      <c r="F4" s="209">
        <v>13.928000000000003</v>
      </c>
      <c r="G4" s="287"/>
      <c r="H4" s="287"/>
      <c r="I4" s="229"/>
      <c r="J4" s="229"/>
      <c r="K4" s="243">
        <f>SUM(E4:J4)</f>
        <v>13.928000000000003</v>
      </c>
    </row>
    <row r="5" spans="2:11">
      <c r="C5" s="281" t="s">
        <v>142</v>
      </c>
      <c r="D5" s="281" t="s">
        <v>221</v>
      </c>
      <c r="E5" s="288"/>
      <c r="F5" s="289"/>
      <c r="G5" s="209">
        <v>1.3240000000000001</v>
      </c>
      <c r="H5" s="209"/>
      <c r="I5" s="209">
        <v>3.5000000000000003E-2</v>
      </c>
      <c r="J5" s="229"/>
      <c r="K5" s="243">
        <f t="shared" ref="K5:K9" si="0">SUM(E5:J5)</f>
        <v>1.359</v>
      </c>
    </row>
    <row r="6" spans="2:11">
      <c r="C6" s="281" t="s">
        <v>142</v>
      </c>
      <c r="D6" s="281" t="s">
        <v>218</v>
      </c>
      <c r="E6" s="290">
        <v>0</v>
      </c>
      <c r="F6" s="289"/>
      <c r="G6" s="209">
        <v>2.577</v>
      </c>
      <c r="H6" s="209">
        <v>0.01</v>
      </c>
      <c r="I6" s="291"/>
      <c r="J6" s="229"/>
      <c r="K6" s="243">
        <f t="shared" si="0"/>
        <v>2.5869999999999997</v>
      </c>
    </row>
    <row r="7" spans="2:11" ht="15" customHeight="1">
      <c r="C7" s="281" t="s">
        <v>188</v>
      </c>
      <c r="D7" s="281" t="s">
        <v>210</v>
      </c>
      <c r="E7" s="274"/>
      <c r="F7" s="231"/>
      <c r="G7" s="232"/>
      <c r="H7" s="232"/>
      <c r="I7" s="209">
        <v>0.51100000000000001</v>
      </c>
      <c r="J7" s="209">
        <v>59.41</v>
      </c>
      <c r="K7" s="243">
        <f t="shared" si="0"/>
        <v>59.920999999999999</v>
      </c>
    </row>
    <row r="8" spans="2:11" ht="14.45" customHeight="1">
      <c r="C8" s="240"/>
      <c r="D8" s="276"/>
      <c r="E8" s="231"/>
      <c r="F8" s="234"/>
      <c r="G8" s="235"/>
      <c r="H8" s="228"/>
      <c r="I8" s="228"/>
      <c r="J8" s="228"/>
      <c r="K8" s="243">
        <f t="shared" si="0"/>
        <v>0</v>
      </c>
    </row>
    <row r="9" spans="2:11">
      <c r="C9" s="240"/>
      <c r="D9" s="241"/>
      <c r="E9" s="236"/>
      <c r="F9" s="237"/>
      <c r="G9" s="238"/>
      <c r="H9" s="239"/>
      <c r="I9" s="228"/>
      <c r="J9" s="228"/>
      <c r="K9" s="243">
        <f t="shared" si="0"/>
        <v>0</v>
      </c>
    </row>
    <row r="10" spans="2:11">
      <c r="C10" s="727" t="s">
        <v>211</v>
      </c>
      <c r="D10" s="728"/>
      <c r="E10" s="243">
        <f>SUM(E4:E9)</f>
        <v>0</v>
      </c>
      <c r="F10" s="243">
        <f>SUM(F4:F9)</f>
        <v>13.928000000000003</v>
      </c>
      <c r="G10" s="243">
        <f>SUM(G4:G9)</f>
        <v>3.9009999999999998</v>
      </c>
      <c r="H10" s="243">
        <f t="shared" ref="H10:J10" si="1">SUM(H4:H9)</f>
        <v>0.01</v>
      </c>
      <c r="I10" s="243">
        <f t="shared" si="1"/>
        <v>0.54600000000000004</v>
      </c>
      <c r="J10" s="243">
        <f t="shared" si="1"/>
        <v>59.41</v>
      </c>
      <c r="K10" s="243">
        <f>SUM(K4:K9)</f>
        <v>77.795000000000002</v>
      </c>
    </row>
    <row r="11" spans="2:11">
      <c r="C11" s="729" t="s">
        <v>216</v>
      </c>
      <c r="D11" s="729"/>
      <c r="E11" s="727">
        <f>+E10+F10</f>
        <v>13.928000000000003</v>
      </c>
      <c r="F11" s="728"/>
      <c r="G11" s="727">
        <f>+G10+H10+I10+J10</f>
        <v>63.866999999999997</v>
      </c>
      <c r="H11" s="733"/>
      <c r="I11" s="733"/>
      <c r="J11" s="728"/>
      <c r="K11" s="277"/>
    </row>
    <row r="12" spans="2:11" ht="15.75" thickBot="1"/>
    <row r="13" spans="2:11" ht="21.6" customHeight="1" thickBot="1">
      <c r="C13" s="724" t="s">
        <v>212</v>
      </c>
      <c r="D13" s="725"/>
      <c r="E13" s="725"/>
      <c r="F13" s="725"/>
      <c r="G13" s="725"/>
      <c r="H13" s="725"/>
      <c r="I13" s="725"/>
      <c r="J13" s="725"/>
      <c r="K13" s="726"/>
    </row>
    <row r="14" spans="2:11" ht="15.75" thickBot="1">
      <c r="C14" s="275" t="s">
        <v>202</v>
      </c>
      <c r="D14" s="214" t="s">
        <v>203</v>
      </c>
      <c r="E14" s="214" t="s">
        <v>204</v>
      </c>
      <c r="F14" s="214" t="s">
        <v>205</v>
      </c>
      <c r="G14" s="214" t="s">
        <v>206</v>
      </c>
      <c r="H14" s="214" t="s">
        <v>207</v>
      </c>
      <c r="I14" s="214" t="s">
        <v>208</v>
      </c>
      <c r="J14" s="214" t="s">
        <v>209</v>
      </c>
      <c r="K14" s="214" t="s">
        <v>198</v>
      </c>
    </row>
    <row r="15" spans="2:11">
      <c r="B15" s="269"/>
      <c r="C15" s="285" t="s">
        <v>192</v>
      </c>
      <c r="D15" s="282" t="s">
        <v>214</v>
      </c>
      <c r="E15" s="226"/>
      <c r="F15" s="227"/>
      <c r="G15" s="244">
        <v>0.02</v>
      </c>
      <c r="H15" s="228"/>
      <c r="I15" s="229"/>
      <c r="J15" s="229"/>
      <c r="K15" s="240">
        <f>SUM(E15:J15)</f>
        <v>0.02</v>
      </c>
    </row>
    <row r="16" spans="2:11">
      <c r="C16" s="285" t="s">
        <v>192</v>
      </c>
      <c r="D16" s="283"/>
      <c r="E16" s="226"/>
      <c r="F16" s="230"/>
      <c r="G16" s="228"/>
      <c r="H16" s="228"/>
      <c r="I16" s="229"/>
      <c r="J16" s="229"/>
      <c r="K16" s="240">
        <f t="shared" ref="K16:K20" si="2">SUM(E16:J16)</f>
        <v>0</v>
      </c>
    </row>
    <row r="17" spans="3:11">
      <c r="C17" s="285" t="s">
        <v>192</v>
      </c>
      <c r="D17" s="284"/>
      <c r="E17" s="230"/>
      <c r="F17" s="230"/>
      <c r="G17" s="228"/>
      <c r="H17" s="228"/>
      <c r="I17" s="229"/>
      <c r="J17" s="229"/>
      <c r="K17" s="240">
        <f t="shared" si="2"/>
        <v>0</v>
      </c>
    </row>
    <row r="18" spans="3:11" ht="14.45" customHeight="1">
      <c r="C18" s="285" t="s">
        <v>192</v>
      </c>
      <c r="D18" s="242"/>
      <c r="E18" s="231"/>
      <c r="F18" s="231"/>
      <c r="G18" s="232"/>
      <c r="H18" s="232"/>
      <c r="I18" s="233"/>
      <c r="J18" s="228"/>
      <c r="K18" s="240">
        <f t="shared" si="2"/>
        <v>0</v>
      </c>
    </row>
    <row r="19" spans="3:11">
      <c r="C19" s="285" t="s">
        <v>192</v>
      </c>
      <c r="D19" s="284"/>
      <c r="E19" s="231"/>
      <c r="F19" s="234"/>
      <c r="G19" s="235"/>
      <c r="H19" s="228"/>
      <c r="I19" s="228"/>
      <c r="J19" s="228"/>
      <c r="K19" s="240">
        <f t="shared" si="2"/>
        <v>0</v>
      </c>
    </row>
    <row r="20" spans="3:11">
      <c r="C20" s="285" t="s">
        <v>192</v>
      </c>
      <c r="D20" s="284"/>
      <c r="E20" s="236"/>
      <c r="F20" s="237"/>
      <c r="G20" s="238"/>
      <c r="H20" s="239"/>
      <c r="I20" s="228"/>
      <c r="J20" s="228"/>
      <c r="K20" s="240">
        <f t="shared" si="2"/>
        <v>0</v>
      </c>
    </row>
    <row r="21" spans="3:11">
      <c r="C21" s="727" t="s">
        <v>211</v>
      </c>
      <c r="D21" s="728"/>
      <c r="E21" s="243">
        <f t="shared" ref="E21:F21" si="3">SUM(E15:E20)</f>
        <v>0</v>
      </c>
      <c r="F21" s="243">
        <f t="shared" si="3"/>
        <v>0</v>
      </c>
      <c r="G21" s="243">
        <f>SUM(G15:G20)</f>
        <v>0.02</v>
      </c>
      <c r="H21" s="243">
        <f t="shared" ref="H21:J21" si="4">SUM(H15:H20)</f>
        <v>0</v>
      </c>
      <c r="I21" s="243">
        <f t="shared" si="4"/>
        <v>0</v>
      </c>
      <c r="J21" s="243">
        <f t="shared" si="4"/>
        <v>0</v>
      </c>
      <c r="K21" s="243">
        <f>SUM(K15:K20)</f>
        <v>0.02</v>
      </c>
    </row>
    <row r="22" spans="3:11">
      <c r="C22" s="729" t="s">
        <v>216</v>
      </c>
      <c r="D22" s="729"/>
      <c r="E22" s="730">
        <f>+E21+F21</f>
        <v>0</v>
      </c>
      <c r="F22" s="731"/>
      <c r="G22" s="730">
        <f>+G21+H21+I21+J21</f>
        <v>0.02</v>
      </c>
      <c r="H22" s="732"/>
      <c r="I22" s="732"/>
      <c r="J22" s="731"/>
      <c r="K22" s="139"/>
    </row>
  </sheetData>
  <mergeCells count="10">
    <mergeCell ref="C2:K2"/>
    <mergeCell ref="C10:D10"/>
    <mergeCell ref="C11:D11"/>
    <mergeCell ref="E11:F11"/>
    <mergeCell ref="G11:J11"/>
    <mergeCell ref="C13:K13"/>
    <mergeCell ref="C21:D21"/>
    <mergeCell ref="C22:D22"/>
    <mergeCell ref="E22:F22"/>
    <mergeCell ref="G22:J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102"/>
  <sheetViews>
    <sheetView zoomScale="120" zoomScaleNormal="120" workbookViewId="0">
      <selection activeCell="G41" sqref="G41"/>
    </sheetView>
  </sheetViews>
  <sheetFormatPr baseColWidth="10" defaultColWidth="12" defaultRowHeight="12" customHeight="1"/>
  <cols>
    <col min="1" max="1" width="8.5703125" style="429" customWidth="1"/>
    <col min="2" max="2" width="13.85546875" style="429" customWidth="1"/>
    <col min="3" max="3" width="12.5703125" style="429" customWidth="1"/>
    <col min="4" max="4" width="9.5703125" style="429" customWidth="1"/>
    <col min="5" max="5" width="13.5703125" style="429" customWidth="1"/>
    <col min="6" max="6" width="13.85546875" style="429" customWidth="1"/>
    <col min="7" max="7" width="15.7109375" style="429" customWidth="1"/>
    <col min="8" max="8" width="18.85546875" style="429" customWidth="1"/>
    <col min="9" max="9" width="13.85546875" style="429" customWidth="1"/>
    <col min="10" max="10" width="13.140625" style="429" customWidth="1"/>
    <col min="11" max="11" width="12.42578125" style="429" customWidth="1"/>
    <col min="12" max="12" width="12.140625" style="429" customWidth="1"/>
    <col min="13" max="13" width="13.140625" style="429" customWidth="1"/>
    <col min="14" max="14" width="9" style="429" hidden="1" customWidth="1"/>
    <col min="15" max="15" width="8.85546875" style="429" hidden="1" customWidth="1"/>
    <col min="16" max="16" width="9.7109375" style="429" hidden="1" customWidth="1"/>
    <col min="17" max="17" width="12" style="429" hidden="1" customWidth="1"/>
    <col min="18" max="18" width="11.5703125" style="429" customWidth="1"/>
    <col min="19" max="19" width="12" style="429" customWidth="1"/>
    <col min="20" max="20" width="11.42578125" style="429" customWidth="1"/>
    <col min="21" max="21" width="10.140625" style="429" customWidth="1"/>
    <col min="22" max="22" width="12" style="429"/>
    <col min="23" max="23" width="10.7109375" style="429" customWidth="1"/>
    <col min="24" max="24" width="12" style="429"/>
    <col min="25" max="25" width="12.7109375" style="429" customWidth="1"/>
    <col min="26" max="16384" width="12" style="429"/>
  </cols>
  <sheetData>
    <row r="1" spans="2:20" ht="12" customHeight="1">
      <c r="B1" s="789" t="s">
        <v>135</v>
      </c>
      <c r="C1" s="790"/>
      <c r="D1" s="790"/>
      <c r="E1" s="791"/>
    </row>
    <row r="2" spans="2:20" ht="12" customHeight="1">
      <c r="B2" s="415" t="s">
        <v>119</v>
      </c>
      <c r="C2" s="430" t="s">
        <v>74</v>
      </c>
      <c r="D2" s="416" t="s">
        <v>69</v>
      </c>
      <c r="E2" s="430" t="s">
        <v>75</v>
      </c>
    </row>
    <row r="3" spans="2:20" ht="12" customHeight="1">
      <c r="B3" s="431" t="s">
        <v>76</v>
      </c>
      <c r="C3" s="432">
        <v>5</v>
      </c>
      <c r="D3" s="432">
        <v>22</v>
      </c>
      <c r="E3" s="433">
        <f t="shared" ref="E3:E4" si="0">SUM(C3:D3)</f>
        <v>27</v>
      </c>
    </row>
    <row r="4" spans="2:20" ht="12" customHeight="1">
      <c r="B4" s="431" t="s">
        <v>77</v>
      </c>
      <c r="C4" s="432">
        <v>1</v>
      </c>
      <c r="D4" s="432">
        <v>3</v>
      </c>
      <c r="E4" s="433">
        <f t="shared" si="0"/>
        <v>4</v>
      </c>
    </row>
    <row r="5" spans="2:20" ht="12" customHeight="1">
      <c r="B5" s="417" t="s">
        <v>78</v>
      </c>
      <c r="C5" s="433">
        <f>SUM(C3:C4)</f>
        <v>6</v>
      </c>
      <c r="D5" s="433">
        <f>SUM(D3:D4)</f>
        <v>25</v>
      </c>
      <c r="E5" s="433">
        <f>SUM(C5:D5)</f>
        <v>31</v>
      </c>
    </row>
    <row r="6" spans="2:20" ht="12" customHeight="1">
      <c r="B6" s="418"/>
      <c r="C6" s="434"/>
      <c r="D6" s="434"/>
      <c r="E6" s="434"/>
      <c r="F6" s="434"/>
      <c r="G6" s="434"/>
      <c r="H6" s="434"/>
      <c r="I6" s="434"/>
    </row>
    <row r="7" spans="2:20" ht="12" customHeight="1">
      <c r="G7" s="816" t="s">
        <v>79</v>
      </c>
      <c r="H7" s="817"/>
      <c r="I7" s="818"/>
      <c r="J7" s="814" t="s">
        <v>100</v>
      </c>
      <c r="K7" s="815"/>
    </row>
    <row r="8" spans="2:20" ht="12" customHeight="1">
      <c r="B8" s="743" t="s">
        <v>80</v>
      </c>
      <c r="C8" s="802"/>
      <c r="D8" s="745"/>
      <c r="E8" s="435" t="s">
        <v>136</v>
      </c>
      <c r="F8" s="435" t="s">
        <v>102</v>
      </c>
      <c r="G8" s="435" t="s">
        <v>81</v>
      </c>
      <c r="H8" s="435" t="s">
        <v>82</v>
      </c>
      <c r="I8" s="436" t="s">
        <v>69</v>
      </c>
      <c r="J8" s="435" t="s">
        <v>83</v>
      </c>
      <c r="K8" s="436" t="s">
        <v>69</v>
      </c>
      <c r="L8" s="435" t="s">
        <v>84</v>
      </c>
      <c r="M8" s="435" t="s">
        <v>98</v>
      </c>
    </row>
    <row r="9" spans="2:20" ht="12" customHeight="1">
      <c r="B9" s="799" t="s">
        <v>28</v>
      </c>
      <c r="C9" s="800"/>
      <c r="D9" s="801"/>
      <c r="E9" s="437">
        <v>0.21471480000000001</v>
      </c>
      <c r="F9" s="772">
        <f>+(E9+E10)*$E$5</f>
        <v>7.4792088000000003</v>
      </c>
      <c r="G9" s="438">
        <f>+H9+I9</f>
        <v>6.5141495999999997</v>
      </c>
      <c r="H9" s="438">
        <f>+(E9+E10)*$C$3</f>
        <v>1.206324</v>
      </c>
      <c r="I9" s="438">
        <f>+(E9+E10)*$D$3</f>
        <v>5.3078256000000001</v>
      </c>
      <c r="J9" s="438"/>
      <c r="K9" s="438"/>
      <c r="L9" s="772">
        <f>+F9+J9+K9</f>
        <v>7.4792088000000003</v>
      </c>
      <c r="M9" s="803">
        <f>+L9/$E$5</f>
        <v>0.2412648</v>
      </c>
      <c r="N9" s="439">
        <f>+M9-E9</f>
        <v>2.654999999999999E-2</v>
      </c>
      <c r="R9" s="429">
        <v>4.7240000000000002</v>
      </c>
      <c r="S9" s="429">
        <v>0.58409999999999995</v>
      </c>
      <c r="T9" s="429">
        <f>R9+S9</f>
        <v>5.3081000000000005</v>
      </c>
    </row>
    <row r="10" spans="2:20" ht="12" customHeight="1">
      <c r="B10" s="769"/>
      <c r="C10" s="770"/>
      <c r="D10" s="771"/>
      <c r="E10" s="437">
        <v>2.6550000000000001E-2</v>
      </c>
      <c r="F10" s="772"/>
      <c r="G10" s="438">
        <f>+H10+I10</f>
        <v>0.96505920000000001</v>
      </c>
      <c r="H10" s="438">
        <f>+(E9+E10)*$C$4</f>
        <v>0.2412648</v>
      </c>
      <c r="I10" s="438">
        <f>+(E9+E10)*$D$4</f>
        <v>0.72379440000000006</v>
      </c>
      <c r="J10" s="438"/>
      <c r="K10" s="438"/>
      <c r="L10" s="772"/>
      <c r="M10" s="803"/>
      <c r="N10" s="440"/>
      <c r="R10" s="429">
        <v>0.64400000000000002</v>
      </c>
      <c r="S10" s="429">
        <v>7.9649999999999999E-2</v>
      </c>
      <c r="T10" s="429">
        <f>R10+S10</f>
        <v>0.72365000000000002</v>
      </c>
    </row>
    <row r="11" spans="2:20" ht="12" customHeight="1">
      <c r="B11" s="799" t="s">
        <v>71</v>
      </c>
      <c r="C11" s="800" t="s">
        <v>71</v>
      </c>
      <c r="D11" s="801" t="s">
        <v>71</v>
      </c>
      <c r="E11" s="441">
        <v>0.4276219</v>
      </c>
      <c r="F11" s="772">
        <f t="shared" ref="F11" si="1">+(E11+E12)*$E$5</f>
        <v>14.902378899999999</v>
      </c>
      <c r="G11" s="438">
        <f t="shared" ref="G11:G24" si="2">+H11+I11</f>
        <v>12.979491299999999</v>
      </c>
      <c r="H11" s="438">
        <f t="shared" ref="H11" si="3">+(E11+E12)*$C$3</f>
        <v>2.4036095</v>
      </c>
      <c r="I11" s="438">
        <f t="shared" ref="I11" si="4">+(E11+E12)*$D$3</f>
        <v>10.575881799999999</v>
      </c>
      <c r="J11" s="438"/>
      <c r="K11" s="438"/>
      <c r="L11" s="772">
        <f>+F11+J11+K11</f>
        <v>14.902378899999999</v>
      </c>
      <c r="M11" s="803">
        <f>+L11/$E$5</f>
        <v>0.48072189999999998</v>
      </c>
      <c r="N11" s="439">
        <f t="shared" ref="N11" si="5">+M11-E11</f>
        <v>5.3099999999999981E-2</v>
      </c>
    </row>
    <row r="12" spans="2:20" ht="12" customHeight="1">
      <c r="B12" s="769"/>
      <c r="C12" s="770"/>
      <c r="D12" s="771"/>
      <c r="E12" s="442">
        <f>0.00465+0.01095+0.0375</f>
        <v>5.3099999999999994E-2</v>
      </c>
      <c r="F12" s="772"/>
      <c r="G12" s="438">
        <f t="shared" si="2"/>
        <v>1.9228875999999999</v>
      </c>
      <c r="H12" s="438">
        <f t="shared" ref="H12" si="6">+(E11+E12)*$C$4</f>
        <v>0.48072189999999998</v>
      </c>
      <c r="I12" s="438">
        <f t="shared" ref="I12" si="7">+(E11+E12)*$D$4</f>
        <v>1.4421656999999999</v>
      </c>
      <c r="J12" s="438"/>
      <c r="K12" s="438"/>
      <c r="L12" s="772"/>
      <c r="M12" s="803"/>
      <c r="N12" s="440"/>
    </row>
    <row r="13" spans="2:20" ht="12" customHeight="1">
      <c r="B13" s="799" t="s">
        <v>70</v>
      </c>
      <c r="C13" s="800" t="s">
        <v>70</v>
      </c>
      <c r="D13" s="801" t="s">
        <v>70</v>
      </c>
      <c r="E13" s="441">
        <f>0.0979033+0.0894907</f>
        <v>0.18739400000000001</v>
      </c>
      <c r="F13" s="772">
        <f t="shared" ref="F13" si="8">+(E13+E14)*$E$5</f>
        <v>6.5253140000000007</v>
      </c>
      <c r="G13" s="438">
        <f t="shared" si="2"/>
        <v>5.6833380000000009</v>
      </c>
      <c r="H13" s="438">
        <f t="shared" ref="H13" si="9">+(E13+E14)*$C$3</f>
        <v>1.05247</v>
      </c>
      <c r="I13" s="438">
        <f t="shared" ref="I13" si="10">+(E13+E14)*$D$3</f>
        <v>4.6308680000000004</v>
      </c>
      <c r="J13" s="438"/>
      <c r="K13" s="438"/>
      <c r="L13" s="772">
        <f t="shared" ref="L13" si="11">+F13+J13+K13</f>
        <v>6.5253140000000007</v>
      </c>
      <c r="M13" s="803">
        <f t="shared" ref="M13" si="12">+L13/$E$5</f>
        <v>0.21049400000000001</v>
      </c>
      <c r="N13" s="443">
        <f t="shared" ref="N13" si="13">+M13-E13</f>
        <v>2.3100000000000009E-2</v>
      </c>
    </row>
    <row r="14" spans="2:20" ht="12" customHeight="1">
      <c r="B14" s="769"/>
      <c r="C14" s="770"/>
      <c r="D14" s="771"/>
      <c r="E14" s="442">
        <v>2.3099999999999999E-2</v>
      </c>
      <c r="F14" s="772"/>
      <c r="G14" s="438">
        <f t="shared" si="2"/>
        <v>0.84197600000000006</v>
      </c>
      <c r="H14" s="438">
        <f t="shared" ref="H14" si="14">+(E13+E14)*$C$4</f>
        <v>0.21049400000000001</v>
      </c>
      <c r="I14" s="438">
        <f t="shared" ref="I14" si="15">+(E13+E14)*$D$4</f>
        <v>0.6314820000000001</v>
      </c>
      <c r="J14" s="438"/>
      <c r="K14" s="438"/>
      <c r="L14" s="772"/>
      <c r="M14" s="803"/>
      <c r="N14" s="440"/>
    </row>
    <row r="15" spans="2:20" ht="12" customHeight="1">
      <c r="B15" s="799" t="s">
        <v>29</v>
      </c>
      <c r="C15" s="800" t="s">
        <v>29</v>
      </c>
      <c r="D15" s="801" t="s">
        <v>29</v>
      </c>
      <c r="E15" s="441">
        <v>1.8069200000000001E-2</v>
      </c>
      <c r="F15" s="772">
        <f t="shared" ref="F15" si="16">+(E15+E16)*$E$5</f>
        <v>2.0248952</v>
      </c>
      <c r="G15" s="438">
        <f t="shared" si="2"/>
        <v>1.7636183999999999</v>
      </c>
      <c r="H15" s="438">
        <f t="shared" ref="H15" si="17">+(E15+E16)*$C$3</f>
        <v>0.326596</v>
      </c>
      <c r="I15" s="438">
        <f t="shared" ref="I15" si="18">+(E15+E16)*$D$3</f>
        <v>1.4370223999999998</v>
      </c>
      <c r="J15" s="438"/>
      <c r="K15" s="438"/>
      <c r="L15" s="772">
        <f t="shared" ref="L15" si="19">+F15+J15+K15</f>
        <v>2.0248952</v>
      </c>
      <c r="M15" s="803">
        <f t="shared" ref="M15" si="20">+L15/$E$5</f>
        <v>6.5319199999999994E-2</v>
      </c>
      <c r="N15" s="439">
        <f t="shared" ref="N15" si="21">+M15-E15</f>
        <v>4.7249999999999993E-2</v>
      </c>
    </row>
    <row r="16" spans="2:20" ht="12" customHeight="1">
      <c r="B16" s="769"/>
      <c r="C16" s="770"/>
      <c r="D16" s="771"/>
      <c r="E16" s="442">
        <f>0.0225+0.0225+0.00225</f>
        <v>4.725E-2</v>
      </c>
      <c r="F16" s="772"/>
      <c r="G16" s="438">
        <f t="shared" si="2"/>
        <v>0.26127679999999998</v>
      </c>
      <c r="H16" s="438">
        <f t="shared" ref="H16" si="22">+(E15+E16)*$C$4</f>
        <v>6.5319199999999994E-2</v>
      </c>
      <c r="I16" s="438">
        <f t="shared" ref="I16" si="23">+(E15+E16)*$D$4</f>
        <v>0.19595759999999998</v>
      </c>
      <c r="J16" s="438"/>
      <c r="K16" s="438"/>
      <c r="L16" s="772"/>
      <c r="M16" s="803"/>
      <c r="N16" s="440"/>
    </row>
    <row r="17" spans="2:17" ht="12" customHeight="1">
      <c r="B17" s="799" t="s">
        <v>73</v>
      </c>
      <c r="C17" s="800" t="s">
        <v>73</v>
      </c>
      <c r="D17" s="801" t="s">
        <v>73</v>
      </c>
      <c r="E17" s="441">
        <v>0</v>
      </c>
      <c r="F17" s="772">
        <f t="shared" ref="F17" si="24">+(E17+E18)*$E$5</f>
        <v>0</v>
      </c>
      <c r="G17" s="438">
        <f t="shared" si="2"/>
        <v>0</v>
      </c>
      <c r="H17" s="438">
        <f t="shared" ref="H17" si="25">+(E17+E18)*$C$3</f>
        <v>0</v>
      </c>
      <c r="I17" s="438">
        <f t="shared" ref="I17" si="26">+(E17+E18)*$D$3</f>
        <v>0</v>
      </c>
      <c r="J17" s="438"/>
      <c r="K17" s="438"/>
      <c r="L17" s="772">
        <f t="shared" ref="L17" si="27">+F17+J17+K17</f>
        <v>0</v>
      </c>
      <c r="M17" s="803">
        <f t="shared" ref="M17" si="28">+L17/$E$5</f>
        <v>0</v>
      </c>
      <c r="N17" s="439">
        <f t="shared" ref="N17" si="29">+M17-E17</f>
        <v>0</v>
      </c>
    </row>
    <row r="18" spans="2:17" ht="12" customHeight="1">
      <c r="B18" s="769"/>
      <c r="C18" s="770"/>
      <c r="D18" s="771"/>
      <c r="E18" s="420"/>
      <c r="F18" s="772"/>
      <c r="G18" s="438">
        <f t="shared" si="2"/>
        <v>0</v>
      </c>
      <c r="H18" s="438">
        <f t="shared" ref="H18" si="30">+(E17+E18)*$C$4</f>
        <v>0</v>
      </c>
      <c r="I18" s="438">
        <f t="shared" ref="I18" si="31">+(E17+E18)*$D$4</f>
        <v>0</v>
      </c>
      <c r="J18" s="438"/>
      <c r="K18" s="438"/>
      <c r="L18" s="772"/>
      <c r="M18" s="803"/>
      <c r="N18" s="440"/>
    </row>
    <row r="19" spans="2:17" ht="12" customHeight="1" thickBot="1">
      <c r="B19" s="799" t="s">
        <v>25</v>
      </c>
      <c r="C19" s="800" t="s">
        <v>25</v>
      </c>
      <c r="D19" s="801" t="s">
        <v>25</v>
      </c>
      <c r="E19" s="441">
        <v>2.2000000000000001E-3</v>
      </c>
      <c r="F19" s="772">
        <f t="shared" ref="F19" si="32">+(E19+E20)*$E$5</f>
        <v>6.8200000000000011E-2</v>
      </c>
      <c r="G19" s="438">
        <f>+H19+I19</f>
        <v>5.9400000000000008E-2</v>
      </c>
      <c r="H19" s="438">
        <f t="shared" ref="H19" si="33">+(E19+E20)*$C$3</f>
        <v>1.1000000000000001E-2</v>
      </c>
      <c r="I19" s="438">
        <f t="shared" ref="I19" si="34">+(E19+E20)*$D$3</f>
        <v>4.8400000000000006E-2</v>
      </c>
      <c r="J19" s="444">
        <f>-J30</f>
        <v>-2.82E-3</v>
      </c>
      <c r="K19" s="445">
        <f>-K30</f>
        <v>-1.175E-2</v>
      </c>
      <c r="L19" s="772">
        <f t="shared" ref="L19" si="35">+F19+J19+K19</f>
        <v>5.3630000000000011E-2</v>
      </c>
      <c r="M19" s="803">
        <f t="shared" ref="M19" si="36">+L19/$E$5</f>
        <v>1.7300000000000004E-3</v>
      </c>
      <c r="N19" s="446">
        <v>1.73E-3</v>
      </c>
      <c r="O19" s="447">
        <f>+N19-M19</f>
        <v>0</v>
      </c>
      <c r="P19" s="448"/>
      <c r="Q19" s="449"/>
    </row>
    <row r="20" spans="2:17" ht="12" customHeight="1">
      <c r="B20" s="769"/>
      <c r="C20" s="770"/>
      <c r="D20" s="771"/>
      <c r="E20" s="420"/>
      <c r="F20" s="772"/>
      <c r="G20" s="438">
        <f>+H20+I20</f>
        <v>8.8000000000000005E-3</v>
      </c>
      <c r="H20" s="438">
        <f t="shared" ref="H20" si="37">+(E19+E20)*$C$4</f>
        <v>2.2000000000000001E-3</v>
      </c>
      <c r="I20" s="438">
        <f t="shared" ref="I20" si="38">+(E19+E20)*$D$4</f>
        <v>6.6E-3</v>
      </c>
      <c r="J20" s="438"/>
      <c r="K20" s="438"/>
      <c r="L20" s="772"/>
      <c r="M20" s="803"/>
      <c r="N20" s="440"/>
      <c r="P20" s="448"/>
      <c r="Q20" s="449"/>
    </row>
    <row r="21" spans="2:17" ht="12" customHeight="1" thickBot="1">
      <c r="B21" s="799" t="s">
        <v>85</v>
      </c>
      <c r="C21" s="800" t="s">
        <v>85</v>
      </c>
      <c r="D21" s="801" t="s">
        <v>85</v>
      </c>
      <c r="E21" s="441">
        <v>1E-4</v>
      </c>
      <c r="F21" s="772">
        <f t="shared" ref="F21" si="39">+(E21+E22)*$E$5</f>
        <v>3.1000000000000003E-3</v>
      </c>
      <c r="G21" s="438">
        <f t="shared" si="2"/>
        <v>2.7000000000000001E-3</v>
      </c>
      <c r="H21" s="438">
        <f t="shared" ref="H21" si="40">+(E21+E22)*$C$3</f>
        <v>5.0000000000000001E-4</v>
      </c>
      <c r="I21" s="438">
        <f t="shared" ref="I21" si="41">+(E21+E22)*$D$3</f>
        <v>2.2000000000000001E-3</v>
      </c>
      <c r="J21" s="438"/>
      <c r="K21" s="438"/>
      <c r="L21" s="772">
        <f t="shared" ref="L21" si="42">+F21+J21+K21</f>
        <v>3.1000000000000003E-3</v>
      </c>
      <c r="M21" s="803">
        <f t="shared" ref="M21" si="43">+L21/$E$5</f>
        <v>1E-4</v>
      </c>
      <c r="N21" s="443">
        <f t="shared" ref="N21" si="44">+M21-E21</f>
        <v>0</v>
      </c>
      <c r="O21" s="447">
        <f>+N21-M21</f>
        <v>-1E-4</v>
      </c>
      <c r="P21" s="448">
        <v>0</v>
      </c>
      <c r="Q21" s="449">
        <f>+M21-P21</f>
        <v>1E-4</v>
      </c>
    </row>
    <row r="22" spans="2:17" ht="12" customHeight="1">
      <c r="B22" s="769"/>
      <c r="C22" s="770"/>
      <c r="D22" s="771"/>
      <c r="E22" s="420"/>
      <c r="F22" s="772"/>
      <c r="G22" s="438">
        <f t="shared" si="2"/>
        <v>4.0000000000000002E-4</v>
      </c>
      <c r="H22" s="438">
        <f t="shared" ref="H22" si="45">+(E21+E22)*$C$4</f>
        <v>1E-4</v>
      </c>
      <c r="I22" s="438">
        <f t="shared" ref="I22" si="46">+(E21+E22)*$D$4</f>
        <v>3.0000000000000003E-4</v>
      </c>
      <c r="J22" s="438"/>
      <c r="K22" s="438"/>
      <c r="L22" s="772"/>
      <c r="M22" s="803"/>
      <c r="N22" s="440"/>
      <c r="P22" s="448"/>
      <c r="Q22" s="449"/>
    </row>
    <row r="23" spans="2:17" ht="12" customHeight="1">
      <c r="B23" s="799" t="s">
        <v>227</v>
      </c>
      <c r="C23" s="800" t="s">
        <v>72</v>
      </c>
      <c r="D23" s="801" t="s">
        <v>72</v>
      </c>
      <c r="E23" s="441">
        <v>0</v>
      </c>
      <c r="F23" s="772">
        <f t="shared" ref="F23" si="47">+(E23+E24)*$E$5</f>
        <v>0</v>
      </c>
      <c r="G23" s="438">
        <f t="shared" si="2"/>
        <v>0</v>
      </c>
      <c r="H23" s="438">
        <f t="shared" ref="H23" si="48">+(E23+E24)*$C$3</f>
        <v>0</v>
      </c>
      <c r="I23" s="438">
        <f t="shared" ref="I23" si="49">+(E23+E24)*$D$3</f>
        <v>0</v>
      </c>
      <c r="J23" s="450">
        <f>+J30</f>
        <v>2.82E-3</v>
      </c>
      <c r="K23" s="451">
        <f>+K30</f>
        <v>1.175E-2</v>
      </c>
      <c r="L23" s="772">
        <f t="shared" ref="L23" si="50">+F23+J23+K23</f>
        <v>1.457E-2</v>
      </c>
      <c r="M23" s="803">
        <f t="shared" ref="M23" si="51">+L23/$E$5</f>
        <v>4.6999999999999999E-4</v>
      </c>
      <c r="N23" s="439">
        <f t="shared" ref="N23" si="52">+M23-E23</f>
        <v>4.6999999999999999E-4</v>
      </c>
      <c r="P23" s="448"/>
      <c r="Q23" s="449"/>
    </row>
    <row r="24" spans="2:17" ht="12" customHeight="1">
      <c r="B24" s="769"/>
      <c r="C24" s="770"/>
      <c r="D24" s="771"/>
      <c r="E24" s="452"/>
      <c r="F24" s="772"/>
      <c r="G24" s="326">
        <f t="shared" si="2"/>
        <v>0</v>
      </c>
      <c r="H24" s="438">
        <f t="shared" ref="H24" si="53">+(E23+E24)*$C$4</f>
        <v>0</v>
      </c>
      <c r="I24" s="438">
        <f t="shared" ref="I24" si="54">+(E23+E24)*$D$4</f>
        <v>0</v>
      </c>
      <c r="J24" s="326"/>
      <c r="K24" s="326"/>
      <c r="L24" s="810"/>
      <c r="M24" s="804"/>
      <c r="N24" s="440"/>
    </row>
    <row r="25" spans="2:17" ht="12" customHeight="1">
      <c r="B25" s="773" t="s">
        <v>134</v>
      </c>
      <c r="C25" s="774"/>
      <c r="D25" s="775"/>
      <c r="E25" s="453">
        <f>+E9+E11+E13+E15+E19+E21</f>
        <v>0.85009990000000002</v>
      </c>
      <c r="F25" s="779">
        <f>SUM(F9:F24)</f>
        <v>31.003096899999999</v>
      </c>
      <c r="G25" s="453">
        <f>+G9+G11+G13+G15+G17+G19+G21+G23</f>
        <v>27.002697300000001</v>
      </c>
      <c r="H25" s="453">
        <f t="shared" ref="H25:I26" si="55">+H9+H11+H13+H15+H17+H19+H21+H23</f>
        <v>5.0004995000000001</v>
      </c>
      <c r="I25" s="453">
        <f t="shared" si="55"/>
        <v>22.002197799999998</v>
      </c>
      <c r="J25" s="809">
        <f>SUM(J9:J24)</f>
        <v>0</v>
      </c>
      <c r="K25" s="809">
        <f>SUM(K9:K24)</f>
        <v>0</v>
      </c>
      <c r="L25" s="808">
        <f>SUM(L9:L24)</f>
        <v>31.003096899999996</v>
      </c>
      <c r="M25" s="808">
        <f>SUM(M9:M24)</f>
        <v>1.0000998999999999</v>
      </c>
      <c r="N25" s="454"/>
    </row>
    <row r="26" spans="2:17" ht="12" customHeight="1">
      <c r="B26" s="776"/>
      <c r="C26" s="777"/>
      <c r="D26" s="778"/>
      <c r="E26" s="453">
        <f>+E10+E12+E14+E16+E20+E22</f>
        <v>0.15</v>
      </c>
      <c r="F26" s="779"/>
      <c r="G26" s="453">
        <f>+G10+G12+G14+G16+G18+G20+G22+G24</f>
        <v>4.0003995999999997</v>
      </c>
      <c r="H26" s="453">
        <f t="shared" si="55"/>
        <v>1.0000998999999999</v>
      </c>
      <c r="I26" s="453">
        <f t="shared" si="55"/>
        <v>3.0002997000000002</v>
      </c>
      <c r="J26" s="809"/>
      <c r="K26" s="809"/>
      <c r="L26" s="808"/>
      <c r="M26" s="808"/>
      <c r="N26" s="454"/>
    </row>
    <row r="28" spans="2:17" ht="12" customHeight="1">
      <c r="B28" s="780" t="s">
        <v>225</v>
      </c>
      <c r="C28" s="781"/>
      <c r="D28" s="781"/>
      <c r="E28" s="781"/>
      <c r="F28" s="781"/>
      <c r="G28" s="781"/>
      <c r="H28" s="781"/>
      <c r="I28" s="782"/>
      <c r="J28" s="419"/>
      <c r="K28" s="419"/>
    </row>
    <row r="29" spans="2:17" ht="12" customHeight="1">
      <c r="B29" s="455" t="s">
        <v>153</v>
      </c>
      <c r="C29" s="455" t="s">
        <v>151</v>
      </c>
      <c r="D29" s="783" t="s">
        <v>170</v>
      </c>
      <c r="E29" s="784"/>
      <c r="F29" s="785"/>
      <c r="G29" s="456" t="s">
        <v>155</v>
      </c>
      <c r="H29" s="457" t="s">
        <v>156</v>
      </c>
      <c r="I29" s="458" t="s">
        <v>152</v>
      </c>
      <c r="J29" s="459" t="s">
        <v>82</v>
      </c>
      <c r="K29" s="460" t="s">
        <v>69</v>
      </c>
      <c r="L29" s="461" t="s">
        <v>150</v>
      </c>
    </row>
    <row r="30" spans="2:17" ht="12" customHeight="1">
      <c r="B30" s="462">
        <v>2588</v>
      </c>
      <c r="C30" s="463">
        <v>43670</v>
      </c>
      <c r="D30" s="786" t="s">
        <v>228</v>
      </c>
      <c r="E30" s="787"/>
      <c r="F30" s="788"/>
      <c r="G30" s="420" t="s">
        <v>229</v>
      </c>
      <c r="H30" s="420" t="s">
        <v>230</v>
      </c>
      <c r="I30" s="464">
        <v>4.6999999999999999E-4</v>
      </c>
      <c r="J30" s="465">
        <f>+I30*$C$5</f>
        <v>2.82E-3</v>
      </c>
      <c r="K30" s="465">
        <f>+I30*$D$5</f>
        <v>1.175E-2</v>
      </c>
      <c r="L30" s="466">
        <f>+I30*$E$5</f>
        <v>1.457E-2</v>
      </c>
    </row>
    <row r="31" spans="2:17" ht="12" customHeight="1">
      <c r="B31" s="462"/>
      <c r="C31" s="463"/>
      <c r="D31" s="786"/>
      <c r="E31" s="787"/>
      <c r="F31" s="788"/>
      <c r="G31" s="467"/>
      <c r="H31" s="467"/>
      <c r="I31" s="464"/>
      <c r="J31" s="465">
        <f>+I31*$C$5</f>
        <v>0</v>
      </c>
      <c r="K31" s="465">
        <f>+I31*$D$5</f>
        <v>0</v>
      </c>
      <c r="L31" s="466">
        <f>+I31*$E$5</f>
        <v>0</v>
      </c>
    </row>
    <row r="32" spans="2:17" ht="12" customHeight="1">
      <c r="B32" s="420"/>
      <c r="C32" s="463"/>
      <c r="D32" s="786"/>
      <c r="E32" s="787"/>
      <c r="F32" s="788"/>
      <c r="G32" s="467"/>
      <c r="H32" s="467"/>
      <c r="I32" s="464"/>
      <c r="J32" s="465">
        <f t="shared" ref="J32:J34" si="56">+I32*$C$5</f>
        <v>0</v>
      </c>
      <c r="K32" s="465">
        <f t="shared" ref="K32:K34" si="57">+I32*$D$5</f>
        <v>0</v>
      </c>
      <c r="L32" s="466">
        <f t="shared" ref="L32:L34" si="58">+I32*$E$5</f>
        <v>0</v>
      </c>
    </row>
    <row r="33" spans="2:13" ht="12" customHeight="1">
      <c r="B33" s="420"/>
      <c r="C33" s="463"/>
      <c r="D33" s="786"/>
      <c r="E33" s="787"/>
      <c r="F33" s="788"/>
      <c r="G33" s="467"/>
      <c r="H33" s="467"/>
      <c r="I33" s="464"/>
      <c r="J33" s="465">
        <f t="shared" si="56"/>
        <v>0</v>
      </c>
      <c r="K33" s="465">
        <f t="shared" si="57"/>
        <v>0</v>
      </c>
      <c r="L33" s="466">
        <f t="shared" si="58"/>
        <v>0</v>
      </c>
    </row>
    <row r="34" spans="2:13" ht="12" customHeight="1">
      <c r="B34" s="420"/>
      <c r="C34" s="463"/>
      <c r="D34" s="786"/>
      <c r="E34" s="787"/>
      <c r="F34" s="788"/>
      <c r="G34" s="467"/>
      <c r="H34" s="467"/>
      <c r="I34" s="464"/>
      <c r="J34" s="465">
        <f t="shared" si="56"/>
        <v>0</v>
      </c>
      <c r="K34" s="465">
        <f t="shared" si="57"/>
        <v>0</v>
      </c>
      <c r="L34" s="466">
        <f t="shared" si="58"/>
        <v>0</v>
      </c>
    </row>
    <row r="40" spans="2:13" ht="12" customHeight="1" thickBot="1"/>
    <row r="41" spans="2:13" ht="12" customHeight="1" thickBot="1">
      <c r="B41" s="805" t="s">
        <v>99</v>
      </c>
      <c r="C41" s="806"/>
      <c r="D41" s="806"/>
      <c r="E41" s="807"/>
    </row>
    <row r="42" spans="2:13" ht="12" customHeight="1">
      <c r="B42" s="468" t="s">
        <v>149</v>
      </c>
      <c r="C42" s="469" t="s">
        <v>95</v>
      </c>
      <c r="D42" s="421" t="s">
        <v>96</v>
      </c>
      <c r="E42" s="470" t="s">
        <v>75</v>
      </c>
    </row>
    <row r="43" spans="2:13" ht="12" customHeight="1">
      <c r="B43" s="422" t="s">
        <v>76</v>
      </c>
      <c r="C43" s="423">
        <v>990</v>
      </c>
      <c r="D43" s="423">
        <v>3206</v>
      </c>
      <c r="E43" s="424">
        <f>SUM(C43:D43)</f>
        <v>4196</v>
      </c>
    </row>
    <row r="44" spans="2:13" ht="12" customHeight="1">
      <c r="B44" s="422" t="s">
        <v>77</v>
      </c>
      <c r="C44" s="423">
        <v>110</v>
      </c>
      <c r="D44" s="423">
        <v>356</v>
      </c>
      <c r="E44" s="424">
        <f>SUM(C44:D44)</f>
        <v>466</v>
      </c>
    </row>
    <row r="45" spans="2:13" ht="12" customHeight="1" thickBot="1">
      <c r="B45" s="425" t="s">
        <v>150</v>
      </c>
      <c r="C45" s="426">
        <f>SUM(C43:C44)</f>
        <v>1100</v>
      </c>
      <c r="D45" s="426">
        <f t="shared" ref="D45" si="59">SUM(D43:D44)</f>
        <v>3562</v>
      </c>
      <c r="E45" s="427">
        <f>SUM(C45:D45)</f>
        <v>4662</v>
      </c>
    </row>
    <row r="46" spans="2:13" ht="12" customHeight="1">
      <c r="B46" s="418"/>
      <c r="C46" s="434"/>
      <c r="D46" s="434"/>
      <c r="E46" s="434"/>
      <c r="F46" s="434"/>
      <c r="G46" s="434"/>
      <c r="H46" s="434"/>
    </row>
    <row r="47" spans="2:13" ht="12" customHeight="1">
      <c r="G47" s="748" t="s">
        <v>79</v>
      </c>
      <c r="H47" s="749"/>
      <c r="I47" s="750"/>
      <c r="J47" s="811" t="s">
        <v>100</v>
      </c>
      <c r="K47" s="811"/>
    </row>
    <row r="48" spans="2:13" s="505" customFormat="1" ht="31.9" customHeight="1">
      <c r="B48" s="812" t="s">
        <v>80</v>
      </c>
      <c r="C48" s="813"/>
      <c r="D48" s="813"/>
      <c r="E48" s="500" t="s">
        <v>137</v>
      </c>
      <c r="F48" s="501" t="s">
        <v>105</v>
      </c>
      <c r="G48" s="500" t="s">
        <v>81</v>
      </c>
      <c r="H48" s="500" t="s">
        <v>106</v>
      </c>
      <c r="I48" s="502" t="s">
        <v>107</v>
      </c>
      <c r="J48" s="502" t="s">
        <v>108</v>
      </c>
      <c r="K48" s="500" t="s">
        <v>109</v>
      </c>
      <c r="L48" s="503" t="s">
        <v>110</v>
      </c>
      <c r="M48" s="504" t="s">
        <v>98</v>
      </c>
    </row>
    <row r="49" spans="2:13" ht="12" customHeight="1">
      <c r="B49" s="735" t="s">
        <v>138</v>
      </c>
      <c r="C49" s="736"/>
      <c r="D49" s="737">
        <v>0.63755600000000001</v>
      </c>
      <c r="E49" s="451">
        <f>+'Adjudicacions Pep SSP'!B6</f>
        <v>63.923779000000003</v>
      </c>
      <c r="F49" s="741">
        <f>+$E$45*E49/100</f>
        <v>2980.1265769800002</v>
      </c>
      <c r="G49" s="451">
        <f>SUM(H49:I49)</f>
        <v>2682.2417668399999</v>
      </c>
      <c r="H49" s="472">
        <f>+E49/100*$C$43</f>
        <v>632.84541209999998</v>
      </c>
      <c r="I49" s="450">
        <f>+E49/100*$D$43</f>
        <v>2049.3963547399999</v>
      </c>
      <c r="J49" s="473">
        <f>+J87+J95-J88-J90-J91-J93-J94+J97+J99</f>
        <v>-411.49161316479996</v>
      </c>
      <c r="K49" s="326">
        <f>+K87+K89+K92+K96-K88-K90-K91-K93-K94+K97-K98+K99</f>
        <v>59.546127755760097</v>
      </c>
      <c r="L49" s="760">
        <f>+F49+J49+K49+J50+K50</f>
        <v>2727.4005915709604</v>
      </c>
      <c r="M49" s="758">
        <f>+L49/$E$45</f>
        <v>0.58502801191998288</v>
      </c>
    </row>
    <row r="50" spans="2:13" ht="12" customHeight="1">
      <c r="B50" s="738"/>
      <c r="C50" s="739"/>
      <c r="D50" s="740"/>
      <c r="E50" s="474"/>
      <c r="F50" s="742"/>
      <c r="G50" s="474">
        <f>SUM(H50:I50)</f>
        <v>297.88481014000001</v>
      </c>
      <c r="H50" s="475">
        <f>+E49/100*$C$44</f>
        <v>70.31615690000001</v>
      </c>
      <c r="I50" s="476">
        <f>+E49/100*$D$44</f>
        <v>227.56865324</v>
      </c>
      <c r="J50" s="450"/>
      <c r="K50" s="451">
        <f>K100</f>
        <v>99.219499999999996</v>
      </c>
      <c r="L50" s="761"/>
      <c r="M50" s="759"/>
    </row>
    <row r="51" spans="2:13" ht="12" customHeight="1">
      <c r="B51" s="735" t="s">
        <v>139</v>
      </c>
      <c r="C51" s="736"/>
      <c r="D51" s="737">
        <v>2.637556</v>
      </c>
      <c r="E51" s="451">
        <f>+'Adjudicacions Pep SSP'!B7</f>
        <v>6.9585499999999998</v>
      </c>
      <c r="F51" s="741">
        <f>+$E$45*E51/100</f>
        <v>324.407601</v>
      </c>
      <c r="G51" s="451">
        <f t="shared" ref="G51:G76" si="60">SUM(H51:I51)</f>
        <v>291.98075799999998</v>
      </c>
      <c r="H51" s="477">
        <f>+E51/100*$C$43</f>
        <v>68.889645000000002</v>
      </c>
      <c r="I51" s="473">
        <f>+E51/100*$D$43</f>
        <v>223.09111299999998</v>
      </c>
      <c r="J51" s="450">
        <f>+J90</f>
        <v>258.27531281999995</v>
      </c>
      <c r="K51" s="451">
        <f>-K89</f>
        <v>-232.68941766</v>
      </c>
      <c r="L51" s="762">
        <f>+F51+J51+K51+J52+K52</f>
        <v>349.99349615999995</v>
      </c>
      <c r="M51" s="758">
        <f>+L51/$E$45</f>
        <v>7.507367999999999E-2</v>
      </c>
    </row>
    <row r="52" spans="2:13" ht="12" customHeight="1">
      <c r="B52" s="738"/>
      <c r="C52" s="739"/>
      <c r="D52" s="740"/>
      <c r="E52" s="474"/>
      <c r="F52" s="742"/>
      <c r="G52" s="474">
        <f t="shared" si="60"/>
        <v>32.426842999999998</v>
      </c>
      <c r="H52" s="475">
        <f>+E51/100*$C$44</f>
        <v>7.6544049999999997</v>
      </c>
      <c r="I52" s="476">
        <f>+E51/100*$D$44</f>
        <v>24.772437999999998</v>
      </c>
      <c r="J52" s="450"/>
      <c r="K52" s="451"/>
      <c r="L52" s="761"/>
      <c r="M52" s="759"/>
    </row>
    <row r="53" spans="2:13" ht="12" customHeight="1">
      <c r="B53" s="735" t="s">
        <v>140</v>
      </c>
      <c r="C53" s="736"/>
      <c r="D53" s="737">
        <v>3.637556</v>
      </c>
      <c r="E53" s="451">
        <f>+'Adjudicacions Pep SSP'!B8</f>
        <v>0.5</v>
      </c>
      <c r="F53" s="741">
        <f t="shared" ref="F53" si="61">+$E$45*E53/100</f>
        <v>23.31</v>
      </c>
      <c r="G53" s="451">
        <f t="shared" si="60"/>
        <v>20.98</v>
      </c>
      <c r="H53" s="472">
        <f t="shared" ref="H53" si="62">+E53/100*$C$43</f>
        <v>4.95</v>
      </c>
      <c r="I53" s="450">
        <f t="shared" ref="I53" si="63">+E53/100*$D$43</f>
        <v>16.03</v>
      </c>
      <c r="J53" s="450"/>
      <c r="K53" s="451"/>
      <c r="L53" s="763">
        <f t="shared" ref="L53" si="64">+F53+J53+K53+J54+K54</f>
        <v>23.31</v>
      </c>
      <c r="M53" s="758">
        <f>+L53/$E$45</f>
        <v>5.0000000000000001E-3</v>
      </c>
    </row>
    <row r="54" spans="2:13" ht="12" customHeight="1">
      <c r="B54" s="738"/>
      <c r="C54" s="739"/>
      <c r="D54" s="740"/>
      <c r="E54" s="474"/>
      <c r="F54" s="742"/>
      <c r="G54" s="474">
        <f t="shared" si="60"/>
        <v>2.33</v>
      </c>
      <c r="H54" s="475">
        <f t="shared" ref="H54" si="65">+E53/100*$C$44</f>
        <v>0.55000000000000004</v>
      </c>
      <c r="I54" s="476">
        <f t="shared" ref="I54" si="66">+E53/100*$D$44</f>
        <v>1.78</v>
      </c>
      <c r="J54" s="450"/>
      <c r="K54" s="451"/>
      <c r="L54" s="761"/>
      <c r="M54" s="759"/>
    </row>
    <row r="55" spans="2:13" ht="12" customHeight="1">
      <c r="B55" s="735" t="s">
        <v>141</v>
      </c>
      <c r="C55" s="736"/>
      <c r="D55" s="737">
        <v>4.637556</v>
      </c>
      <c r="E55" s="451">
        <f>+'Adjudicacions Pep SSP'!B9</f>
        <v>5.9579960000000005</v>
      </c>
      <c r="F55" s="741">
        <f t="shared" ref="F55" si="67">+$E$45*E55/100</f>
        <v>277.76177352000002</v>
      </c>
      <c r="G55" s="451">
        <f t="shared" si="60"/>
        <v>249.99751216000004</v>
      </c>
      <c r="H55" s="477">
        <f t="shared" ref="H55" si="68">+E55/100*$C$43</f>
        <v>58.984160400000007</v>
      </c>
      <c r="I55" s="473">
        <f t="shared" ref="I55" si="69">+E55/100*$D$43</f>
        <v>191.01335176000003</v>
      </c>
      <c r="J55" s="450">
        <f>+J91-J95</f>
        <v>100.413000682</v>
      </c>
      <c r="K55" s="451">
        <f>+K91-K96</f>
        <v>187.44200749999999</v>
      </c>
      <c r="L55" s="763">
        <f t="shared" ref="L55" si="70">+F55+J55+K55+J56+K56</f>
        <v>565.61678170200003</v>
      </c>
      <c r="M55" s="758">
        <f>+L55/$E$45</f>
        <v>0.121324921</v>
      </c>
    </row>
    <row r="56" spans="2:13" ht="12" customHeight="1">
      <c r="B56" s="738"/>
      <c r="C56" s="739"/>
      <c r="D56" s="740"/>
      <c r="E56" s="474"/>
      <c r="F56" s="742"/>
      <c r="G56" s="474">
        <f t="shared" si="60"/>
        <v>27.764261360000003</v>
      </c>
      <c r="H56" s="475">
        <f t="shared" ref="H56" si="71">+E55/100*$C$44</f>
        <v>6.5537956000000008</v>
      </c>
      <c r="I56" s="476">
        <f t="shared" ref="I56" si="72">+E55/100*$D$44</f>
        <v>21.210465760000002</v>
      </c>
      <c r="J56" s="450"/>
      <c r="K56" s="451"/>
      <c r="L56" s="761"/>
      <c r="M56" s="759"/>
    </row>
    <row r="57" spans="2:13" ht="12" customHeight="1">
      <c r="B57" s="735" t="s">
        <v>28</v>
      </c>
      <c r="C57" s="736"/>
      <c r="D57" s="737">
        <v>5.637556</v>
      </c>
      <c r="E57" s="451">
        <f>+'Adjudicacions Pep SSP'!B10</f>
        <v>5.5870499999999996</v>
      </c>
      <c r="F57" s="741">
        <f t="shared" ref="F57" si="73">+$E$45*E57/100</f>
        <v>260.46827099999996</v>
      </c>
      <c r="G57" s="451">
        <f t="shared" si="60"/>
        <v>234.43261799999999</v>
      </c>
      <c r="H57" s="472">
        <f t="shared" ref="H57" si="74">+E57/100*$C$43</f>
        <v>55.311794999999996</v>
      </c>
      <c r="I57" s="450">
        <f t="shared" ref="I57" si="75">+E57/100*$D$43</f>
        <v>179.120823</v>
      </c>
      <c r="J57" s="450">
        <f>+J93</f>
        <v>227.12859991079998</v>
      </c>
      <c r="K57" s="451">
        <f>-K92</f>
        <v>-183.79919988360001</v>
      </c>
      <c r="L57" s="763">
        <f t="shared" ref="L57" si="76">+F57+J57+K57+J58+K58</f>
        <v>303.7976710271999</v>
      </c>
      <c r="M57" s="758">
        <f>+L57/$E$45</f>
        <v>6.5164665599999977E-2</v>
      </c>
    </row>
    <row r="58" spans="2:13" ht="12" customHeight="1">
      <c r="B58" s="738"/>
      <c r="C58" s="739"/>
      <c r="D58" s="740"/>
      <c r="E58" s="474"/>
      <c r="F58" s="742"/>
      <c r="G58" s="474">
        <f t="shared" si="60"/>
        <v>26.035652999999996</v>
      </c>
      <c r="H58" s="475">
        <f t="shared" ref="H58" si="77">+E57/100*$C$44</f>
        <v>6.1457549999999994</v>
      </c>
      <c r="I58" s="476">
        <f t="shared" ref="I58" si="78">+E57/100*$D$44</f>
        <v>19.889897999999999</v>
      </c>
      <c r="J58" s="450"/>
      <c r="K58" s="451"/>
      <c r="L58" s="761"/>
      <c r="M58" s="759"/>
    </row>
    <row r="59" spans="2:13" ht="12" customHeight="1">
      <c r="B59" s="743" t="s">
        <v>29</v>
      </c>
      <c r="C59" s="744"/>
      <c r="D59" s="745"/>
      <c r="E59" s="451">
        <f>+'Adjudicacions Pep SSP'!B11</f>
        <v>0.112</v>
      </c>
      <c r="F59" s="741">
        <f>+$E$45*E59/100</f>
        <v>5.2214400000000003</v>
      </c>
      <c r="G59" s="451">
        <f t="shared" ref="G59:G60" si="79">SUM(H59:I59)</f>
        <v>4.6995200000000006</v>
      </c>
      <c r="H59" s="477">
        <f t="shared" ref="H59" si="80">+E59/100*$C$43</f>
        <v>1.1088</v>
      </c>
      <c r="I59" s="473">
        <f t="shared" ref="I59" si="81">+E59/100*$D$43</f>
        <v>3.5907200000000006</v>
      </c>
      <c r="J59" s="450"/>
      <c r="K59" s="451"/>
      <c r="L59" s="763">
        <f t="shared" ref="L59" si="82">+F59+J59+K59+J60+K60</f>
        <v>5.2214400000000003</v>
      </c>
      <c r="M59" s="758">
        <f>+L59/$E$45</f>
        <v>1.1200000000000001E-3</v>
      </c>
    </row>
    <row r="60" spans="2:13" ht="12" customHeight="1">
      <c r="B60" s="738"/>
      <c r="C60" s="739"/>
      <c r="D60" s="740"/>
      <c r="E60" s="474"/>
      <c r="F60" s="742"/>
      <c r="G60" s="451">
        <f t="shared" si="79"/>
        <v>0.52192000000000005</v>
      </c>
      <c r="H60" s="475">
        <f t="shared" ref="H60" si="83">+E59/100*$C$44</f>
        <v>0.12320000000000002</v>
      </c>
      <c r="I60" s="476">
        <f t="shared" ref="I60" si="84">+E59/100*$D$44</f>
        <v>0.39872000000000002</v>
      </c>
      <c r="J60" s="450"/>
      <c r="K60" s="451"/>
      <c r="L60" s="764"/>
      <c r="M60" s="765"/>
    </row>
    <row r="61" spans="2:13" ht="12" customHeight="1">
      <c r="B61" s="735" t="s">
        <v>142</v>
      </c>
      <c r="C61" s="736"/>
      <c r="D61" s="737">
        <v>6.637556</v>
      </c>
      <c r="E61" s="451">
        <f>+'Adjudicacions Pep SSP'!B12</f>
        <v>0.43849550000000004</v>
      </c>
      <c r="F61" s="741">
        <f t="shared" ref="F61" si="85">+$E$45*E61/100</f>
        <v>20.44266021</v>
      </c>
      <c r="G61" s="451">
        <f t="shared" si="60"/>
        <v>18.39927118</v>
      </c>
      <c r="H61" s="472">
        <f t="shared" ref="H61" si="86">+E61/100*$C$43</f>
        <v>4.3411054500000006</v>
      </c>
      <c r="I61" s="450">
        <f t="shared" ref="I61" si="87">+E61/100*$D$43</f>
        <v>14.058165730000001</v>
      </c>
      <c r="J61" s="450"/>
      <c r="K61" s="451"/>
      <c r="L61" s="763">
        <f t="shared" ref="L61" si="88">+F61+J61+K61+J62+K62</f>
        <v>20.44266021</v>
      </c>
      <c r="M61" s="758">
        <f>+L61/$E$45</f>
        <v>4.3849550000000003E-3</v>
      </c>
    </row>
    <row r="62" spans="2:13" ht="12" customHeight="1">
      <c r="B62" s="738"/>
      <c r="C62" s="739"/>
      <c r="D62" s="740"/>
      <c r="E62" s="474"/>
      <c r="F62" s="742"/>
      <c r="G62" s="474">
        <f t="shared" si="60"/>
        <v>2.0433890300000002</v>
      </c>
      <c r="H62" s="475">
        <f t="shared" ref="H62" si="89">+E61/100*$C$44</f>
        <v>0.48234505000000005</v>
      </c>
      <c r="I62" s="476">
        <f t="shared" ref="I62" si="90">+E61/100*$D$44</f>
        <v>1.56104398</v>
      </c>
      <c r="J62" s="450"/>
      <c r="K62" s="451"/>
      <c r="L62" s="761"/>
      <c r="M62" s="759"/>
    </row>
    <row r="63" spans="2:13" ht="12" customHeight="1">
      <c r="B63" s="735" t="s">
        <v>143</v>
      </c>
      <c r="C63" s="736"/>
      <c r="D63" s="737">
        <v>7.637556</v>
      </c>
      <c r="E63" s="451">
        <f>+'Adjudicacions Pep SSP'!B13</f>
        <v>3.1930000000000001E-3</v>
      </c>
      <c r="F63" s="741">
        <f t="shared" ref="F63" si="91">+$E$45*E63/100</f>
        <v>0.14885766</v>
      </c>
      <c r="G63" s="451">
        <f t="shared" si="60"/>
        <v>0.13397828000000001</v>
      </c>
      <c r="H63" s="477">
        <f t="shared" ref="H63" si="92">+E63/100*$C$43</f>
        <v>3.1610699999999999E-2</v>
      </c>
      <c r="I63" s="473">
        <f t="shared" ref="I63" si="93">+E63/100*$D$43</f>
        <v>0.10236758</v>
      </c>
      <c r="J63" s="450"/>
      <c r="K63" s="451"/>
      <c r="L63" s="763">
        <f t="shared" ref="L63" si="94">+F63+J63+K63+J64+K64</f>
        <v>0.14885766</v>
      </c>
      <c r="M63" s="758">
        <f>+L63/$E$45</f>
        <v>3.1930000000000001E-5</v>
      </c>
    </row>
    <row r="64" spans="2:13" ht="12" customHeight="1">
      <c r="B64" s="738"/>
      <c r="C64" s="739"/>
      <c r="D64" s="740"/>
      <c r="E64" s="474"/>
      <c r="F64" s="742"/>
      <c r="G64" s="474">
        <f t="shared" si="60"/>
        <v>1.4879380000000001E-2</v>
      </c>
      <c r="H64" s="475">
        <f t="shared" ref="H64" si="95">+E63/100*$C$44</f>
        <v>3.5123000000000003E-3</v>
      </c>
      <c r="I64" s="476">
        <f t="shared" ref="I64" si="96">+E63/100*$D$44</f>
        <v>1.136708E-2</v>
      </c>
      <c r="J64" s="450"/>
      <c r="K64" s="451"/>
      <c r="L64" s="761"/>
      <c r="M64" s="759"/>
    </row>
    <row r="65" spans="2:13" ht="12" customHeight="1">
      <c r="B65" s="735" t="s">
        <v>144</v>
      </c>
      <c r="C65" s="736"/>
      <c r="D65" s="737">
        <v>8.637556</v>
      </c>
      <c r="E65" s="451">
        <f>+'Adjudicacions Pep SSP'!B14</f>
        <v>8.2500000000000004E-3</v>
      </c>
      <c r="F65" s="741">
        <f t="shared" ref="F65" si="97">+$E$45*E65/100</f>
        <v>0.38461499999999998</v>
      </c>
      <c r="G65" s="451">
        <f t="shared" si="60"/>
        <v>0.34616999999999998</v>
      </c>
      <c r="H65" s="472">
        <f t="shared" ref="H65" si="98">+E65/100*$C$43</f>
        <v>8.1674999999999998E-2</v>
      </c>
      <c r="I65" s="450">
        <f t="shared" ref="I65" si="99">+E65/100*$D$43</f>
        <v>0.26449499999999998</v>
      </c>
      <c r="J65" s="450"/>
      <c r="K65" s="451"/>
      <c r="L65" s="763">
        <f t="shared" ref="L65" si="100">+F65+J65+K65+J66+K66</f>
        <v>0.38461499999999998</v>
      </c>
      <c r="M65" s="758">
        <f>+L65/$E$45</f>
        <v>8.25E-5</v>
      </c>
    </row>
    <row r="66" spans="2:13" ht="12" customHeight="1">
      <c r="B66" s="738"/>
      <c r="C66" s="739"/>
      <c r="D66" s="740"/>
      <c r="E66" s="474"/>
      <c r="F66" s="742"/>
      <c r="G66" s="474">
        <f t="shared" si="60"/>
        <v>3.8445E-2</v>
      </c>
      <c r="H66" s="475">
        <f t="shared" ref="H66" si="101">+E65/100*$C$44</f>
        <v>9.0749999999999997E-3</v>
      </c>
      <c r="I66" s="476">
        <f t="shared" ref="I66" si="102">+E65/100*$D$44</f>
        <v>2.937E-2</v>
      </c>
      <c r="J66" s="450"/>
      <c r="K66" s="451"/>
      <c r="L66" s="761"/>
      <c r="M66" s="759"/>
    </row>
    <row r="67" spans="2:13" ht="12" customHeight="1">
      <c r="B67" s="735" t="s">
        <v>145</v>
      </c>
      <c r="C67" s="736"/>
      <c r="D67" s="737">
        <v>9.637556</v>
      </c>
      <c r="E67" s="451">
        <f>+'Adjudicacions Pep SSP'!B15</f>
        <v>15.958737099999999</v>
      </c>
      <c r="F67" s="741">
        <f t="shared" ref="F67" si="103">+$E$45*E67/100</f>
        <v>743.99632360199985</v>
      </c>
      <c r="G67" s="451">
        <f t="shared" si="60"/>
        <v>669.62860871599992</v>
      </c>
      <c r="H67" s="477">
        <f t="shared" ref="H67" si="104">+E67/100*$C$43</f>
        <v>157.99149728999998</v>
      </c>
      <c r="I67" s="473">
        <f t="shared" ref="I67" si="105">+E67/100*$D$43</f>
        <v>511.63711142599993</v>
      </c>
      <c r="J67" s="450">
        <f>-J87-J99</f>
        <v>-174.32530024800002</v>
      </c>
      <c r="K67" s="451">
        <f>-K87-K99</f>
        <v>-564.49701771215996</v>
      </c>
      <c r="L67" s="763">
        <f t="shared" ref="L67" si="106">+F67+J67+K67+J68+K68</f>
        <v>5.1740056418398126</v>
      </c>
      <c r="M67" s="758">
        <f>+L67/$E$45</f>
        <v>1.1098253199999597E-3</v>
      </c>
    </row>
    <row r="68" spans="2:13" ht="12" customHeight="1">
      <c r="B68" s="738"/>
      <c r="C68" s="739"/>
      <c r="D68" s="740"/>
      <c r="E68" s="474"/>
      <c r="F68" s="742"/>
      <c r="G68" s="474">
        <f t="shared" si="60"/>
        <v>74.367714885999987</v>
      </c>
      <c r="H68" s="475">
        <f t="shared" ref="H68" si="107">+E67/100*$C$44</f>
        <v>17.554610809999996</v>
      </c>
      <c r="I68" s="476">
        <f t="shared" ref="I68" si="108">+E67/100*$D$44</f>
        <v>56.813104075999995</v>
      </c>
      <c r="J68" s="450"/>
      <c r="K68" s="451"/>
      <c r="L68" s="761"/>
      <c r="M68" s="759"/>
    </row>
    <row r="69" spans="2:13" ht="12" customHeight="1">
      <c r="B69" s="735" t="s">
        <v>146</v>
      </c>
      <c r="C69" s="736"/>
      <c r="D69" s="737">
        <v>10.637556</v>
      </c>
      <c r="E69" s="451">
        <f>+'Adjudicacions Pep SSP'!B16</f>
        <v>9.0399999999999996E-4</v>
      </c>
      <c r="F69" s="741">
        <f t="shared" ref="F69" si="109">+$E$45*E69/100</f>
        <v>4.2144479999999998E-2</v>
      </c>
      <c r="G69" s="451">
        <f t="shared" si="60"/>
        <v>3.7931840000000001E-2</v>
      </c>
      <c r="H69" s="472">
        <f t="shared" ref="H69" si="110">+E69/100*$C$43</f>
        <v>8.9496000000000003E-3</v>
      </c>
      <c r="I69" s="450">
        <f t="shared" ref="I69" si="111">+E69/100*$D$43</f>
        <v>2.8982239999999999E-2</v>
      </c>
      <c r="J69" s="450"/>
      <c r="K69" s="451"/>
      <c r="L69" s="763">
        <f t="shared" ref="L69" si="112">+F69+J69+K69+J70+K70</f>
        <v>4.2144479999999998E-2</v>
      </c>
      <c r="M69" s="758">
        <f>+L69/$E$45</f>
        <v>9.0399999999999998E-6</v>
      </c>
    </row>
    <row r="70" spans="2:13" ht="12" customHeight="1">
      <c r="B70" s="738"/>
      <c r="C70" s="739"/>
      <c r="D70" s="740"/>
      <c r="E70" s="474"/>
      <c r="F70" s="742"/>
      <c r="G70" s="474">
        <f t="shared" si="60"/>
        <v>4.2126400000000001E-3</v>
      </c>
      <c r="H70" s="475">
        <f t="shared" ref="H70" si="113">+E69/100*$C$44</f>
        <v>9.9439999999999988E-4</v>
      </c>
      <c r="I70" s="476">
        <f t="shared" ref="I70" si="114">+E69/100*$D$44</f>
        <v>3.2182399999999998E-3</v>
      </c>
      <c r="J70" s="450"/>
      <c r="K70" s="451"/>
      <c r="L70" s="761"/>
      <c r="M70" s="759"/>
    </row>
    <row r="71" spans="2:13" ht="12" customHeight="1">
      <c r="B71" s="735" t="s">
        <v>147</v>
      </c>
      <c r="C71" s="736"/>
      <c r="D71" s="737">
        <v>11.637556</v>
      </c>
      <c r="E71" s="451">
        <f>+'Adjudicacions Pep SSP'!B17</f>
        <v>0.05</v>
      </c>
      <c r="F71" s="741">
        <f t="shared" ref="F71" si="115">+$E$45*E71/100</f>
        <v>2.3310000000000004</v>
      </c>
      <c r="G71" s="451">
        <f t="shared" si="60"/>
        <v>2.0979999999999999</v>
      </c>
      <c r="H71" s="477">
        <f t="shared" ref="H71" si="116">+E71/100*$C$43</f>
        <v>0.495</v>
      </c>
      <c r="I71" s="473">
        <f t="shared" ref="I71" si="117">+E71/100*$D$43</f>
        <v>1.603</v>
      </c>
      <c r="J71" s="450"/>
      <c r="K71" s="451"/>
      <c r="L71" s="763">
        <f t="shared" ref="L71" si="118">+F71+J71+K71+J72+K72</f>
        <v>2.3310000000000004</v>
      </c>
      <c r="M71" s="758">
        <f>+L71/$E$45</f>
        <v>5.0000000000000012E-4</v>
      </c>
    </row>
    <row r="72" spans="2:13" ht="12" customHeight="1">
      <c r="B72" s="738"/>
      <c r="C72" s="739"/>
      <c r="D72" s="740"/>
      <c r="E72" s="474"/>
      <c r="F72" s="742"/>
      <c r="G72" s="474">
        <f t="shared" si="60"/>
        <v>0.23299999999999998</v>
      </c>
      <c r="H72" s="475">
        <f t="shared" ref="H72" si="119">+E71/100*$C$44</f>
        <v>5.5E-2</v>
      </c>
      <c r="I72" s="476">
        <f t="shared" ref="I72" si="120">+E71/100*$D$44</f>
        <v>0.17799999999999999</v>
      </c>
      <c r="J72" s="450"/>
      <c r="K72" s="451"/>
      <c r="L72" s="761"/>
      <c r="M72" s="759"/>
    </row>
    <row r="73" spans="2:13" ht="12" customHeight="1">
      <c r="B73" s="735" t="str">
        <f>+'Adjudicacions Pep SSP'!C18</f>
        <v>GONZALO ZUÑIGA ROMERO</v>
      </c>
      <c r="C73" s="736"/>
      <c r="D73" s="737">
        <v>12.637556</v>
      </c>
      <c r="E73" s="478">
        <f>+'Adjudicacions Pep SSP'!B18</f>
        <v>1.0644999999999999E-3</v>
      </c>
      <c r="F73" s="766">
        <f t="shared" ref="F73:F75" si="121">+$E$45*E73/100</f>
        <v>4.9626989999999996E-2</v>
      </c>
      <c r="G73" s="451">
        <f t="shared" ref="G73:G74" si="122">SUM(H73:I73)</f>
        <v>4.4666419999999998E-2</v>
      </c>
      <c r="H73" s="472">
        <f t="shared" ref="H73" si="123">+E73/100*$C$43</f>
        <v>1.0538549999999999E-2</v>
      </c>
      <c r="I73" s="450">
        <f t="shared" ref="I73" si="124">+E73/100*$D$43</f>
        <v>3.4127869999999998E-2</v>
      </c>
      <c r="J73" s="450"/>
      <c r="K73" s="451"/>
      <c r="L73" s="763">
        <f t="shared" ref="L73" si="125">+F73+J73+K73+J74+K74</f>
        <v>4.9626989999999996E-2</v>
      </c>
      <c r="M73" s="758">
        <f>+L73/$E$45</f>
        <v>1.0644999999999999E-5</v>
      </c>
    </row>
    <row r="74" spans="2:13" ht="12" customHeight="1">
      <c r="B74" s="735"/>
      <c r="C74" s="736"/>
      <c r="D74" s="737"/>
      <c r="E74" s="451"/>
      <c r="F74" s="767"/>
      <c r="G74" s="451">
        <f t="shared" si="122"/>
        <v>4.9605699999999992E-3</v>
      </c>
      <c r="H74" s="472">
        <f t="shared" ref="H74" si="126">+E73/100*$C$44</f>
        <v>1.1709499999999998E-3</v>
      </c>
      <c r="I74" s="450">
        <f t="shared" ref="I74" si="127">+E73/100*$D$44</f>
        <v>3.7896199999999996E-3</v>
      </c>
      <c r="J74" s="450"/>
      <c r="K74" s="474"/>
      <c r="L74" s="764"/>
      <c r="M74" s="765"/>
    </row>
    <row r="75" spans="2:13" ht="12" customHeight="1">
      <c r="B75" s="743" t="s">
        <v>148</v>
      </c>
      <c r="C75" s="744"/>
      <c r="D75" s="745">
        <v>12.637556</v>
      </c>
      <c r="E75" s="479">
        <v>0</v>
      </c>
      <c r="F75" s="741">
        <f t="shared" si="121"/>
        <v>0</v>
      </c>
      <c r="G75" s="479">
        <f t="shared" si="60"/>
        <v>0</v>
      </c>
      <c r="H75" s="477">
        <f t="shared" ref="H75" si="128">+E75/100*$C$43</f>
        <v>0</v>
      </c>
      <c r="I75" s="473">
        <f t="shared" ref="I75" si="129">+E75/100*$D$43</f>
        <v>0</v>
      </c>
      <c r="J75" s="479"/>
      <c r="K75" s="451">
        <f>+K88+K98</f>
        <v>634.77800000000002</v>
      </c>
      <c r="L75" s="763">
        <f t="shared" ref="L75" si="130">+F75+J75+K75+J76+K76</f>
        <v>634.77800000000002</v>
      </c>
      <c r="M75" s="758">
        <f>+L75/$E$45</f>
        <v>0.13616001716001716</v>
      </c>
    </row>
    <row r="76" spans="2:13" ht="12" customHeight="1">
      <c r="B76" s="738"/>
      <c r="C76" s="739"/>
      <c r="D76" s="740"/>
      <c r="E76" s="474"/>
      <c r="F76" s="742"/>
      <c r="G76" s="474">
        <f t="shared" si="60"/>
        <v>0</v>
      </c>
      <c r="H76" s="475">
        <f t="shared" ref="H76" si="131">+E75/100*$C$44</f>
        <v>0</v>
      </c>
      <c r="I76" s="476">
        <f t="shared" ref="I76" si="132">+E75/100*$D$44</f>
        <v>0</v>
      </c>
      <c r="J76" s="474"/>
      <c r="K76" s="474"/>
      <c r="L76" s="764"/>
      <c r="M76" s="765"/>
    </row>
    <row r="77" spans="2:13" ht="12" customHeight="1">
      <c r="B77" s="743" t="s">
        <v>191</v>
      </c>
      <c r="C77" s="744"/>
      <c r="D77" s="745">
        <v>12.637556</v>
      </c>
      <c r="E77" s="451">
        <v>0</v>
      </c>
      <c r="F77" s="741">
        <f t="shared" ref="F77" si="133">+$E$45*E77/100</f>
        <v>0</v>
      </c>
      <c r="G77" s="326">
        <f t="shared" ref="G77:G78" si="134">SUM(H77:I77)</f>
        <v>0</v>
      </c>
      <c r="H77" s="472">
        <f t="shared" ref="H77" si="135">+E77/100*$C$43</f>
        <v>0</v>
      </c>
      <c r="I77" s="450">
        <f t="shared" ref="I77" si="136">+E77/100*$D$43</f>
        <v>0</v>
      </c>
      <c r="J77" s="450">
        <f>+J94-J97</f>
        <v>0</v>
      </c>
      <c r="K77" s="450">
        <f>+K94-K97</f>
        <v>99.219499999999982</v>
      </c>
      <c r="L77" s="768">
        <f t="shared" ref="L77" si="137">+F77+J77+K77+J78+K78</f>
        <v>0</v>
      </c>
      <c r="M77" s="758">
        <f>+L77/$E$45</f>
        <v>0</v>
      </c>
    </row>
    <row r="78" spans="2:13" ht="12" customHeight="1">
      <c r="B78" s="738"/>
      <c r="C78" s="739"/>
      <c r="D78" s="740"/>
      <c r="E78" s="474"/>
      <c r="F78" s="742"/>
      <c r="G78" s="474">
        <f t="shared" si="134"/>
        <v>0</v>
      </c>
      <c r="H78" s="475">
        <f t="shared" ref="H78" si="138">+E77/100*$C$44</f>
        <v>0</v>
      </c>
      <c r="I78" s="476">
        <f t="shared" ref="I78" si="139">+E77/100*$D$44</f>
        <v>0</v>
      </c>
      <c r="J78" s="476"/>
      <c r="K78" s="476">
        <f>-K100</f>
        <v>-99.219499999999996</v>
      </c>
      <c r="L78" s="768"/>
      <c r="M78" s="765"/>
    </row>
    <row r="79" spans="2:13" ht="12" customHeight="1">
      <c r="B79" s="793" t="s">
        <v>94</v>
      </c>
      <c r="C79" s="794"/>
      <c r="D79" s="795"/>
      <c r="E79" s="792">
        <f>SUM(E49:E78)</f>
        <v>99.500019099999989</v>
      </c>
      <c r="F79" s="746">
        <f>SUM(F49:F78)</f>
        <v>4638.6908904420015</v>
      </c>
      <c r="G79" s="480">
        <f t="shared" ref="G79:I80" si="140">+G49+G51+G53+G55+G57+G61+G63+G65+G67+G69+G71+G75+G77</f>
        <v>4170.2766150159996</v>
      </c>
      <c r="H79" s="480">
        <f t="shared" si="140"/>
        <v>983.93085054000005</v>
      </c>
      <c r="I79" s="480">
        <f t="shared" si="140"/>
        <v>3186.3457644760006</v>
      </c>
      <c r="J79" s="752">
        <f>SUM(J49:J78)</f>
        <v>-5.6843418860808015E-14</v>
      </c>
      <c r="K79" s="753">
        <f>SUM(K49:K78)</f>
        <v>0</v>
      </c>
      <c r="L79" s="754">
        <f>SUM(L49:L76)</f>
        <v>4638.6908904420006</v>
      </c>
      <c r="M79" s="756">
        <f>+L79/$E$45</f>
        <v>0.99500019100000014</v>
      </c>
    </row>
    <row r="80" spans="2:13" ht="12" customHeight="1">
      <c r="B80" s="796"/>
      <c r="C80" s="797"/>
      <c r="D80" s="798"/>
      <c r="E80" s="792"/>
      <c r="F80" s="747"/>
      <c r="G80" s="481">
        <f t="shared" si="140"/>
        <v>463.14320843600007</v>
      </c>
      <c r="H80" s="481">
        <f t="shared" si="140"/>
        <v>109.32565006</v>
      </c>
      <c r="I80" s="481">
        <f t="shared" si="140"/>
        <v>353.81755837600002</v>
      </c>
      <c r="J80" s="752"/>
      <c r="K80" s="753"/>
      <c r="L80" s="755"/>
      <c r="M80" s="757"/>
    </row>
    <row r="85" spans="2:12" ht="12" customHeight="1">
      <c r="B85" s="748" t="s">
        <v>226</v>
      </c>
      <c r="C85" s="749"/>
      <c r="D85" s="749"/>
      <c r="E85" s="749"/>
      <c r="F85" s="749"/>
      <c r="G85" s="749"/>
      <c r="H85" s="749"/>
      <c r="I85" s="750"/>
      <c r="J85" s="419"/>
      <c r="K85" s="419"/>
    </row>
    <row r="86" spans="2:12" ht="20.45" customHeight="1">
      <c r="B86" s="455" t="s">
        <v>153</v>
      </c>
      <c r="C86" s="455" t="s">
        <v>151</v>
      </c>
      <c r="D86" s="751" t="s">
        <v>170</v>
      </c>
      <c r="E86" s="751"/>
      <c r="F86" s="751"/>
      <c r="G86" s="456" t="s">
        <v>155</v>
      </c>
      <c r="H86" s="457" t="s">
        <v>156</v>
      </c>
      <c r="I86" s="458" t="s">
        <v>152</v>
      </c>
      <c r="J86" s="444" t="s">
        <v>95</v>
      </c>
      <c r="K86" s="445" t="s">
        <v>167</v>
      </c>
      <c r="L86" s="471" t="s">
        <v>150</v>
      </c>
    </row>
    <row r="87" spans="2:12" ht="12" customHeight="1">
      <c r="B87" s="482">
        <v>143806</v>
      </c>
      <c r="C87" s="463">
        <v>43475</v>
      </c>
      <c r="D87" s="734" t="s">
        <v>162</v>
      </c>
      <c r="E87" s="734"/>
      <c r="F87" s="734"/>
      <c r="G87" s="467" t="s">
        <v>154</v>
      </c>
      <c r="H87" s="467" t="s">
        <v>159</v>
      </c>
      <c r="I87" s="464">
        <f>12.2539/100</f>
        <v>0.122539</v>
      </c>
      <c r="J87" s="465">
        <f>+I87*$C$45</f>
        <v>134.7929</v>
      </c>
      <c r="K87" s="465">
        <f>+I87*$D$45</f>
        <v>436.48391799999996</v>
      </c>
      <c r="L87" s="466">
        <f>+I87*$E$45</f>
        <v>571.27681799999993</v>
      </c>
    </row>
    <row r="88" spans="2:12" ht="12" customHeight="1">
      <c r="B88" s="462">
        <v>145558</v>
      </c>
      <c r="C88" s="463">
        <v>43507</v>
      </c>
      <c r="D88" s="734" t="s">
        <v>164</v>
      </c>
      <c r="E88" s="734"/>
      <c r="F88" s="734"/>
      <c r="G88" s="467" t="s">
        <v>159</v>
      </c>
      <c r="H88" s="467" t="s">
        <v>157</v>
      </c>
      <c r="I88" s="464">
        <f>11.9/100</f>
        <v>0.11900000000000001</v>
      </c>
      <c r="J88" s="483">
        <v>0</v>
      </c>
      <c r="K88" s="465">
        <f>+L88</f>
        <v>554.77800000000002</v>
      </c>
      <c r="L88" s="466">
        <f t="shared" ref="L88:L93" si="141">+I88*$E$45</f>
        <v>554.77800000000002</v>
      </c>
    </row>
    <row r="89" spans="2:12" ht="12" customHeight="1">
      <c r="B89" s="420">
        <v>146230</v>
      </c>
      <c r="C89" s="463">
        <v>43521</v>
      </c>
      <c r="D89" s="734" t="s">
        <v>163</v>
      </c>
      <c r="E89" s="734"/>
      <c r="F89" s="734"/>
      <c r="G89" s="467" t="s">
        <v>158</v>
      </c>
      <c r="H89" s="467" t="s">
        <v>159</v>
      </c>
      <c r="I89" s="464">
        <f>4.991193/100</f>
        <v>4.991193E-2</v>
      </c>
      <c r="J89" s="483">
        <v>0</v>
      </c>
      <c r="K89" s="465">
        <f>+L89</f>
        <v>232.68941766</v>
      </c>
      <c r="L89" s="466">
        <f t="shared" si="141"/>
        <v>232.68941766</v>
      </c>
    </row>
    <row r="90" spans="2:12" ht="12" customHeight="1">
      <c r="B90" s="420">
        <v>146234</v>
      </c>
      <c r="C90" s="463">
        <v>43521</v>
      </c>
      <c r="D90" s="734" t="s">
        <v>165</v>
      </c>
      <c r="E90" s="734"/>
      <c r="F90" s="734"/>
      <c r="G90" s="467" t="s">
        <v>159</v>
      </c>
      <c r="H90" s="467" t="s">
        <v>158</v>
      </c>
      <c r="I90" s="464">
        <f>5.540011/100</f>
        <v>5.5400109999999995E-2</v>
      </c>
      <c r="J90" s="465">
        <f>+L90</f>
        <v>258.27531281999995</v>
      </c>
      <c r="K90" s="483">
        <v>0</v>
      </c>
      <c r="L90" s="466">
        <f t="shared" si="141"/>
        <v>258.27531281999995</v>
      </c>
    </row>
    <row r="91" spans="2:12" ht="12" customHeight="1">
      <c r="B91" s="420">
        <v>146231</v>
      </c>
      <c r="C91" s="463">
        <v>43521</v>
      </c>
      <c r="D91" s="734" t="s">
        <v>168</v>
      </c>
      <c r="E91" s="734"/>
      <c r="F91" s="734"/>
      <c r="G91" s="467" t="s">
        <v>159</v>
      </c>
      <c r="H91" s="467" t="s">
        <v>160</v>
      </c>
      <c r="I91" s="464">
        <f>10.25/100</f>
        <v>0.10249999999999999</v>
      </c>
      <c r="J91" s="465">
        <f t="shared" ref="J91" si="142">+I91*$C$45</f>
        <v>112.75</v>
      </c>
      <c r="K91" s="465">
        <f t="shared" ref="K91" si="143">+I91*$D$45</f>
        <v>365.10499999999996</v>
      </c>
      <c r="L91" s="466">
        <f>+I91*$E$45</f>
        <v>477.85499999999996</v>
      </c>
    </row>
    <row r="92" spans="2:12" ht="12" customHeight="1">
      <c r="B92" s="420">
        <v>146315</v>
      </c>
      <c r="C92" s="463">
        <v>43523</v>
      </c>
      <c r="D92" s="734" t="s">
        <v>169</v>
      </c>
      <c r="E92" s="734"/>
      <c r="F92" s="734"/>
      <c r="G92" s="467" t="s">
        <v>161</v>
      </c>
      <c r="H92" s="467" t="s">
        <v>159</v>
      </c>
      <c r="I92" s="464">
        <f>3.94249678/100</f>
        <v>3.9424967800000002E-2</v>
      </c>
      <c r="J92" s="483">
        <v>0</v>
      </c>
      <c r="K92" s="465">
        <f>+L92</f>
        <v>183.79919988360001</v>
      </c>
      <c r="L92" s="466">
        <f t="shared" si="141"/>
        <v>183.79919988360001</v>
      </c>
    </row>
    <row r="93" spans="2:12" ht="12" customHeight="1">
      <c r="B93" s="420">
        <v>146314</v>
      </c>
      <c r="C93" s="463">
        <v>43523</v>
      </c>
      <c r="D93" s="734" t="s">
        <v>166</v>
      </c>
      <c r="E93" s="734"/>
      <c r="F93" s="734"/>
      <c r="G93" s="467" t="s">
        <v>159</v>
      </c>
      <c r="H93" s="467" t="s">
        <v>161</v>
      </c>
      <c r="I93" s="464">
        <f>4.87191334/100</f>
        <v>4.8719133399999996E-2</v>
      </c>
      <c r="J93" s="465">
        <f>+L93</f>
        <v>227.12859991079998</v>
      </c>
      <c r="K93" s="483">
        <v>0</v>
      </c>
      <c r="L93" s="466">
        <f t="shared" si="141"/>
        <v>227.12859991079998</v>
      </c>
    </row>
    <row r="94" spans="2:12" ht="12" customHeight="1">
      <c r="B94" s="484">
        <v>151515</v>
      </c>
      <c r="C94" s="485">
        <v>43607</v>
      </c>
      <c r="D94" s="734" t="s">
        <v>199</v>
      </c>
      <c r="E94" s="734"/>
      <c r="F94" s="734"/>
      <c r="G94" s="467" t="s">
        <v>159</v>
      </c>
      <c r="H94" s="467" t="s">
        <v>190</v>
      </c>
      <c r="I94" s="464">
        <f>4.175/100</f>
        <v>4.1749999999999995E-2</v>
      </c>
      <c r="J94" s="465">
        <f>+I94*$C$45</f>
        <v>45.924999999999997</v>
      </c>
      <c r="K94" s="465">
        <f>+I94*$D$45</f>
        <v>148.71349999999998</v>
      </c>
      <c r="L94" s="466">
        <f t="shared" ref="L94:L95" si="144">+I94*$E$45</f>
        <v>194.63849999999996</v>
      </c>
    </row>
    <row r="95" spans="2:12" ht="12" customHeight="1">
      <c r="B95" s="484">
        <v>156946</v>
      </c>
      <c r="C95" s="428">
        <v>43703</v>
      </c>
      <c r="D95" s="734" t="s">
        <v>223</v>
      </c>
      <c r="E95" s="734"/>
      <c r="F95" s="734"/>
      <c r="G95" s="467" t="s">
        <v>160</v>
      </c>
      <c r="H95" s="467" t="s">
        <v>159</v>
      </c>
      <c r="I95" s="482">
        <f>0.2646289/100</f>
        <v>2.646289E-3</v>
      </c>
      <c r="J95" s="486">
        <f>+L95</f>
        <v>12.336999318</v>
      </c>
      <c r="K95" s="483">
        <v>0</v>
      </c>
      <c r="L95" s="466">
        <f t="shared" si="144"/>
        <v>12.336999318</v>
      </c>
    </row>
    <row r="96" spans="2:12" ht="12" customHeight="1">
      <c r="B96" s="484">
        <v>156946</v>
      </c>
      <c r="C96" s="428">
        <v>43703</v>
      </c>
      <c r="D96" s="734" t="s">
        <v>224</v>
      </c>
      <c r="E96" s="734"/>
      <c r="F96" s="734"/>
      <c r="G96" s="467" t="s">
        <v>160</v>
      </c>
      <c r="H96" s="467" t="s">
        <v>159</v>
      </c>
      <c r="I96" s="482">
        <f>3.810875/100</f>
        <v>3.8108749999999997E-2</v>
      </c>
      <c r="J96" s="483">
        <v>0</v>
      </c>
      <c r="K96" s="465">
        <f>+L96</f>
        <v>177.66299249999997</v>
      </c>
      <c r="L96" s="466">
        <f>+I96*$E$45</f>
        <v>177.66299249999997</v>
      </c>
    </row>
    <row r="97" spans="2:18" ht="12" customHeight="1">
      <c r="B97" s="484">
        <v>157937</v>
      </c>
      <c r="C97" s="428">
        <v>43719</v>
      </c>
      <c r="D97" s="734" t="s">
        <v>231</v>
      </c>
      <c r="E97" s="734"/>
      <c r="F97" s="734"/>
      <c r="G97" s="467" t="s">
        <v>190</v>
      </c>
      <c r="H97" s="467" t="s">
        <v>159</v>
      </c>
      <c r="I97" s="482"/>
      <c r="J97" s="487">
        <v>45.924999999999997</v>
      </c>
      <c r="K97" s="465">
        <v>49.494</v>
      </c>
      <c r="L97" s="466">
        <f>J97+K97</f>
        <v>95.418999999999997</v>
      </c>
    </row>
    <row r="98" spans="2:18" ht="12" customHeight="1">
      <c r="B98" s="484">
        <v>157932</v>
      </c>
      <c r="C98" s="428">
        <v>43719</v>
      </c>
      <c r="D98" s="734" t="s">
        <v>232</v>
      </c>
      <c r="E98" s="734"/>
      <c r="F98" s="734"/>
      <c r="G98" s="467" t="s">
        <v>159</v>
      </c>
      <c r="H98" s="467" t="s">
        <v>157</v>
      </c>
      <c r="I98" s="482"/>
      <c r="J98" s="487"/>
      <c r="K98" s="465">
        <v>80</v>
      </c>
      <c r="L98" s="466">
        <v>80</v>
      </c>
    </row>
    <row r="99" spans="2:18" ht="12" customHeight="1">
      <c r="B99" s="484">
        <v>159208</v>
      </c>
      <c r="C99" s="428">
        <v>43753</v>
      </c>
      <c r="D99" s="734" t="s">
        <v>232</v>
      </c>
      <c r="E99" s="734"/>
      <c r="F99" s="734"/>
      <c r="G99" s="467" t="s">
        <v>233</v>
      </c>
      <c r="H99" s="467" t="s">
        <v>159</v>
      </c>
      <c r="I99" s="482">
        <v>3.5938545680000003E-2</v>
      </c>
      <c r="J99" s="465">
        <f>+I99*$C$45</f>
        <v>39.532400248000002</v>
      </c>
      <c r="K99" s="465">
        <f>+I99*$D$45</f>
        <v>128.01309971216</v>
      </c>
      <c r="L99" s="466">
        <f>+I99*$E$45</f>
        <v>167.54549996016002</v>
      </c>
    </row>
    <row r="100" spans="2:18" ht="12" customHeight="1">
      <c r="B100" s="484">
        <v>159700</v>
      </c>
      <c r="C100" s="428">
        <v>43768</v>
      </c>
      <c r="D100" s="734" t="s">
        <v>232</v>
      </c>
      <c r="E100" s="734"/>
      <c r="F100" s="734"/>
      <c r="G100" s="467" t="s">
        <v>190</v>
      </c>
      <c r="H100" s="467" t="s">
        <v>159</v>
      </c>
      <c r="I100" s="482"/>
      <c r="J100" s="487"/>
      <c r="K100" s="465">
        <v>99.219499999999996</v>
      </c>
      <c r="L100" s="466"/>
      <c r="R100" s="498"/>
    </row>
    <row r="101" spans="2:18" ht="12" customHeight="1">
      <c r="B101" s="484"/>
      <c r="C101" s="428"/>
      <c r="D101" s="734"/>
      <c r="E101" s="734"/>
      <c r="F101" s="734"/>
      <c r="G101" s="467"/>
      <c r="H101" s="467"/>
      <c r="I101" s="482"/>
      <c r="J101" s="487"/>
      <c r="K101" s="465"/>
      <c r="L101" s="466"/>
      <c r="R101" s="499"/>
    </row>
    <row r="102" spans="2:18" ht="12" customHeight="1">
      <c r="B102" s="431"/>
      <c r="C102" s="431"/>
      <c r="D102" s="431"/>
      <c r="E102" s="431"/>
      <c r="F102" s="431"/>
      <c r="G102" s="431"/>
      <c r="H102" s="431"/>
      <c r="I102" s="431"/>
      <c r="J102" s="431"/>
      <c r="K102" s="431"/>
      <c r="L102" s="431"/>
    </row>
  </sheetData>
  <mergeCells count="160">
    <mergeCell ref="D98:F98"/>
    <mergeCell ref="D99:F99"/>
    <mergeCell ref="D100:F100"/>
    <mergeCell ref="D101:F101"/>
    <mergeCell ref="G7:I7"/>
    <mergeCell ref="L71:L72"/>
    <mergeCell ref="L75:L76"/>
    <mergeCell ref="M69:M70"/>
    <mergeCell ref="M71:M72"/>
    <mergeCell ref="M75:M76"/>
    <mergeCell ref="M57:M58"/>
    <mergeCell ref="M61:M62"/>
    <mergeCell ref="M67:M68"/>
    <mergeCell ref="L53:L54"/>
    <mergeCell ref="L55:L56"/>
    <mergeCell ref="L57:L58"/>
    <mergeCell ref="L61:L62"/>
    <mergeCell ref="L63:L64"/>
    <mergeCell ref="L65:L66"/>
    <mergeCell ref="L67:L68"/>
    <mergeCell ref="L69:L70"/>
    <mergeCell ref="M49:M50"/>
    <mergeCell ref="M51:M52"/>
    <mergeCell ref="M53:M54"/>
    <mergeCell ref="M55:M56"/>
    <mergeCell ref="L17:L18"/>
    <mergeCell ref="M21:M22"/>
    <mergeCell ref="L23:L24"/>
    <mergeCell ref="J47:K47"/>
    <mergeCell ref="B48:D48"/>
    <mergeCell ref="B49:D49"/>
    <mergeCell ref="J7:K7"/>
    <mergeCell ref="F9:F10"/>
    <mergeCell ref="M13:M14"/>
    <mergeCell ref="L9:L10"/>
    <mergeCell ref="M9:M10"/>
    <mergeCell ref="F11:F12"/>
    <mergeCell ref="L11:L12"/>
    <mergeCell ref="M11:M12"/>
    <mergeCell ref="F13:F14"/>
    <mergeCell ref="L13:L14"/>
    <mergeCell ref="G47:I47"/>
    <mergeCell ref="M17:M18"/>
    <mergeCell ref="F15:F16"/>
    <mergeCell ref="L15:L16"/>
    <mergeCell ref="M15:M16"/>
    <mergeCell ref="F17:F18"/>
    <mergeCell ref="B15:D15"/>
    <mergeCell ref="L19:L20"/>
    <mergeCell ref="M19:M20"/>
    <mergeCell ref="F21:F22"/>
    <mergeCell ref="L21:L22"/>
    <mergeCell ref="M23:M24"/>
    <mergeCell ref="B41:E41"/>
    <mergeCell ref="L25:L26"/>
    <mergeCell ref="M25:M26"/>
    <mergeCell ref="B17:D17"/>
    <mergeCell ref="B18:D18"/>
    <mergeCell ref="B19:D19"/>
    <mergeCell ref="B20:D20"/>
    <mergeCell ref="B21:D21"/>
    <mergeCell ref="B22:D22"/>
    <mergeCell ref="J25:J26"/>
    <mergeCell ref="K25:K26"/>
    <mergeCell ref="D33:F33"/>
    <mergeCell ref="D34:F34"/>
    <mergeCell ref="B1:E1"/>
    <mergeCell ref="E79:E80"/>
    <mergeCell ref="B79:D80"/>
    <mergeCell ref="B75:D75"/>
    <mergeCell ref="B76:D76"/>
    <mergeCell ref="B65:D65"/>
    <mergeCell ref="B66:D66"/>
    <mergeCell ref="B67:D67"/>
    <mergeCell ref="B68:D68"/>
    <mergeCell ref="B69:D69"/>
    <mergeCell ref="B51:D51"/>
    <mergeCell ref="B52:D52"/>
    <mergeCell ref="B53:D53"/>
    <mergeCell ref="B50:D50"/>
    <mergeCell ref="B23:D23"/>
    <mergeCell ref="B24:D24"/>
    <mergeCell ref="B60:D60"/>
    <mergeCell ref="B8:D8"/>
    <mergeCell ref="B9:D9"/>
    <mergeCell ref="B10:D10"/>
    <mergeCell ref="B11:D11"/>
    <mergeCell ref="B12:D12"/>
    <mergeCell ref="B13:D13"/>
    <mergeCell ref="B14:D14"/>
    <mergeCell ref="B16:D16"/>
    <mergeCell ref="F23:F24"/>
    <mergeCell ref="B57:D57"/>
    <mergeCell ref="B61:D61"/>
    <mergeCell ref="B62:D62"/>
    <mergeCell ref="B63:D63"/>
    <mergeCell ref="B64:D64"/>
    <mergeCell ref="B70:D70"/>
    <mergeCell ref="B58:D58"/>
    <mergeCell ref="F19:F20"/>
    <mergeCell ref="B25:D26"/>
    <mergeCell ref="B54:D54"/>
    <mergeCell ref="B55:D55"/>
    <mergeCell ref="B56:D56"/>
    <mergeCell ref="F65:F66"/>
    <mergeCell ref="F67:F68"/>
    <mergeCell ref="F69:F70"/>
    <mergeCell ref="B59:D59"/>
    <mergeCell ref="F25:F26"/>
    <mergeCell ref="B28:I28"/>
    <mergeCell ref="D29:F29"/>
    <mergeCell ref="D30:F30"/>
    <mergeCell ref="D31:F31"/>
    <mergeCell ref="D32:F32"/>
    <mergeCell ref="F49:F50"/>
    <mergeCell ref="J79:J80"/>
    <mergeCell ref="K79:K80"/>
    <mergeCell ref="L79:L80"/>
    <mergeCell ref="M79:M80"/>
    <mergeCell ref="M63:M64"/>
    <mergeCell ref="M65:M66"/>
    <mergeCell ref="L49:L50"/>
    <mergeCell ref="L51:L52"/>
    <mergeCell ref="F59:F60"/>
    <mergeCell ref="L59:L60"/>
    <mergeCell ref="M59:M60"/>
    <mergeCell ref="F61:F62"/>
    <mergeCell ref="F63:F64"/>
    <mergeCell ref="L73:L74"/>
    <mergeCell ref="M73:M74"/>
    <mergeCell ref="F75:F76"/>
    <mergeCell ref="M77:M78"/>
    <mergeCell ref="F51:F52"/>
    <mergeCell ref="F53:F54"/>
    <mergeCell ref="F55:F56"/>
    <mergeCell ref="F57:F58"/>
    <mergeCell ref="F73:F74"/>
    <mergeCell ref="L77:L78"/>
    <mergeCell ref="D97:F97"/>
    <mergeCell ref="B71:D71"/>
    <mergeCell ref="B72:D72"/>
    <mergeCell ref="F71:F72"/>
    <mergeCell ref="D95:F95"/>
    <mergeCell ref="D96:F96"/>
    <mergeCell ref="D94:F94"/>
    <mergeCell ref="B77:D77"/>
    <mergeCell ref="F77:F78"/>
    <mergeCell ref="B73:D73"/>
    <mergeCell ref="B74:D74"/>
    <mergeCell ref="B78:D78"/>
    <mergeCell ref="F79:F80"/>
    <mergeCell ref="D91:F91"/>
    <mergeCell ref="D92:F92"/>
    <mergeCell ref="D93:F93"/>
    <mergeCell ref="B85:I85"/>
    <mergeCell ref="D86:F86"/>
    <mergeCell ref="D87:F87"/>
    <mergeCell ref="D88:F88"/>
    <mergeCell ref="D89:F89"/>
    <mergeCell ref="D90:F90"/>
  </mergeCells>
  <conditionalFormatting sqref="H87:H94 J49:K78">
    <cfRule type="cellIs" dxfId="19" priority="58" operator="greaterThan">
      <formula>0</formula>
    </cfRule>
  </conditionalFormatting>
  <conditionalFormatting sqref="L79:M80 I86:L86 B85 J48:K78">
    <cfRule type="cellIs" dxfId="18" priority="59" operator="lessThan">
      <formula>0</formula>
    </cfRule>
  </conditionalFormatting>
  <conditionalFormatting sqref="J49:K78">
    <cfRule type="cellIs" dxfId="17" priority="55" operator="greaterThan">
      <formula>0</formula>
    </cfRule>
    <cfRule type="cellIs" dxfId="16" priority="56" operator="lessThan">
      <formula>0</formula>
    </cfRule>
  </conditionalFormatting>
  <conditionalFormatting sqref="G87:G94">
    <cfRule type="cellIs" dxfId="15" priority="33" operator="greaterThan">
      <formula>0</formula>
    </cfRule>
  </conditionalFormatting>
  <conditionalFormatting sqref="H95:H96">
    <cfRule type="cellIs" dxfId="14" priority="15" operator="greaterThan">
      <formula>0</formula>
    </cfRule>
  </conditionalFormatting>
  <conditionalFormatting sqref="G95:G96">
    <cfRule type="cellIs" dxfId="13" priority="14" operator="greaterThan">
      <formula>0</formula>
    </cfRule>
  </conditionalFormatting>
  <conditionalFormatting sqref="I29:L29 B28">
    <cfRule type="cellIs" dxfId="12" priority="13" operator="lessThan">
      <formula>0</formula>
    </cfRule>
  </conditionalFormatting>
  <conditionalFormatting sqref="H30:H34">
    <cfRule type="cellIs" dxfId="11" priority="12" operator="greaterThan">
      <formula>0</formula>
    </cfRule>
  </conditionalFormatting>
  <conditionalFormatting sqref="G30 G33:G34">
    <cfRule type="cellIs" dxfId="10" priority="11" operator="greaterThan">
      <formula>0</formula>
    </cfRule>
  </conditionalFormatting>
  <conditionalFormatting sqref="G31:G32">
    <cfRule type="cellIs" dxfId="9" priority="10" operator="greaterThan">
      <formula>0</formula>
    </cfRule>
  </conditionalFormatting>
  <conditionalFormatting sqref="H30">
    <cfRule type="cellIs" dxfId="8" priority="9" operator="greaterThan">
      <formula>0</formula>
    </cfRule>
  </conditionalFormatting>
  <conditionalFormatting sqref="G30">
    <cfRule type="cellIs" dxfId="7" priority="8" operator="greaterThan">
      <formula>0</formula>
    </cfRule>
  </conditionalFormatting>
  <conditionalFormatting sqref="J19:K19">
    <cfRule type="cellIs" dxfId="6" priority="7" operator="lessThan">
      <formula>0</formula>
    </cfRule>
  </conditionalFormatting>
  <conditionalFormatting sqref="J23:K23">
    <cfRule type="cellIs" dxfId="5" priority="6" operator="greaterThan">
      <formula>0</formula>
    </cfRule>
  </conditionalFormatting>
  <conditionalFormatting sqref="J23:K23">
    <cfRule type="cellIs" dxfId="4" priority="5" operator="lessThan">
      <formula>0</formula>
    </cfRule>
  </conditionalFormatting>
  <conditionalFormatting sqref="J23:K2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H97:H101">
    <cfRule type="cellIs" dxfId="1" priority="2" operator="greaterThan">
      <formula>0</formula>
    </cfRule>
  </conditionalFormatting>
  <conditionalFormatting sqref="G97:G101">
    <cfRule type="cellIs" dxfId="0" priority="1" operator="greaterThan">
      <formula>0</formula>
    </cfRule>
  </conditionalFormatting>
  <pageMargins left="0.7" right="0.7" top="0.75" bottom="0.75" header="0.3" footer="0.3"/>
  <pageSetup paperSize="16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C33" sqref="C33"/>
    </sheetView>
  </sheetViews>
  <sheetFormatPr baseColWidth="10" defaultRowHeight="15"/>
  <cols>
    <col min="1" max="1" width="7.7109375" customWidth="1"/>
    <col min="2" max="2" width="9.85546875" customWidth="1"/>
    <col min="3" max="3" width="20.28515625" customWidth="1"/>
    <col min="4" max="4" width="11.42578125" bestFit="1" customWidth="1"/>
    <col min="6" max="6" width="13.28515625" customWidth="1"/>
  </cols>
  <sheetData>
    <row r="1" spans="1:8">
      <c r="C1" s="217" t="s">
        <v>200</v>
      </c>
    </row>
    <row r="2" spans="1:8">
      <c r="C2" s="217" t="s">
        <v>201</v>
      </c>
    </row>
    <row r="3" spans="1:8">
      <c r="C3" s="217"/>
    </row>
    <row r="4" spans="1:8" ht="28.9" customHeight="1">
      <c r="B4" s="820" t="s">
        <v>220</v>
      </c>
      <c r="C4" s="819" t="s">
        <v>219</v>
      </c>
      <c r="D4" s="819"/>
      <c r="E4" s="819"/>
      <c r="F4" s="819"/>
      <c r="G4" s="819"/>
    </row>
    <row r="5" spans="1:8" ht="34.15" customHeight="1">
      <c r="B5" s="820"/>
      <c r="C5" s="150" t="s">
        <v>193</v>
      </c>
      <c r="D5" s="279">
        <v>43623</v>
      </c>
      <c r="E5" s="279">
        <v>43635</v>
      </c>
      <c r="F5" s="279">
        <v>43644</v>
      </c>
      <c r="G5" s="279">
        <v>43672</v>
      </c>
      <c r="H5" s="279">
        <v>43700</v>
      </c>
    </row>
    <row r="6" spans="1:8">
      <c r="A6">
        <f>+B6-H6</f>
        <v>0</v>
      </c>
      <c r="B6" s="278">
        <v>63.923779000000003</v>
      </c>
      <c r="C6" s="278" t="s">
        <v>138</v>
      </c>
      <c r="D6" s="278">
        <v>62.108029000000002</v>
      </c>
      <c r="E6" s="278">
        <v>62.108029000000002</v>
      </c>
      <c r="F6" s="278">
        <v>63.923779000000003</v>
      </c>
      <c r="G6" s="278">
        <v>63.923779000000003</v>
      </c>
      <c r="H6" s="278">
        <v>63.923779000000003</v>
      </c>
    </row>
    <row r="7" spans="1:8">
      <c r="A7">
        <f t="shared" ref="A7:A18" si="0">+B7-H7</f>
        <v>0</v>
      </c>
      <c r="B7" s="278">
        <v>6.9585499999999998</v>
      </c>
      <c r="C7" s="278" t="s">
        <v>139</v>
      </c>
      <c r="D7" s="278">
        <v>6.9585499999999998</v>
      </c>
      <c r="E7" s="278">
        <v>6.9585499999999998</v>
      </c>
      <c r="F7" s="278">
        <v>6.9585499999999998</v>
      </c>
      <c r="G7" s="278">
        <v>6.9585499999999998</v>
      </c>
      <c r="H7" s="278">
        <v>6.9585499999999998</v>
      </c>
    </row>
    <row r="8" spans="1:8">
      <c r="A8">
        <f t="shared" si="0"/>
        <v>0</v>
      </c>
      <c r="B8" s="278">
        <v>0.5</v>
      </c>
      <c r="C8" s="278" t="s">
        <v>140</v>
      </c>
      <c r="D8" s="278">
        <v>0.5</v>
      </c>
      <c r="E8" s="278">
        <v>0.5</v>
      </c>
      <c r="F8" s="278">
        <v>0.5</v>
      </c>
      <c r="G8" s="278">
        <v>0.5</v>
      </c>
      <c r="H8" s="278">
        <v>0.5</v>
      </c>
    </row>
    <row r="9" spans="1:8">
      <c r="A9">
        <f t="shared" si="0"/>
        <v>0</v>
      </c>
      <c r="B9" s="278">
        <v>5.9579960000000005</v>
      </c>
      <c r="C9" s="278" t="s">
        <v>194</v>
      </c>
      <c r="D9" s="278">
        <v>5.9579960000000005</v>
      </c>
      <c r="E9" s="278">
        <v>5.9579960000000005</v>
      </c>
      <c r="F9" s="278">
        <v>5.9579960000000005</v>
      </c>
      <c r="G9" s="278">
        <v>5.9579960000000005</v>
      </c>
      <c r="H9" s="278">
        <v>5.9579960000000005</v>
      </c>
    </row>
    <row r="10" spans="1:8">
      <c r="A10">
        <f t="shared" si="0"/>
        <v>0</v>
      </c>
      <c r="B10" s="278">
        <v>5.5870499999999996</v>
      </c>
      <c r="C10" s="278" t="s">
        <v>28</v>
      </c>
      <c r="D10" s="278">
        <v>5.5870499999999996</v>
      </c>
      <c r="E10" s="278">
        <v>5.5870499999999996</v>
      </c>
      <c r="F10" s="278">
        <v>5.5870499999999996</v>
      </c>
      <c r="G10" s="278">
        <v>5.5870499999999996</v>
      </c>
      <c r="H10" s="278">
        <v>5.5870499999999996</v>
      </c>
    </row>
    <row r="11" spans="1:8">
      <c r="A11">
        <f t="shared" si="0"/>
        <v>0</v>
      </c>
      <c r="B11" s="278">
        <v>0.112</v>
      </c>
      <c r="C11" s="278" t="s">
        <v>29</v>
      </c>
      <c r="D11" s="278">
        <v>0.112</v>
      </c>
      <c r="E11" s="278">
        <v>0.112</v>
      </c>
      <c r="F11" s="278">
        <v>0.112</v>
      </c>
      <c r="G11" s="278">
        <v>0.112</v>
      </c>
      <c r="H11" s="278">
        <v>0.112</v>
      </c>
    </row>
    <row r="12" spans="1:8">
      <c r="A12">
        <f t="shared" si="0"/>
        <v>0</v>
      </c>
      <c r="B12" s="278">
        <v>0.43849550000000004</v>
      </c>
      <c r="C12" s="278" t="s">
        <v>142</v>
      </c>
      <c r="D12" s="278">
        <v>0.43956000000000001</v>
      </c>
      <c r="E12" s="278">
        <v>0.43956000000000001</v>
      </c>
      <c r="F12" s="278">
        <v>0.43956000000000001</v>
      </c>
      <c r="G12" s="278">
        <v>0.43956000000000001</v>
      </c>
      <c r="H12" s="278">
        <v>0.43849550000000004</v>
      </c>
    </row>
    <row r="13" spans="1:8">
      <c r="A13">
        <f t="shared" si="0"/>
        <v>0</v>
      </c>
      <c r="B13" s="278">
        <v>3.1930000000000001E-3</v>
      </c>
      <c r="C13" s="278" t="s">
        <v>143</v>
      </c>
      <c r="D13" s="278">
        <v>3.1930000000000001E-3</v>
      </c>
      <c r="E13" s="278">
        <v>3.1930000000000001E-3</v>
      </c>
      <c r="F13" s="278">
        <v>3.1930000000000001E-3</v>
      </c>
      <c r="G13" s="278">
        <v>3.1930000000000001E-3</v>
      </c>
      <c r="H13" s="278">
        <v>3.1930000000000001E-3</v>
      </c>
    </row>
    <row r="14" spans="1:8">
      <c r="A14">
        <f t="shared" si="0"/>
        <v>0</v>
      </c>
      <c r="B14" s="278">
        <v>8.2500000000000004E-3</v>
      </c>
      <c r="C14" s="278" t="s">
        <v>195</v>
      </c>
      <c r="D14" s="278">
        <v>8.2500000000000004E-3</v>
      </c>
      <c r="E14" s="278">
        <v>8.2500000000000004E-3</v>
      </c>
      <c r="F14" s="278">
        <v>8.2500000000000004E-3</v>
      </c>
      <c r="G14" s="278">
        <v>8.2500000000000004E-3</v>
      </c>
      <c r="H14" s="278">
        <v>8.2500000000000004E-3</v>
      </c>
    </row>
    <row r="15" spans="1:8">
      <c r="A15">
        <f t="shared" si="0"/>
        <v>0</v>
      </c>
      <c r="B15" s="278">
        <v>15.958737099999999</v>
      </c>
      <c r="C15" s="278" t="s">
        <v>196</v>
      </c>
      <c r="D15" s="278">
        <v>17.774487099999998</v>
      </c>
      <c r="E15" s="278">
        <v>17.774487099999998</v>
      </c>
      <c r="F15" s="278">
        <v>15.958737099999999</v>
      </c>
      <c r="G15" s="278">
        <v>15.958737099999999</v>
      </c>
      <c r="H15" s="278">
        <v>15.958737099999999</v>
      </c>
    </row>
    <row r="16" spans="1:8">
      <c r="A16">
        <f t="shared" si="0"/>
        <v>0</v>
      </c>
      <c r="B16" s="278">
        <v>9.0399999999999996E-4</v>
      </c>
      <c r="C16" s="278" t="s">
        <v>197</v>
      </c>
      <c r="D16" s="278">
        <v>9.0399999999999996E-4</v>
      </c>
      <c r="E16" s="278">
        <v>9.0399999999999996E-4</v>
      </c>
      <c r="F16" s="278">
        <v>9.0399999999999996E-4</v>
      </c>
      <c r="G16" s="278">
        <v>9.0399999999999996E-4</v>
      </c>
      <c r="H16" s="278">
        <v>9.0399999999999996E-4</v>
      </c>
    </row>
    <row r="17" spans="1:8">
      <c r="A17">
        <f t="shared" si="0"/>
        <v>0</v>
      </c>
      <c r="B17" s="278">
        <v>0.05</v>
      </c>
      <c r="C17" s="278" t="s">
        <v>147</v>
      </c>
      <c r="D17" s="278">
        <v>0.05</v>
      </c>
      <c r="E17" s="278">
        <v>0.05</v>
      </c>
      <c r="F17" s="278">
        <v>0.05</v>
      </c>
      <c r="G17" s="278">
        <v>0.05</v>
      </c>
      <c r="H17" s="278">
        <v>0.05</v>
      </c>
    </row>
    <row r="18" spans="1:8">
      <c r="A18">
        <f t="shared" si="0"/>
        <v>0</v>
      </c>
      <c r="B18" s="278">
        <v>1.0644999999999999E-3</v>
      </c>
      <c r="C18" s="278" t="s">
        <v>222</v>
      </c>
      <c r="D18" s="278"/>
      <c r="E18" s="278"/>
      <c r="F18" s="278"/>
      <c r="G18" s="278"/>
      <c r="H18" s="278">
        <v>1.0644999999999999E-3</v>
      </c>
    </row>
    <row r="19" spans="1:8">
      <c r="B19" s="278"/>
      <c r="C19" s="278"/>
      <c r="D19" s="278"/>
      <c r="E19" s="278"/>
      <c r="F19" s="278"/>
      <c r="G19" s="278"/>
      <c r="H19" s="278"/>
    </row>
    <row r="20" spans="1:8">
      <c r="B20" s="280">
        <f>SUM(B6:B19)</f>
        <v>99.500019099999989</v>
      </c>
      <c r="C20" s="280" t="s">
        <v>198</v>
      </c>
      <c r="D20" s="280">
        <v>99.500019100000003</v>
      </c>
      <c r="E20" s="280">
        <f>SUM(E6:E19)</f>
        <v>99.500019100000003</v>
      </c>
      <c r="F20" s="280">
        <f>SUM(F6:F19)</f>
        <v>99.500019099999989</v>
      </c>
      <c r="G20" s="280">
        <f>SUM(G6:G19)</f>
        <v>99.500019099999989</v>
      </c>
      <c r="H20" s="280">
        <f>SUM(H6:H19)</f>
        <v>99.500019099999989</v>
      </c>
    </row>
  </sheetData>
  <mergeCells count="2">
    <mergeCell ref="C4:G4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Resumen anual</vt:lpstr>
      <vt:lpstr>Hoja2</vt:lpstr>
      <vt:lpstr>Resumen periodo</vt:lpstr>
      <vt:lpstr>Control Cuota Artesanal XV-IV</vt:lpstr>
      <vt:lpstr>Control Cuota LTP XV-IV</vt:lpstr>
      <vt:lpstr>Control Cuota_PEP_V-VIII</vt:lpstr>
      <vt:lpstr>Pesca Invest_FA</vt:lpstr>
      <vt:lpstr>Movimientos_LtpPep</vt:lpstr>
      <vt:lpstr>Adjudicacions Pep SSP</vt:lpstr>
      <vt:lpstr>'Resumen anual'!Área_de_impresión</vt:lpstr>
    </vt:vector>
  </TitlesOfParts>
  <Company>Sernapesca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ZULETA ESPINOZA, GERALDINE</cp:lastModifiedBy>
  <dcterms:created xsi:type="dcterms:W3CDTF">2017-08-21T13:03:00Z</dcterms:created>
  <dcterms:modified xsi:type="dcterms:W3CDTF">2020-01-03T15:29:07Z</dcterms:modified>
</cp:coreProperties>
</file>