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1056" windowWidth="19260" windowHeight="9972" tabRatio="928"/>
  </bookViews>
  <sheets>
    <sheet name="Resumen anual" sheetId="7" r:id="rId1"/>
    <sheet name="Resumen periodo" sheetId="6" state="hidden" r:id="rId2"/>
    <sheet name="Control Cuota Artesanal XV-IV" sheetId="3" r:id="rId3"/>
    <sheet name="Control Cuota LTP XV-IV" sheetId="18" r:id="rId4"/>
    <sheet name="Control Cuota_PEP_V-VIII" sheetId="20" r:id="rId5"/>
    <sheet name="Pesca Invest_FA" sheetId="21" r:id="rId6"/>
    <sheet name="Movimientos_LtpPep" sheetId="14" r:id="rId7"/>
    <sheet name="Adjudicacions Pep SSP" sheetId="22" r:id="rId8"/>
  </sheets>
  <definedNames>
    <definedName name="_xlnm._FilterDatabase" localSheetId="6" hidden="1">Movimientos_LtpPep!$B$75:$L$82</definedName>
    <definedName name="_xlnm.Print_Area" localSheetId="0">'Resumen anual'!$A$1:$J$17</definedName>
  </definedNames>
  <calcPr calcId="125725"/>
</workbook>
</file>

<file path=xl/calcChain.xml><?xml version="1.0" encoding="utf-8"?>
<calcChain xmlns="http://schemas.openxmlformats.org/spreadsheetml/2006/main">
  <c r="K5" i="21"/>
  <c r="K6"/>
  <c r="K7"/>
  <c r="K8"/>
  <c r="K9"/>
  <c r="G20" i="22"/>
  <c r="F20"/>
  <c r="H44" i="20" l="1"/>
  <c r="H45"/>
  <c r="H46"/>
  <c r="H47"/>
  <c r="N31"/>
  <c r="N13"/>
  <c r="N7"/>
  <c r="H7"/>
  <c r="H9"/>
  <c r="H15"/>
  <c r="H11" i="3"/>
  <c r="E21" i="21"/>
  <c r="F21"/>
  <c r="E22" s="1"/>
  <c r="G10" i="7" s="1"/>
  <c r="E10" i="21"/>
  <c r="F10"/>
  <c r="J21"/>
  <c r="I21"/>
  <c r="H21"/>
  <c r="G21"/>
  <c r="K20"/>
  <c r="K19"/>
  <c r="K18"/>
  <c r="K17"/>
  <c r="K16"/>
  <c r="K15"/>
  <c r="J10"/>
  <c r="I10"/>
  <c r="H10"/>
  <c r="G10"/>
  <c r="K4"/>
  <c r="K10" s="1"/>
  <c r="G11" l="1"/>
  <c r="K21"/>
  <c r="G22"/>
  <c r="G25" i="7" s="1"/>
  <c r="E11" i="21"/>
  <c r="G15" i="7" s="1"/>
  <c r="G26"/>
  <c r="B3" i="18" l="1"/>
  <c r="E44" i="14"/>
  <c r="E48"/>
  <c r="E50"/>
  <c r="E54"/>
  <c r="E56"/>
  <c r="E58"/>
  <c r="E40"/>
  <c r="E62"/>
  <c r="E60"/>
  <c r="E52"/>
  <c r="E46"/>
  <c r="E20" i="22"/>
  <c r="B20" l="1"/>
  <c r="E42" i="14"/>
  <c r="E68" l="1"/>
  <c r="D48" i="20"/>
  <c r="E48"/>
  <c r="B3"/>
  <c r="G48"/>
  <c r="H43"/>
  <c r="H48" s="1"/>
  <c r="N36"/>
  <c r="H36"/>
  <c r="K11" i="14"/>
  <c r="L9" i="18" s="1"/>
  <c r="L8" i="20"/>
  <c r="L10"/>
  <c r="L11"/>
  <c r="L12"/>
  <c r="L14"/>
  <c r="L16"/>
  <c r="L17"/>
  <c r="L18"/>
  <c r="L19"/>
  <c r="L20"/>
  <c r="L21"/>
  <c r="L22"/>
  <c r="L23"/>
  <c r="L24"/>
  <c r="L26"/>
  <c r="L27"/>
  <c r="L28"/>
  <c r="L29"/>
  <c r="L30"/>
  <c r="L32"/>
  <c r="L34"/>
  <c r="F10"/>
  <c r="F11"/>
  <c r="F12"/>
  <c r="F14"/>
  <c r="F16"/>
  <c r="F17"/>
  <c r="F18"/>
  <c r="F19"/>
  <c r="F20"/>
  <c r="F21"/>
  <c r="F22"/>
  <c r="F23"/>
  <c r="F24"/>
  <c r="F26"/>
  <c r="F27"/>
  <c r="F28"/>
  <c r="F29"/>
  <c r="F30"/>
  <c r="F31"/>
  <c r="F32"/>
  <c r="F34"/>
  <c r="F8"/>
  <c r="C29"/>
  <c r="C31"/>
  <c r="C33"/>
  <c r="C27"/>
  <c r="C25"/>
  <c r="C23"/>
  <c r="C21"/>
  <c r="C19"/>
  <c r="C17"/>
  <c r="C15"/>
  <c r="C13"/>
  <c r="C11"/>
  <c r="C9"/>
  <c r="C7"/>
  <c r="I67" i="14"/>
  <c r="K34" i="20" s="1"/>
  <c r="H67" i="14"/>
  <c r="G67" s="1"/>
  <c r="I66"/>
  <c r="K33" i="20" s="1"/>
  <c r="H66" i="14"/>
  <c r="G66" s="1"/>
  <c r="T34" i="20"/>
  <c r="L36" l="1"/>
  <c r="F36"/>
  <c r="E33"/>
  <c r="Q33" s="1"/>
  <c r="E34"/>
  <c r="Q34" s="1"/>
  <c r="R34"/>
  <c r="W33" l="1"/>
  <c r="I83" i="14"/>
  <c r="R18" i="20" l="1"/>
  <c r="T15"/>
  <c r="H13"/>
  <c r="R12"/>
  <c r="R20"/>
  <c r="F48"/>
  <c r="F49" s="1"/>
  <c r="H26" i="6"/>
  <c r="H24"/>
  <c r="T32" i="20"/>
  <c r="T31"/>
  <c r="Z31" s="1"/>
  <c r="T30"/>
  <c r="T29"/>
  <c r="T28"/>
  <c r="T27"/>
  <c r="Z27" s="1"/>
  <c r="T26"/>
  <c r="T25"/>
  <c r="T24"/>
  <c r="T23"/>
  <c r="T22"/>
  <c r="T21"/>
  <c r="Z21" s="1"/>
  <c r="T20"/>
  <c r="Z19"/>
  <c r="T19"/>
  <c r="R19"/>
  <c r="T18"/>
  <c r="T17"/>
  <c r="T16"/>
  <c r="T14"/>
  <c r="T12"/>
  <c r="T11"/>
  <c r="Z11" s="1"/>
  <c r="T10"/>
  <c r="T9"/>
  <c r="T8"/>
  <c r="D49" l="1"/>
  <c r="T7"/>
  <c r="Z7" s="1"/>
  <c r="N35"/>
  <c r="F50" s="1"/>
  <c r="H35"/>
  <c r="R17"/>
  <c r="X17" s="1"/>
  <c r="R21"/>
  <c r="R30"/>
  <c r="R26"/>
  <c r="R22"/>
  <c r="R14"/>
  <c r="R10"/>
  <c r="X19"/>
  <c r="R28"/>
  <c r="R16"/>
  <c r="R8"/>
  <c r="Z23"/>
  <c r="Z29"/>
  <c r="Z25"/>
  <c r="R32"/>
  <c r="R24"/>
  <c r="F26" i="6"/>
  <c r="R29" i="20"/>
  <c r="X29" s="1"/>
  <c r="R27"/>
  <c r="R11"/>
  <c r="X11" s="1"/>
  <c r="R23"/>
  <c r="F24" i="6"/>
  <c r="T36" i="20"/>
  <c r="Z9"/>
  <c r="Z17"/>
  <c r="Z15"/>
  <c r="T13"/>
  <c r="H23" i="6" l="1"/>
  <c r="D50" i="20"/>
  <c r="H25" i="6"/>
  <c r="T33" i="20"/>
  <c r="X21"/>
  <c r="X27"/>
  <c r="R36"/>
  <c r="X23"/>
  <c r="Z13"/>
  <c r="Z35" s="1"/>
  <c r="T35"/>
  <c r="I48" l="1"/>
  <c r="Z33"/>
  <c r="H15" i="6" l="1"/>
  <c r="H13"/>
  <c r="H12"/>
  <c r="L13" i="18"/>
  <c r="L14"/>
  <c r="R14" s="1"/>
  <c r="L15"/>
  <c r="L16"/>
  <c r="L17"/>
  <c r="L18"/>
  <c r="L19"/>
  <c r="L20"/>
  <c r="L21"/>
  <c r="L22"/>
  <c r="L11"/>
  <c r="L12"/>
  <c r="L10"/>
  <c r="R10" s="1"/>
  <c r="L8"/>
  <c r="R8" s="1"/>
  <c r="L7"/>
  <c r="F8"/>
  <c r="F9"/>
  <c r="F10"/>
  <c r="F11"/>
  <c r="F12"/>
  <c r="F13"/>
  <c r="F14"/>
  <c r="F15"/>
  <c r="F16"/>
  <c r="F17"/>
  <c r="F18"/>
  <c r="F19"/>
  <c r="F20"/>
  <c r="R20" s="1"/>
  <c r="F21"/>
  <c r="R21" s="1"/>
  <c r="F22"/>
  <c r="F7"/>
  <c r="D34"/>
  <c r="N24"/>
  <c r="H24"/>
  <c r="H23"/>
  <c r="T22"/>
  <c r="T21"/>
  <c r="T20"/>
  <c r="Z19" s="1"/>
  <c r="T19"/>
  <c r="R19"/>
  <c r="T18"/>
  <c r="T17"/>
  <c r="Z17" s="1"/>
  <c r="T16"/>
  <c r="T15"/>
  <c r="T14"/>
  <c r="T13"/>
  <c r="Z13" s="1"/>
  <c r="T12"/>
  <c r="R11"/>
  <c r="N11"/>
  <c r="T11" s="1"/>
  <c r="T10"/>
  <c r="N9"/>
  <c r="T9" s="1"/>
  <c r="Z9" s="1"/>
  <c r="T8"/>
  <c r="T7"/>
  <c r="R9" l="1"/>
  <c r="X9" s="1"/>
  <c r="R12"/>
  <c r="R24" s="1"/>
  <c r="R16"/>
  <c r="R18"/>
  <c r="R15"/>
  <c r="R22"/>
  <c r="X21" s="1"/>
  <c r="X19"/>
  <c r="R13"/>
  <c r="X13" s="1"/>
  <c r="L23"/>
  <c r="F14" i="6" s="1"/>
  <c r="L24" i="18"/>
  <c r="F15" i="6" s="1"/>
  <c r="R7" i="18"/>
  <c r="X7" s="1"/>
  <c r="R17"/>
  <c r="X17" s="1"/>
  <c r="T24"/>
  <c r="Z15"/>
  <c r="Z7"/>
  <c r="T23"/>
  <c r="Z11"/>
  <c r="X15"/>
  <c r="Z21"/>
  <c r="F23"/>
  <c r="F12" i="6" s="1"/>
  <c r="N23" i="18"/>
  <c r="H14" i="6" s="1"/>
  <c r="F24" i="18"/>
  <c r="F13" i="6" s="1"/>
  <c r="X11" i="18" l="1"/>
  <c r="X23"/>
  <c r="R23"/>
  <c r="Z23"/>
  <c r="I82" i="14" l="1"/>
  <c r="I80"/>
  <c r="I79"/>
  <c r="I77"/>
  <c r="I76"/>
  <c r="I78"/>
  <c r="I81"/>
  <c r="H44" l="1"/>
  <c r="E11" i="20" s="1"/>
  <c r="I44" i="14"/>
  <c r="K11" i="20" s="1"/>
  <c r="H45" i="14"/>
  <c r="E12" i="20" s="1"/>
  <c r="I45" i="14"/>
  <c r="K12" i="20" s="1"/>
  <c r="H46" i="14"/>
  <c r="E13" i="20" s="1"/>
  <c r="I46" i="14"/>
  <c r="K13" i="20" s="1"/>
  <c r="H47" i="14"/>
  <c r="E14" i="20" s="1"/>
  <c r="I47" i="14"/>
  <c r="K14" i="20" s="1"/>
  <c r="H48" i="14"/>
  <c r="E15" i="20" s="1"/>
  <c r="I48" i="14"/>
  <c r="K15" i="20" s="1"/>
  <c r="H49" i="14"/>
  <c r="E16" i="20" s="1"/>
  <c r="I49" i="14"/>
  <c r="K16" i="20" s="1"/>
  <c r="H50" i="14"/>
  <c r="E17" i="20" s="1"/>
  <c r="I50" i="14"/>
  <c r="K17" i="20" s="1"/>
  <c r="H51" i="14"/>
  <c r="E18" i="20" s="1"/>
  <c r="I51" i="14"/>
  <c r="K18" i="20" s="1"/>
  <c r="H52" i="14"/>
  <c r="E19" i="20" s="1"/>
  <c r="I52" i="14"/>
  <c r="K19" i="20" s="1"/>
  <c r="H53" i="14"/>
  <c r="E20" i="20" s="1"/>
  <c r="I53" i="14"/>
  <c r="K20" i="20" s="1"/>
  <c r="H54" i="14"/>
  <c r="E21" i="20" s="1"/>
  <c r="I54" i="14"/>
  <c r="K21" i="20" s="1"/>
  <c r="H55" i="14"/>
  <c r="E22" i="20" s="1"/>
  <c r="I55" i="14"/>
  <c r="K22" i="20" s="1"/>
  <c r="H56" i="14"/>
  <c r="E23" i="20" s="1"/>
  <c r="I56" i="14"/>
  <c r="K23" i="20" s="1"/>
  <c r="H57" i="14"/>
  <c r="E24" i="20" s="1"/>
  <c r="I57" i="14"/>
  <c r="K24" i="20" s="1"/>
  <c r="H58" i="14"/>
  <c r="E25" i="20" s="1"/>
  <c r="I58" i="14"/>
  <c r="H59"/>
  <c r="E26" i="20" s="1"/>
  <c r="I59" i="14"/>
  <c r="K26" i="20" s="1"/>
  <c r="H60" i="14"/>
  <c r="E27" i="20" s="1"/>
  <c r="I60" i="14"/>
  <c r="H61"/>
  <c r="E28" i="20" s="1"/>
  <c r="I61" i="14"/>
  <c r="K28" i="20" s="1"/>
  <c r="H62" i="14"/>
  <c r="E29" i="20" s="1"/>
  <c r="I62" i="14"/>
  <c r="H63"/>
  <c r="E30" i="20" s="1"/>
  <c r="I63" i="14"/>
  <c r="K30" i="20" s="1"/>
  <c r="H64" i="14"/>
  <c r="I64"/>
  <c r="K31" i="20" s="1"/>
  <c r="H65" i="14"/>
  <c r="E32" i="20" s="1"/>
  <c r="I65" i="14"/>
  <c r="K32" i="20" s="1"/>
  <c r="I43" i="14"/>
  <c r="K10" i="20" s="1"/>
  <c r="H43" i="14"/>
  <c r="E10" i="20" s="1"/>
  <c r="I42" i="14"/>
  <c r="K9" i="20" s="1"/>
  <c r="H42" i="14"/>
  <c r="E9" i="20" s="1"/>
  <c r="I41" i="14"/>
  <c r="I40"/>
  <c r="H41"/>
  <c r="H40"/>
  <c r="I19"/>
  <c r="K17" i="18" s="1"/>
  <c r="M17" s="1"/>
  <c r="I20" i="14"/>
  <c r="K18" i="18" s="1"/>
  <c r="I10" i="14"/>
  <c r="K8" i="18" s="1"/>
  <c r="I9" i="14"/>
  <c r="K7" i="18" s="1"/>
  <c r="H19" i="14"/>
  <c r="H20"/>
  <c r="H10"/>
  <c r="H9"/>
  <c r="E12"/>
  <c r="H11" s="1"/>
  <c r="E16"/>
  <c r="H15" s="1"/>
  <c r="M19" i="20" l="1"/>
  <c r="M17"/>
  <c r="M11"/>
  <c r="M21"/>
  <c r="P21" s="1"/>
  <c r="G31"/>
  <c r="I31" s="1"/>
  <c r="G32" s="1"/>
  <c r="I32" s="1"/>
  <c r="E31"/>
  <c r="Q31" s="1"/>
  <c r="O17" i="18"/>
  <c r="M18" s="1"/>
  <c r="P17"/>
  <c r="M7"/>
  <c r="K29" i="20"/>
  <c r="K27"/>
  <c r="K25"/>
  <c r="Q22"/>
  <c r="Q21"/>
  <c r="S21" s="1"/>
  <c r="G21"/>
  <c r="Q20"/>
  <c r="G19"/>
  <c r="Q19"/>
  <c r="G17"/>
  <c r="Q17"/>
  <c r="S17" s="1"/>
  <c r="U17" s="1"/>
  <c r="Q18"/>
  <c r="Q15"/>
  <c r="Q16"/>
  <c r="Q13"/>
  <c r="Q14"/>
  <c r="P11"/>
  <c r="Q12"/>
  <c r="G11"/>
  <c r="Q11"/>
  <c r="Q9"/>
  <c r="Q10"/>
  <c r="I69" i="14"/>
  <c r="K8" i="20"/>
  <c r="I68" i="14"/>
  <c r="K7" i="20"/>
  <c r="E8"/>
  <c r="H69" i="14"/>
  <c r="H68"/>
  <c r="E7" i="20"/>
  <c r="Q32"/>
  <c r="G29"/>
  <c r="G27"/>
  <c r="Q27"/>
  <c r="G23"/>
  <c r="Q23"/>
  <c r="M23"/>
  <c r="Q30"/>
  <c r="Q24"/>
  <c r="Q28"/>
  <c r="Q26"/>
  <c r="G40" i="14"/>
  <c r="G50"/>
  <c r="G51"/>
  <c r="I12"/>
  <c r="K10" i="18" s="1"/>
  <c r="H12" i="14"/>
  <c r="I11"/>
  <c r="K9" i="18" s="1"/>
  <c r="M9" s="1"/>
  <c r="H16" i="14"/>
  <c r="I15"/>
  <c r="K13" i="18" s="1"/>
  <c r="M13" s="1"/>
  <c r="E26" i="14"/>
  <c r="G9"/>
  <c r="E7" i="18" s="1"/>
  <c r="I16" i="14"/>
  <c r="K14" i="18" s="1"/>
  <c r="E13" i="14"/>
  <c r="D37" i="3"/>
  <c r="H17"/>
  <c r="H15"/>
  <c r="H13"/>
  <c r="O21" i="20" l="1"/>
  <c r="M22" s="1"/>
  <c r="P22" s="1"/>
  <c r="I17"/>
  <c r="Q29"/>
  <c r="S29" s="1"/>
  <c r="O19"/>
  <c r="I27"/>
  <c r="Q25"/>
  <c r="W25" s="1"/>
  <c r="O17"/>
  <c r="K36"/>
  <c r="E26" i="6" s="1"/>
  <c r="G26" s="1"/>
  <c r="I19" i="20"/>
  <c r="M27"/>
  <c r="O11"/>
  <c r="P7" i="18"/>
  <c r="O7"/>
  <c r="M8" s="1"/>
  <c r="O18"/>
  <c r="P18"/>
  <c r="G7"/>
  <c r="Q7"/>
  <c r="P13"/>
  <c r="O13"/>
  <c r="M14" s="1"/>
  <c r="O9"/>
  <c r="M10" s="1"/>
  <c r="P9"/>
  <c r="M29" i="20"/>
  <c r="V21"/>
  <c r="U21"/>
  <c r="S22" s="1"/>
  <c r="J21"/>
  <c r="I21"/>
  <c r="W21"/>
  <c r="Y21" s="1"/>
  <c r="W19"/>
  <c r="Y19" s="1"/>
  <c r="AA19" s="1"/>
  <c r="S19"/>
  <c r="U19" s="1"/>
  <c r="S20" s="1"/>
  <c r="U20" s="1"/>
  <c r="W17"/>
  <c r="Y17" s="1"/>
  <c r="AA17" s="1"/>
  <c r="S18"/>
  <c r="U18" s="1"/>
  <c r="W15"/>
  <c r="W13"/>
  <c r="S11"/>
  <c r="W11"/>
  <c r="Y11" s="1"/>
  <c r="I11"/>
  <c r="J11"/>
  <c r="W9"/>
  <c r="E36"/>
  <c r="E24" i="6" s="1"/>
  <c r="G24" s="1"/>
  <c r="Q8" i="20"/>
  <c r="Q36" s="1"/>
  <c r="Q7"/>
  <c r="E35"/>
  <c r="E23" i="6" s="1"/>
  <c r="K35" i="20"/>
  <c r="E25" i="6" s="1"/>
  <c r="I23" i="20"/>
  <c r="J23"/>
  <c r="P23"/>
  <c r="O23"/>
  <c r="W23"/>
  <c r="S23"/>
  <c r="S27"/>
  <c r="U27" s="1"/>
  <c r="S28" s="1"/>
  <c r="U28" s="1"/>
  <c r="W27"/>
  <c r="Y27" s="1"/>
  <c r="AA27" s="1"/>
  <c r="I29"/>
  <c r="J29"/>
  <c r="W31"/>
  <c r="I14" i="14"/>
  <c r="K12" i="18" s="1"/>
  <c r="I13" i="14"/>
  <c r="K11" i="18" s="1"/>
  <c r="M11" s="1"/>
  <c r="H14" i="14"/>
  <c r="H13"/>
  <c r="G24" i="3"/>
  <c r="J24" s="1"/>
  <c r="W29" i="20" l="1"/>
  <c r="Y29" s="1"/>
  <c r="AA29" s="1"/>
  <c r="O22"/>
  <c r="M12"/>
  <c r="G20"/>
  <c r="G28"/>
  <c r="Q35"/>
  <c r="G22"/>
  <c r="M24"/>
  <c r="O27"/>
  <c r="M18"/>
  <c r="M20"/>
  <c r="G18"/>
  <c r="G30"/>
  <c r="I30" s="1"/>
  <c r="G24"/>
  <c r="G12"/>
  <c r="O14" i="18"/>
  <c r="P14"/>
  <c r="S7"/>
  <c r="O8"/>
  <c r="P8"/>
  <c r="I7"/>
  <c r="J7"/>
  <c r="P10"/>
  <c r="O10"/>
  <c r="O11"/>
  <c r="M12" s="1"/>
  <c r="P11"/>
  <c r="P29" i="20"/>
  <c r="O29"/>
  <c r="D23" i="7"/>
  <c r="U22" i="20"/>
  <c r="V22"/>
  <c r="AA21"/>
  <c r="AB21"/>
  <c r="V11"/>
  <c r="U11"/>
  <c r="S12" s="1"/>
  <c r="AB11"/>
  <c r="AA11"/>
  <c r="W7"/>
  <c r="V29"/>
  <c r="U29"/>
  <c r="S30" s="1"/>
  <c r="Y23"/>
  <c r="U23"/>
  <c r="S24" s="1"/>
  <c r="V23"/>
  <c r="O24"/>
  <c r="P24"/>
  <c r="I24" i="3"/>
  <c r="E22"/>
  <c r="E21"/>
  <c r="AB29" i="20" l="1"/>
  <c r="J30"/>
  <c r="I12"/>
  <c r="J12"/>
  <c r="I20"/>
  <c r="O18"/>
  <c r="O20"/>
  <c r="J24"/>
  <c r="I22"/>
  <c r="M30"/>
  <c r="I18"/>
  <c r="I28"/>
  <c r="P12"/>
  <c r="O12"/>
  <c r="M28"/>
  <c r="I24"/>
  <c r="J22"/>
  <c r="U7" i="18"/>
  <c r="V7"/>
  <c r="P12"/>
  <c r="O12"/>
  <c r="U12" i="20"/>
  <c r="V12"/>
  <c r="W35"/>
  <c r="U24"/>
  <c r="V24"/>
  <c r="AA23"/>
  <c r="AB23"/>
  <c r="U30"/>
  <c r="V30"/>
  <c r="H22" i="3"/>
  <c r="H21"/>
  <c r="F22"/>
  <c r="F21"/>
  <c r="D36" i="14"/>
  <c r="K83" s="1"/>
  <c r="K66" s="1"/>
  <c r="L33" i="20" s="1"/>
  <c r="M33" s="1"/>
  <c r="C36" i="14"/>
  <c r="J83" s="1"/>
  <c r="J66" s="1"/>
  <c r="F33" i="20" s="1"/>
  <c r="E35" i="14"/>
  <c r="E34"/>
  <c r="D5"/>
  <c r="C5"/>
  <c r="E4"/>
  <c r="E3"/>
  <c r="P30" i="20" l="1"/>
  <c r="O30"/>
  <c r="O28"/>
  <c r="O33"/>
  <c r="M34" s="1"/>
  <c r="P33"/>
  <c r="G33"/>
  <c r="I33" s="1"/>
  <c r="G34" s="1"/>
  <c r="I34" s="1"/>
  <c r="R33"/>
  <c r="K76" i="14"/>
  <c r="K80"/>
  <c r="K46" s="1"/>
  <c r="L13" i="20" s="1"/>
  <c r="M13" s="1"/>
  <c r="J80" i="14"/>
  <c r="J46" s="1"/>
  <c r="F13" i="20" s="1"/>
  <c r="J76" i="14"/>
  <c r="I17"/>
  <c r="K15" i="18" s="1"/>
  <c r="I18" i="14"/>
  <c r="K16" i="18" s="1"/>
  <c r="H18" i="14"/>
  <c r="H17"/>
  <c r="H23"/>
  <c r="I24"/>
  <c r="K22" i="18" s="1"/>
  <c r="H24" i="14"/>
  <c r="I23"/>
  <c r="K21" i="18" s="1"/>
  <c r="I22" i="14"/>
  <c r="K20" i="18" s="1"/>
  <c r="H22" i="14"/>
  <c r="I21"/>
  <c r="K19" i="18" s="1"/>
  <c r="M19" s="1"/>
  <c r="H21" i="14"/>
  <c r="E25"/>
  <c r="E5"/>
  <c r="F17" s="1"/>
  <c r="E36"/>
  <c r="G21" i="3"/>
  <c r="I21" s="1"/>
  <c r="G22" s="1"/>
  <c r="J22" s="1"/>
  <c r="M21" i="18" l="1"/>
  <c r="O21" s="1"/>
  <c r="M22" s="1"/>
  <c r="O22" s="1"/>
  <c r="S33" i="20"/>
  <c r="U33" s="1"/>
  <c r="S34" s="1"/>
  <c r="U34" s="1"/>
  <c r="X33"/>
  <c r="Y33" s="1"/>
  <c r="J40" i="14"/>
  <c r="O19" i="18"/>
  <c r="M20" s="1"/>
  <c r="P19"/>
  <c r="M15"/>
  <c r="O15" s="1"/>
  <c r="M16" s="1"/>
  <c r="O16" s="1"/>
  <c r="K23"/>
  <c r="F66" i="14"/>
  <c r="L66" s="1"/>
  <c r="M66" s="1"/>
  <c r="L83"/>
  <c r="R13" i="20"/>
  <c r="G13"/>
  <c r="O34"/>
  <c r="P34"/>
  <c r="O13"/>
  <c r="P13"/>
  <c r="K24" i="18"/>
  <c r="E15" i="6" s="1"/>
  <c r="G15" s="1"/>
  <c r="K58" i="14"/>
  <c r="L25" i="20" s="1"/>
  <c r="M25" s="1"/>
  <c r="J58" i="14"/>
  <c r="F25" i="20" s="1"/>
  <c r="L77" i="14"/>
  <c r="K77" s="1"/>
  <c r="K64" s="1"/>
  <c r="L31" i="20" s="1"/>
  <c r="L81" i="14"/>
  <c r="K81" s="1"/>
  <c r="K48" s="1"/>
  <c r="L15" i="20" s="1"/>
  <c r="M15" s="1"/>
  <c r="L76" i="14"/>
  <c r="L80"/>
  <c r="L82"/>
  <c r="J82" s="1"/>
  <c r="J48" s="1"/>
  <c r="F15" i="20" s="1"/>
  <c r="L78" i="14"/>
  <c r="K78" s="1"/>
  <c r="K42" s="1"/>
  <c r="L9" i="20" s="1"/>
  <c r="M9" s="1"/>
  <c r="L79" i="14"/>
  <c r="J79" s="1"/>
  <c r="J42" s="1"/>
  <c r="F9" i="20" s="1"/>
  <c r="F50" i="14"/>
  <c r="L50" s="1"/>
  <c r="M50" s="1"/>
  <c r="F46"/>
  <c r="F54"/>
  <c r="F62"/>
  <c r="F42"/>
  <c r="F44"/>
  <c r="F52"/>
  <c r="F60"/>
  <c r="F40"/>
  <c r="F48"/>
  <c r="F56"/>
  <c r="F64"/>
  <c r="F58"/>
  <c r="F11"/>
  <c r="F19"/>
  <c r="F9"/>
  <c r="F15"/>
  <c r="F13"/>
  <c r="F21"/>
  <c r="F23"/>
  <c r="J21" i="3"/>
  <c r="I22"/>
  <c r="M14" i="20" l="1"/>
  <c r="X13"/>
  <c r="Y13" s="1"/>
  <c r="S13"/>
  <c r="E14" i="6"/>
  <c r="G14" s="1"/>
  <c r="M23" i="18"/>
  <c r="J68" i="14"/>
  <c r="F7" i="20"/>
  <c r="R15"/>
  <c r="G15"/>
  <c r="R31"/>
  <c r="M31"/>
  <c r="I13"/>
  <c r="J13"/>
  <c r="P20" i="18"/>
  <c r="O20"/>
  <c r="K40" i="14"/>
  <c r="P9" i="20"/>
  <c r="O9"/>
  <c r="M10" s="1"/>
  <c r="P15"/>
  <c r="O15"/>
  <c r="R25"/>
  <c r="G25"/>
  <c r="R9"/>
  <c r="G9"/>
  <c r="P25"/>
  <c r="O25"/>
  <c r="AA33"/>
  <c r="AB33"/>
  <c r="F68" i="14"/>
  <c r="L42"/>
  <c r="M42" s="1"/>
  <c r="G28" i="6"/>
  <c r="E25" i="7"/>
  <c r="D25"/>
  <c r="G27" i="6"/>
  <c r="G16"/>
  <c r="B21"/>
  <c r="C3" i="3"/>
  <c r="B3" i="6"/>
  <c r="B20" i="7"/>
  <c r="L9" i="14"/>
  <c r="F26" i="7"/>
  <c r="F15"/>
  <c r="P11" i="3"/>
  <c r="E10" i="7"/>
  <c r="D10"/>
  <c r="H10" i="6"/>
  <c r="H9"/>
  <c r="H8"/>
  <c r="H7"/>
  <c r="H6"/>
  <c r="H5"/>
  <c r="F7"/>
  <c r="F8"/>
  <c r="F10"/>
  <c r="F5"/>
  <c r="F6"/>
  <c r="E10"/>
  <c r="E9"/>
  <c r="E8"/>
  <c r="E7"/>
  <c r="E6"/>
  <c r="E5"/>
  <c r="G5" s="1"/>
  <c r="I5" s="1"/>
  <c r="G19" i="3"/>
  <c r="G11"/>
  <c r="I11" s="1"/>
  <c r="G17"/>
  <c r="J17" s="1"/>
  <c r="G9"/>
  <c r="I9" s="1"/>
  <c r="G7"/>
  <c r="G11" i="6"/>
  <c r="I11" s="1"/>
  <c r="P19" i="3"/>
  <c r="N19"/>
  <c r="M19"/>
  <c r="P13"/>
  <c r="M13"/>
  <c r="N11"/>
  <c r="M11"/>
  <c r="P17"/>
  <c r="N17"/>
  <c r="M17"/>
  <c r="P15"/>
  <c r="M15"/>
  <c r="P9"/>
  <c r="N9"/>
  <c r="M9"/>
  <c r="P7"/>
  <c r="N7"/>
  <c r="M7"/>
  <c r="N13"/>
  <c r="G13"/>
  <c r="N15"/>
  <c r="F9" i="6"/>
  <c r="G15" i="3"/>
  <c r="M16" i="20" l="1"/>
  <c r="G14"/>
  <c r="J14" s="1"/>
  <c r="P14"/>
  <c r="M26"/>
  <c r="O14"/>
  <c r="X25"/>
  <c r="Y25" s="1"/>
  <c r="S25"/>
  <c r="J15"/>
  <c r="I15"/>
  <c r="M24" i="18"/>
  <c r="P23"/>
  <c r="O23"/>
  <c r="AB13" i="20"/>
  <c r="AA13"/>
  <c r="J9"/>
  <c r="I9"/>
  <c r="K68" i="14"/>
  <c r="L7" i="20"/>
  <c r="X15"/>
  <c r="Y15" s="1"/>
  <c r="S15"/>
  <c r="I25"/>
  <c r="J25"/>
  <c r="P10"/>
  <c r="O10"/>
  <c r="X31"/>
  <c r="Y31" s="1"/>
  <c r="S31"/>
  <c r="U31" s="1"/>
  <c r="S32" s="1"/>
  <c r="U32" s="1"/>
  <c r="X9"/>
  <c r="Y9" s="1"/>
  <c r="S9"/>
  <c r="P31"/>
  <c r="O31"/>
  <c r="M32" s="1"/>
  <c r="F35"/>
  <c r="R7"/>
  <c r="G7"/>
  <c r="U13"/>
  <c r="S14" s="1"/>
  <c r="V13"/>
  <c r="L40" i="14"/>
  <c r="J11" i="6"/>
  <c r="F25" i="7"/>
  <c r="E8"/>
  <c r="G8"/>
  <c r="N21" i="3"/>
  <c r="E9" i="7"/>
  <c r="O19" i="3"/>
  <c r="R19" s="1"/>
  <c r="F10" i="7"/>
  <c r="I10" s="1"/>
  <c r="M21" i="3"/>
  <c r="J9"/>
  <c r="J13"/>
  <c r="I13"/>
  <c r="G14" s="1"/>
  <c r="I14" s="1"/>
  <c r="O9"/>
  <c r="Q9" s="1"/>
  <c r="I17"/>
  <c r="I7"/>
  <c r="O13"/>
  <c r="R13" s="1"/>
  <c r="D8" i="7"/>
  <c r="F8" s="1"/>
  <c r="E7"/>
  <c r="D9"/>
  <c r="G12"/>
  <c r="G24" i="14"/>
  <c r="E22" i="18" s="1"/>
  <c r="Q22" s="1"/>
  <c r="G15" i="14"/>
  <c r="E13" i="18" s="1"/>
  <c r="G16" i="14"/>
  <c r="E14" i="18" s="1"/>
  <c r="Q14" s="1"/>
  <c r="G10" i="14"/>
  <c r="E8" i="18" s="1"/>
  <c r="G14" i="14"/>
  <c r="E12" i="18" s="1"/>
  <c r="G17" i="14"/>
  <c r="E15" i="18" s="1"/>
  <c r="G20" i="14"/>
  <c r="E18" i="18" s="1"/>
  <c r="Q18" s="1"/>
  <c r="E12" i="7"/>
  <c r="G12" i="14"/>
  <c r="E10" i="18" s="1"/>
  <c r="Q10" s="1"/>
  <c r="H25" i="14"/>
  <c r="I26"/>
  <c r="G23"/>
  <c r="E21" i="18" s="1"/>
  <c r="F25" i="14"/>
  <c r="G13"/>
  <c r="E11" i="18" s="1"/>
  <c r="G11" i="14"/>
  <c r="E9" i="18" s="1"/>
  <c r="G19" i="14"/>
  <c r="E17" i="18" s="1"/>
  <c r="G21" i="14"/>
  <c r="E19" i="18" s="1"/>
  <c r="G18" i="14"/>
  <c r="E16" i="18" s="1"/>
  <c r="Q16" s="1"/>
  <c r="G22" i="14"/>
  <c r="E20" i="18" s="1"/>
  <c r="Q20" s="1"/>
  <c r="H26" i="14"/>
  <c r="I25"/>
  <c r="L13"/>
  <c r="M13" s="1"/>
  <c r="N13" s="1"/>
  <c r="O15" i="3"/>
  <c r="R15" s="1"/>
  <c r="O17"/>
  <c r="R17" s="1"/>
  <c r="O11"/>
  <c r="Q11" s="1"/>
  <c r="J11"/>
  <c r="G10"/>
  <c r="I10" s="1"/>
  <c r="Q19"/>
  <c r="G9" i="6"/>
  <c r="I9" s="1"/>
  <c r="G10" s="1"/>
  <c r="I10" s="1"/>
  <c r="O7" i="3"/>
  <c r="Q7" s="1"/>
  <c r="J19"/>
  <c r="J15"/>
  <c r="J7"/>
  <c r="I19"/>
  <c r="G6" i="6"/>
  <c r="J6" s="1"/>
  <c r="I15" i="3"/>
  <c r="D7" i="7"/>
  <c r="G7" i="6"/>
  <c r="I7" s="1"/>
  <c r="G8" s="1"/>
  <c r="I8" s="1"/>
  <c r="G7" i="7"/>
  <c r="J5" i="6"/>
  <c r="G9" i="7"/>
  <c r="F17" i="6"/>
  <c r="E13" i="7"/>
  <c r="P21" i="3"/>
  <c r="G12"/>
  <c r="L17" i="14"/>
  <c r="M17" s="1"/>
  <c r="L11"/>
  <c r="M11" s="1"/>
  <c r="N11" s="1"/>
  <c r="L15"/>
  <c r="M15" s="1"/>
  <c r="N15" s="1"/>
  <c r="L19"/>
  <c r="M19" s="1"/>
  <c r="N19" s="1"/>
  <c r="K25"/>
  <c r="J27" i="6"/>
  <c r="I27"/>
  <c r="M9" i="14"/>
  <c r="N9" s="1"/>
  <c r="L21"/>
  <c r="M21" s="1"/>
  <c r="N21" s="1"/>
  <c r="G24" i="7"/>
  <c r="L23" i="14"/>
  <c r="M23" s="1"/>
  <c r="N23" s="1"/>
  <c r="J25"/>
  <c r="I14" i="20" l="1"/>
  <c r="P26"/>
  <c r="O16"/>
  <c r="G26"/>
  <c r="G10"/>
  <c r="J10" s="1"/>
  <c r="G16"/>
  <c r="O26"/>
  <c r="P16"/>
  <c r="Q8" i="18"/>
  <c r="E24"/>
  <c r="E13" i="6" s="1"/>
  <c r="G13" s="1"/>
  <c r="G8" i="18"/>
  <c r="X7" i="20"/>
  <c r="R35"/>
  <c r="S35" s="1"/>
  <c r="S7"/>
  <c r="U9"/>
  <c r="S10" s="1"/>
  <c r="V9"/>
  <c r="P24" i="18"/>
  <c r="O24"/>
  <c r="AA25" i="20"/>
  <c r="AB25"/>
  <c r="Q19" i="18"/>
  <c r="G19"/>
  <c r="Q12"/>
  <c r="J7" i="20"/>
  <c r="I7"/>
  <c r="AB31"/>
  <c r="AA31"/>
  <c r="J26"/>
  <c r="AB15"/>
  <c r="AA15"/>
  <c r="U25"/>
  <c r="S26" s="1"/>
  <c r="V25"/>
  <c r="G21" i="18"/>
  <c r="I21" s="1"/>
  <c r="G22" s="1"/>
  <c r="I22" s="1"/>
  <c r="Q21"/>
  <c r="S21" s="1"/>
  <c r="W15"/>
  <c r="Y15" s="1"/>
  <c r="AA15" s="1"/>
  <c r="G11"/>
  <c r="Q11"/>
  <c r="G15"/>
  <c r="I15" s="1"/>
  <c r="G16" s="1"/>
  <c r="I16" s="1"/>
  <c r="Q15"/>
  <c r="S15" s="1"/>
  <c r="Q13"/>
  <c r="S13" s="1"/>
  <c r="G13"/>
  <c r="U14" i="20"/>
  <c r="V14"/>
  <c r="O32"/>
  <c r="P32"/>
  <c r="U15"/>
  <c r="S16" s="1"/>
  <c r="V15"/>
  <c r="L35"/>
  <c r="M7"/>
  <c r="Q17" i="18"/>
  <c r="G17"/>
  <c r="G9"/>
  <c r="Q9"/>
  <c r="E23"/>
  <c r="F23" i="6"/>
  <c r="G35" i="20"/>
  <c r="AA9"/>
  <c r="AB9"/>
  <c r="W13" i="18"/>
  <c r="Y13" s="1"/>
  <c r="N17" i="14"/>
  <c r="M25"/>
  <c r="R7" i="3"/>
  <c r="R9"/>
  <c r="Q13"/>
  <c r="R11"/>
  <c r="O21"/>
  <c r="F9" i="7"/>
  <c r="I9" s="1"/>
  <c r="D11"/>
  <c r="E14"/>
  <c r="E16" s="1"/>
  <c r="E11"/>
  <c r="H10"/>
  <c r="G11"/>
  <c r="I6" i="6"/>
  <c r="G8" i="3"/>
  <c r="J9" i="6"/>
  <c r="Q15" i="3"/>
  <c r="G18"/>
  <c r="J18" s="1"/>
  <c r="H8" i="7"/>
  <c r="I8"/>
  <c r="F7"/>
  <c r="H7" s="1"/>
  <c r="G25" i="14"/>
  <c r="G26"/>
  <c r="G16" i="3"/>
  <c r="J16" s="1"/>
  <c r="Q17"/>
  <c r="J14"/>
  <c r="J10"/>
  <c r="G20"/>
  <c r="J7" i="6"/>
  <c r="J8"/>
  <c r="J10"/>
  <c r="I12" i="3"/>
  <c r="J12"/>
  <c r="G13" i="7"/>
  <c r="G14" s="1"/>
  <c r="I25"/>
  <c r="H25"/>
  <c r="J28" i="6"/>
  <c r="I28"/>
  <c r="I16"/>
  <c r="J16"/>
  <c r="H17"/>
  <c r="L25" i="14"/>
  <c r="H29" i="6"/>
  <c r="G23" i="7"/>
  <c r="I10" i="20" l="1"/>
  <c r="J16"/>
  <c r="G8"/>
  <c r="I16"/>
  <c r="I26"/>
  <c r="J17" i="18"/>
  <c r="I17"/>
  <c r="G18" s="1"/>
  <c r="U26" i="20"/>
  <c r="V26"/>
  <c r="J9" i="18"/>
  <c r="I9"/>
  <c r="G10" s="1"/>
  <c r="J19"/>
  <c r="I19"/>
  <c r="G20" s="1"/>
  <c r="U7" i="20"/>
  <c r="S8" s="1"/>
  <c r="V7"/>
  <c r="S11" i="18"/>
  <c r="W11"/>
  <c r="Y11" s="1"/>
  <c r="V35" i="20"/>
  <c r="U35"/>
  <c r="S36" s="1"/>
  <c r="J35"/>
  <c r="I35"/>
  <c r="G36" s="1"/>
  <c r="AA13" i="18"/>
  <c r="AB13"/>
  <c r="W9"/>
  <c r="Y9" s="1"/>
  <c r="S9"/>
  <c r="Q23"/>
  <c r="S23" s="1"/>
  <c r="U15"/>
  <c r="S16" s="1"/>
  <c r="V15"/>
  <c r="V10" i="20"/>
  <c r="U10"/>
  <c r="J8" i="18"/>
  <c r="I8"/>
  <c r="W21"/>
  <c r="Y21" s="1"/>
  <c r="AA21" s="1"/>
  <c r="O7" i="20"/>
  <c r="P7"/>
  <c r="J13" i="18"/>
  <c r="I13"/>
  <c r="G14" s="1"/>
  <c r="V21"/>
  <c r="U21"/>
  <c r="S22" s="1"/>
  <c r="W19"/>
  <c r="Y19" s="1"/>
  <c r="S19"/>
  <c r="Q24"/>
  <c r="W7"/>
  <c r="S8"/>
  <c r="V16" i="20"/>
  <c r="U16"/>
  <c r="E12" i="6"/>
  <c r="E17" s="1"/>
  <c r="G23" i="18"/>
  <c r="W17"/>
  <c r="Y17" s="1"/>
  <c r="S17"/>
  <c r="F25" i="6"/>
  <c r="M35" i="20"/>
  <c r="U13" i="18"/>
  <c r="S14" s="1"/>
  <c r="V13"/>
  <c r="J11"/>
  <c r="I11"/>
  <c r="G12" s="1"/>
  <c r="X35" i="20"/>
  <c r="Y7"/>
  <c r="G16" i="7"/>
  <c r="H9"/>
  <c r="F11"/>
  <c r="I11" s="1"/>
  <c r="Q21" i="3"/>
  <c r="R21"/>
  <c r="I8"/>
  <c r="J8"/>
  <c r="I18"/>
  <c r="I7" i="7"/>
  <c r="I16" i="3"/>
  <c r="J20"/>
  <c r="I20"/>
  <c r="I26" i="7"/>
  <c r="H26"/>
  <c r="I15"/>
  <c r="H15"/>
  <c r="G27"/>
  <c r="Y35" i="20" l="1"/>
  <c r="AB35" s="1"/>
  <c r="I8"/>
  <c r="M8"/>
  <c r="P8" s="1"/>
  <c r="J8"/>
  <c r="I12" i="18"/>
  <c r="J12"/>
  <c r="O35" i="20"/>
  <c r="M36" s="1"/>
  <c r="P35"/>
  <c r="AA19" i="18"/>
  <c r="AB19"/>
  <c r="AA9"/>
  <c r="AB9"/>
  <c r="V11"/>
  <c r="U11"/>
  <c r="S12" s="1"/>
  <c r="V14"/>
  <c r="U14"/>
  <c r="AA17"/>
  <c r="AB17"/>
  <c r="U19"/>
  <c r="S20" s="1"/>
  <c r="V19"/>
  <c r="J14"/>
  <c r="I14"/>
  <c r="U9"/>
  <c r="S10" s="1"/>
  <c r="V9"/>
  <c r="J36" i="20"/>
  <c r="I36"/>
  <c r="AB11" i="18"/>
  <c r="AA11"/>
  <c r="J20"/>
  <c r="I20"/>
  <c r="I10"/>
  <c r="J10"/>
  <c r="I18"/>
  <c r="J18"/>
  <c r="U8"/>
  <c r="V8"/>
  <c r="AB7" i="20"/>
  <c r="AA7"/>
  <c r="AA35" s="1"/>
  <c r="U17" i="18"/>
  <c r="S18" s="1"/>
  <c r="V17"/>
  <c r="U23"/>
  <c r="S24"/>
  <c r="V23"/>
  <c r="U8" i="20"/>
  <c r="V8"/>
  <c r="G24" i="18"/>
  <c r="J23"/>
  <c r="I23"/>
  <c r="Y7"/>
  <c r="W23"/>
  <c r="Y23" s="1"/>
  <c r="V22"/>
  <c r="U22"/>
  <c r="V16"/>
  <c r="U16"/>
  <c r="V36" i="20"/>
  <c r="U36"/>
  <c r="H11" i="7"/>
  <c r="D12"/>
  <c r="G12" i="6"/>
  <c r="I12" s="1"/>
  <c r="G17"/>
  <c r="D13" i="7"/>
  <c r="F13" s="1"/>
  <c r="O8" i="20" l="1"/>
  <c r="V12" i="18"/>
  <c r="U12"/>
  <c r="AB7"/>
  <c r="AA7"/>
  <c r="V18"/>
  <c r="U18"/>
  <c r="V10"/>
  <c r="U10"/>
  <c r="U20"/>
  <c r="V20"/>
  <c r="O36" i="20"/>
  <c r="P36"/>
  <c r="AA23" i="18"/>
  <c r="AB23"/>
  <c r="J24"/>
  <c r="I24"/>
  <c r="V24"/>
  <c r="U24"/>
  <c r="D14" i="7"/>
  <c r="D16" s="1"/>
  <c r="J12" i="6"/>
  <c r="I13" i="7"/>
  <c r="H13"/>
  <c r="I17" i="6"/>
  <c r="J17"/>
  <c r="J14"/>
  <c r="I14"/>
  <c r="F12" i="7"/>
  <c r="F14" l="1"/>
  <c r="H14" s="1"/>
  <c r="F16"/>
  <c r="I16" s="1"/>
  <c r="J15" i="6"/>
  <c r="I15"/>
  <c r="H12" i="7"/>
  <c r="I12"/>
  <c r="J13" i="6"/>
  <c r="I13"/>
  <c r="I14" i="7" l="1"/>
  <c r="H16"/>
  <c r="G42" i="14" l="1"/>
  <c r="G44"/>
  <c r="G41"/>
  <c r="G52"/>
  <c r="G43"/>
  <c r="G48"/>
  <c r="G60"/>
  <c r="G45"/>
  <c r="G59"/>
  <c r="G57"/>
  <c r="G55"/>
  <c r="G58"/>
  <c r="G47"/>
  <c r="G63"/>
  <c r="G46"/>
  <c r="G56"/>
  <c r="G54"/>
  <c r="G49"/>
  <c r="G62"/>
  <c r="G61"/>
  <c r="G53"/>
  <c r="G68" l="1"/>
  <c r="G69"/>
  <c r="G64"/>
  <c r="G65"/>
  <c r="D24" i="7" l="1"/>
  <c r="L52" i="14" l="1"/>
  <c r="M52" s="1"/>
  <c r="E29" i="6"/>
  <c r="L64" i="14"/>
  <c r="M64" s="1"/>
  <c r="L62"/>
  <c r="M62" s="1"/>
  <c r="L60"/>
  <c r="M60" s="1"/>
  <c r="L48"/>
  <c r="M48" s="1"/>
  <c r="L56"/>
  <c r="M56" s="1"/>
  <c r="L44"/>
  <c r="M44" s="1"/>
  <c r="L58" l="1"/>
  <c r="M58" s="1"/>
  <c r="D27" i="7"/>
  <c r="L46" i="14" l="1"/>
  <c r="M46" s="1"/>
  <c r="L54" l="1"/>
  <c r="M54" s="1"/>
  <c r="M40"/>
  <c r="L68" l="1"/>
  <c r="M68" s="1"/>
  <c r="G25" i="6" l="1"/>
  <c r="E23" i="7"/>
  <c r="G23" i="6"/>
  <c r="E24" i="7" l="1"/>
  <c r="F24" s="1"/>
  <c r="I24" s="1"/>
  <c r="F29" i="6"/>
  <c r="G29" s="1"/>
  <c r="I29" s="1"/>
  <c r="I23"/>
  <c r="J23"/>
  <c r="I25"/>
  <c r="J25"/>
  <c r="F23" i="7"/>
  <c r="E27" l="1"/>
  <c r="F27" s="1"/>
  <c r="H27" s="1"/>
  <c r="J29" i="6"/>
  <c r="H24" i="7"/>
  <c r="J26" i="6"/>
  <c r="I26"/>
  <c r="I23" i="7"/>
  <c r="H23"/>
  <c r="I24" i="6"/>
  <c r="J24"/>
  <c r="I27" i="7" l="1"/>
</calcChain>
</file>

<file path=xl/comments1.xml><?xml version="1.0" encoding="utf-8"?>
<comments xmlns="http://schemas.openxmlformats.org/spreadsheetml/2006/main">
  <authors>
    <author>rgarcia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POLOLITO III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SUSTITUCIONES DE FERNANDO ANDRES RPA 963747 (S) / BONI MAURI RPA 923204 (S)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 / 27-02-2019_Cesion  Artesanal PUNTA TALCA de 68,943 ton a BRASPESCA.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R.Ex.N° 752, Cesion  Artesanal PUNTA TALCA de 68,943 ton a BRASPESCA.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Cesion</t>
        </r>
      </text>
    </comment>
  </commentList>
</comments>
</file>

<file path=xl/sharedStrings.xml><?xml version="1.0" encoding="utf-8"?>
<sst xmlns="http://schemas.openxmlformats.org/spreadsheetml/2006/main" count="473" uniqueCount="224">
  <si>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</si>
  <si>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</si>
  <si>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</si>
  <si>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</si>
  <si>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</si>
  <si>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</si>
  <si>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</si>
  <si>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</si>
  <si>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</si>
  <si>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</si>
  <si>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Oct-Dic</t>
  </si>
  <si>
    <t>III Región de Atacama</t>
  </si>
  <si>
    <t>Mar-Ago</t>
  </si>
  <si>
    <t>Recurso</t>
  </si>
  <si>
    <t>Cuota anual asignada</t>
  </si>
  <si>
    <t xml:space="preserve">IV Región de Coquimbo 
</t>
  </si>
  <si>
    <t>Asignatario de Cuota</t>
  </si>
  <si>
    <t>Consumo%</t>
  </si>
  <si>
    <t>Resumen Anual Control Cuota Artesanal Langostino Colorado III-IV</t>
  </si>
  <si>
    <t xml:space="preserve">Control Cuota Artesanal Langostino Colorado III-IV </t>
  </si>
  <si>
    <t>Fauna Acompañante</t>
  </si>
  <si>
    <t>Movimiento</t>
  </si>
  <si>
    <t>Saldo (t)</t>
  </si>
  <si>
    <t>Consumo %</t>
  </si>
  <si>
    <t xml:space="preserve">Cuota Asignada </t>
  </si>
  <si>
    <t>QUINTERO S.A. PESQ.</t>
  </si>
  <si>
    <t>Cuota Asignada  XV-IV</t>
  </si>
  <si>
    <t>Langostino Colorado  XV-IV Región</t>
  </si>
  <si>
    <t>ANTARTIC SEAFOOD S.A.</t>
  </si>
  <si>
    <t>RUBIO Y MAUAD LTDA.</t>
  </si>
  <si>
    <t>Octubre  - Diciembre</t>
  </si>
  <si>
    <t>Marzo -Agosto</t>
  </si>
  <si>
    <t>Artesanal II</t>
  </si>
  <si>
    <t>Artesanal III</t>
  </si>
  <si>
    <t>Artesanal IV</t>
  </si>
  <si>
    <t>Fauna Acompañante XV-IV</t>
  </si>
  <si>
    <t>Cuota Asignada</t>
  </si>
  <si>
    <t>Traspaso, Cesión, Arriendo etc.</t>
  </si>
  <si>
    <t>Control Cuota IV Región (t)</t>
  </si>
  <si>
    <t>Control Cuota II-III Región (t)</t>
  </si>
  <si>
    <t>Armador Asignatario</t>
  </si>
  <si>
    <t xml:space="preserve"> Resumen periodo Control Cuota Langostino colorado II-IV</t>
  </si>
  <si>
    <t>Resumen Anual Control Cuota Langostino colorado II-IV</t>
  </si>
  <si>
    <t xml:space="preserve">Cuota Total </t>
  </si>
  <si>
    <t xml:space="preserve">Captura </t>
  </si>
  <si>
    <t>Captura XV-IV</t>
  </si>
  <si>
    <t xml:space="preserve">U Pesquería </t>
  </si>
  <si>
    <t>Industrial Ltp II-III</t>
  </si>
  <si>
    <t>Industrial Ltp IV</t>
  </si>
  <si>
    <t>Licitada V-VI</t>
  </si>
  <si>
    <t>Licitada VII-VIII</t>
  </si>
  <si>
    <t xml:space="preserve"> Artesanal III</t>
  </si>
  <si>
    <t>Artesanal IV (RAE)</t>
  </si>
  <si>
    <t>U Pesquería</t>
  </si>
  <si>
    <t xml:space="preserve">Fracionamientos </t>
  </si>
  <si>
    <t>Investigación</t>
  </si>
  <si>
    <t>Licitada Pep V-VI</t>
  </si>
  <si>
    <t>Licitada Pep VII-VIII</t>
  </si>
  <si>
    <t>Langostino colorado XV-IV</t>
  </si>
  <si>
    <t>Cuota Global Langostino colorado XV-IV</t>
  </si>
  <si>
    <t>La información contenida en los consumos y movimientos, según corresponda, es preliminar,  sujeta a validación, verificación de consistencia</t>
  </si>
  <si>
    <t xml:space="preserve">Notas: </t>
  </si>
  <si>
    <t>La Vedas del langostino Colorado;  01 enero al 28 febrero  y de 01 al 30 de septiembre</t>
  </si>
  <si>
    <t>Cuota anual licitada</t>
  </si>
  <si>
    <t>Cuota licitada</t>
  </si>
  <si>
    <t xml:space="preserve">RESUMEN POR PERIODO DE CONSUMO DE CUOTA LANGOSTINO COLORADO PEP V-VIII. AÑO 2018
</t>
  </si>
  <si>
    <t xml:space="preserve">RESUMEN ANUAL DE CONSUMO DE CUOTA LANGOSTINO COLORADO V-VIII. AÑO 2018
</t>
  </si>
  <si>
    <t xml:space="preserve">Langostino Colorado XV-IV </t>
  </si>
  <si>
    <t xml:space="preserve">Langostino Colorado V-VIII </t>
  </si>
  <si>
    <t>IV</t>
  </si>
  <si>
    <t>ISLADAMAS S.A. PESQ.</t>
  </si>
  <si>
    <t>BRACPESCA S.A.</t>
  </si>
  <si>
    <t>DA VENEZIA RETAMALES ANTONIO</t>
  </si>
  <si>
    <t>SUNRISE S.A. PESQ.</t>
  </si>
  <si>
    <t>II_IIII</t>
  </si>
  <si>
    <t>Total periodo</t>
  </si>
  <si>
    <t>Marzo-Agosto</t>
  </si>
  <si>
    <t>Octubre-Dic</t>
  </si>
  <si>
    <t xml:space="preserve">Total </t>
  </si>
  <si>
    <t>Distribucion asignacion cuota</t>
  </si>
  <si>
    <t>Nombre</t>
  </si>
  <si>
    <t>Total Inicial periodo</t>
  </si>
  <si>
    <t>IIII</t>
  </si>
  <si>
    <t>II-IIII</t>
  </si>
  <si>
    <t>Cuota final</t>
  </si>
  <si>
    <t>ALIMENTOS ALSAN LTDA</t>
  </si>
  <si>
    <t>REGION</t>
  </si>
  <si>
    <t>Global Langostino colorado XV-IV</t>
  </si>
  <si>
    <t>Marzo-Diciembre</t>
  </si>
  <si>
    <t>Global Langostino colorado V-VIII</t>
  </si>
  <si>
    <t>Fauna Acompañante V-VIII</t>
  </si>
  <si>
    <t>Periodos</t>
  </si>
  <si>
    <t>BOLSON RESIDUAL</t>
  </si>
  <si>
    <t>TOTAL ASIGNATARIOS LTP</t>
  </si>
  <si>
    <t>LANGOSTINO COLORADO V-VIII</t>
  </si>
  <si>
    <t>V-VI</t>
  </si>
  <si>
    <t>VII-VIII</t>
  </si>
  <si>
    <t>Langostino colorado licitado V-VIII 2018 (D.Ex. Nº 673-17)</t>
  </si>
  <si>
    <t>Coeficiente final</t>
  </si>
  <si>
    <t>LANGOSTINO COLORADO PEP (V-VIII)</t>
  </si>
  <si>
    <t>Resumen cuota transada</t>
  </si>
  <si>
    <t>-</t>
  </si>
  <si>
    <t xml:space="preserve">Cuota </t>
  </si>
  <si>
    <t>Investigación  XV-IV</t>
  </si>
  <si>
    <t>Investigación V-VIII</t>
  </si>
  <si>
    <t>Cuota Inicial</t>
  </si>
  <si>
    <t xml:space="preserve"> Asignacion V-VI</t>
  </si>
  <si>
    <t>Asignación VII-VIII</t>
  </si>
  <si>
    <t>Transaccion V-VI</t>
  </si>
  <si>
    <t>Transaccion VII-VIII</t>
  </si>
  <si>
    <t>SALDO CUOTA</t>
  </si>
  <si>
    <t>CHAFIC I RPA 955658</t>
  </si>
  <si>
    <t>TRAUWUN I RPA 920731</t>
  </si>
  <si>
    <t>PUNTA TALCA RPA 913399</t>
  </si>
  <si>
    <t>ISLA TABON RPA 966378</t>
  </si>
  <si>
    <t>Investigación II-IV</t>
  </si>
  <si>
    <t xml:space="preserve">RESUMEN POR PERIODO CONSUMO DE CUOTA LANGOSTINO COLORADO XV-IV. AÑO 2019
</t>
  </si>
  <si>
    <t>CONTROL DE CUOTA LANGOSTINO COLORADO  XV-IV ARTESANAL. AÑO 2019</t>
  </si>
  <si>
    <t>CONTROL DE CUOTA LANGOSTINO COLORADO LTP XV-IV. AÑO 2019</t>
  </si>
  <si>
    <t>Total D.Ex N° 526-2018</t>
  </si>
  <si>
    <t>TOTAL ASIGNATARIOS ARTESANALES</t>
  </si>
  <si>
    <t>Dec Ex N° 526 de 21-12-2018</t>
  </si>
  <si>
    <t>FRACION INDUSTRIAL LTP</t>
  </si>
  <si>
    <t>FRACCION ARTESANAL</t>
  </si>
  <si>
    <t>TOTAL FAUNA ACOMPAÑANTE</t>
  </si>
  <si>
    <t>Ene-Dic</t>
  </si>
  <si>
    <t>N/A</t>
  </si>
  <si>
    <t xml:space="preserve">Nota: </t>
  </si>
  <si>
    <t>CHAFIC I</t>
  </si>
  <si>
    <t>ISLA TABON</t>
  </si>
  <si>
    <t>PUNTA TALCA</t>
  </si>
  <si>
    <t>TRAUWÜN I</t>
  </si>
  <si>
    <t>Total general</t>
  </si>
  <si>
    <t>PESQ. ISLADAMAS S.A.</t>
  </si>
  <si>
    <t>LANGOSTINO COLORADO XV-IV</t>
  </si>
  <si>
    <t>LANGOSTINO COLORADO LTP (V-IV)</t>
  </si>
  <si>
    <t>Coeficiente inicial A-B</t>
  </si>
  <si>
    <t>% Licitado</t>
  </si>
  <si>
    <t>CAMANCHACA PESCA SUR</t>
  </si>
  <si>
    <t>BRACPESCA</t>
  </si>
  <si>
    <t>ALIMAR</t>
  </si>
  <si>
    <t>ISLA DAMAS S.A.</t>
  </si>
  <si>
    <t>PESQ. QUINTERO S.A.</t>
  </si>
  <si>
    <t>SOC. PESQ. ENFEMAR LTDA.</t>
  </si>
  <si>
    <t xml:space="preserve">PESQ. ANTONIO CRUZ CORDOVA </t>
  </si>
  <si>
    <t>PACIFICBLU SpA</t>
  </si>
  <si>
    <t xml:space="preserve">ANTONIO DA VENEZIA RETAMALES </t>
  </si>
  <si>
    <t>SOC. PESQ. LANDES S.A.</t>
  </si>
  <si>
    <t>JORGE COFRE REYES</t>
  </si>
  <si>
    <t>D.Ex. Nº 456-18</t>
  </si>
  <si>
    <t>Total</t>
  </si>
  <si>
    <t>Fecha</t>
  </si>
  <si>
    <t>Coeficiente</t>
  </si>
  <si>
    <t>N° doc</t>
  </si>
  <si>
    <t>Detalle Negocios Langostino Colorado PEP (V-VIII)</t>
  </si>
  <si>
    <t>Pacific</t>
  </si>
  <si>
    <t>DE -</t>
  </si>
  <si>
    <t>A+</t>
  </si>
  <si>
    <t>Jorge Cofre</t>
  </si>
  <si>
    <t>Braspesca</t>
  </si>
  <si>
    <t>Camanchaca PS</t>
  </si>
  <si>
    <t>Isla Damas</t>
  </si>
  <si>
    <t>Antartic Seafood</t>
  </si>
  <si>
    <t>USUFRUCTO DE PACIFICBLU SpA A CAMANCHACA PESCA SUR</t>
  </si>
  <si>
    <t>COMODATO DE BRACPESCA S.A. (VII-VIII) A CAMANCHACA PESCA SUR (VII-VIII)</t>
  </si>
  <si>
    <t>COMODATO DE CAMANCHACA PS (VII-VIII) A JORGE COFRE REYES (VII-VIII)</t>
  </si>
  <si>
    <t>COMODATO V-VI DESDE CAMANCHACA PS (V-VI) A BRACPESCA SA (V-VI)</t>
  </si>
  <si>
    <t>COMODATO DESDE CAMANCHACA PS (V-VI) A ANTARTIC SEAFOOD S.A.(V-VI)</t>
  </si>
  <si>
    <t xml:space="preserve"> VII-VIII</t>
  </si>
  <si>
    <t>COMODATO DESDE CAMANCHACA PS A SOC. PESQ. ISLADAMAS S.A.</t>
  </si>
  <si>
    <t>COMODATO DESDE ANTARTIC SEAFOOD SA (VII-VIII) A CAMANCHACA PS (VII-VIII)</t>
  </si>
  <si>
    <t>Descripcion</t>
  </si>
  <si>
    <t>CONTROL DE CUOTA LANGOSTINO COLORADO PEP V-VIII POR TITULAR 2019</t>
  </si>
  <si>
    <t xml:space="preserve">Unidad de pesquería </t>
  </si>
  <si>
    <t xml:space="preserve">Armador </t>
  </si>
  <si>
    <t xml:space="preserve">Periodo </t>
  </si>
  <si>
    <t>Control Cuota V-VI Región (t)</t>
  </si>
  <si>
    <t>Control Cuota VII-VIII Región (t)</t>
  </si>
  <si>
    <t>Resumen periodo Control Cuota Langostino Colorado PEP V-VIII</t>
  </si>
  <si>
    <t>Resumen Anual Control Cuota Langostino colorado PEP V-VIII</t>
  </si>
  <si>
    <t>Cuota Licitada (t)</t>
  </si>
  <si>
    <t>Cuota Asignada  V-VIII</t>
  </si>
  <si>
    <t>Traspaso, Cesión, Arriendo etc</t>
  </si>
  <si>
    <t>Cuota Total Licitada</t>
  </si>
  <si>
    <t>Captura  (t)</t>
  </si>
  <si>
    <t>Traspaso,Cesión, Arriendo etc.</t>
  </si>
  <si>
    <t>Mar-Ago.</t>
  </si>
  <si>
    <t>TOTAL ASIGNATARIOS PEP</t>
  </si>
  <si>
    <t>titulares PEP</t>
  </si>
  <si>
    <t>CAMANCHACA PESCA SUR S.A.</t>
  </si>
  <si>
    <t>Cuota Global Langostino Colorado V - VIII</t>
  </si>
  <si>
    <t>Pesq. CMK</t>
  </si>
  <si>
    <t>,</t>
  </si>
  <si>
    <t>PESQUERA CMK LTDA.</t>
  </si>
  <si>
    <t>Artesanal</t>
  </si>
  <si>
    <t>EMPRESAS</t>
  </si>
  <si>
    <t>ISLADAMAS S.A.</t>
  </si>
  <si>
    <t>PESQ. ANTONIO CRUZ CORDOVA</t>
  </si>
  <si>
    <t>PACIFICBLUE SpA.</t>
  </si>
  <si>
    <t>ANTONIO DA VENEZIA RETAMALES</t>
  </si>
  <si>
    <t>TOTAL</t>
  </si>
  <si>
    <t>COMODATO DE CAMANCHACA PS a PESQUERA CMK LTDA. (V-VIII)</t>
  </si>
  <si>
    <t>ADJUDICACIONES PERMISOS EXTRAORDINARIOS DE PESCA</t>
  </si>
  <si>
    <t>RECURSO LANGOSTINO COLORADO</t>
  </si>
  <si>
    <t>Tipo</t>
  </si>
  <si>
    <t>Nave autorizada</t>
  </si>
  <si>
    <t>III REGION</t>
  </si>
  <si>
    <t>IV REGION</t>
  </si>
  <si>
    <t>V REGION</t>
  </si>
  <si>
    <t>VI REGION</t>
  </si>
  <si>
    <t>VII REGION</t>
  </si>
  <si>
    <t>VIII REGION</t>
  </si>
  <si>
    <t>ALTAIR I</t>
  </si>
  <si>
    <t>Total Region</t>
  </si>
  <si>
    <t>FAUNA ACOMPAÑANTE LANGOSTINO COLORADO 2019</t>
  </si>
  <si>
    <t>PESCA INVESTIGACION LANGOSTINO COLORADO 2019</t>
  </si>
  <si>
    <t>POLOLITO III</t>
  </si>
  <si>
    <t xml:space="preserve">RESUMEN ANUAL DE CONSUMO DE CUOTA LANGOSTINO COLORADO XV-IV. AÑO 2019
</t>
  </si>
  <si>
    <t>Total Area</t>
  </si>
  <si>
    <t>JORGE COFRE  (Emb TOME artesanal)</t>
  </si>
  <si>
    <t>ELBE</t>
  </si>
  <si>
    <t>Reportes SSP_2019</t>
  </si>
  <si>
    <t>% Licitado_actualizado</t>
  </si>
  <si>
    <t>DON STEFAN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</si>
</sst>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0"/>
    <numFmt numFmtId="171" formatCode="#,##0.000"/>
    <numFmt numFmtId="172" formatCode="[$-340A]dddd\,\ dd&quot; de &quot;mmmm&quot; de &quot;yyyy;@"/>
    <numFmt numFmtId="173" formatCode="0.000000"/>
    <numFmt numFmtId="174" formatCode="0.0000000"/>
    <numFmt numFmtId="175" formatCode="_-* #,##0.000_-;\-* #,##0.000_-;_-* &quot;-&quot;??_-;_-@_-"/>
    <numFmt numFmtId="176" formatCode="0.0_ ;[Red]\-0.0\ 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9"/>
      <name val="Calibri"/>
      <family val="2"/>
      <scheme val="minor"/>
    </font>
    <font>
      <sz val="9"/>
      <color rgb="FFFF000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7"/>
      <color rgb="FF5D5D5D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name val="Arial"/>
      <family val="2"/>
    </font>
    <font>
      <b/>
      <i/>
      <sz val="9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E2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097">
    <xf numFmtId="0" fontId="0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2" fillId="17" borderId="30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3" fillId="18" borderId="31" applyNumberFormat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16" fillId="8" borderId="33" applyNumberFormat="0" applyAlignment="0" applyProtection="0"/>
    <xf numFmtId="0" fontId="7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0" fontId="18" fillId="24" borderId="34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3" fillId="17" borderId="3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15" fillId="0" borderId="3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67" applyNumberFormat="0" applyAlignment="0" applyProtection="0"/>
    <xf numFmtId="0" fontId="13" fillId="18" borderId="31" applyNumberFormat="0" applyAlignment="0" applyProtection="0"/>
    <xf numFmtId="0" fontId="14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67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4" borderId="68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7" borderId="6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15" fillId="0" borderId="38" applyNumberFormat="0" applyFill="0" applyAlignment="0" applyProtection="0"/>
    <xf numFmtId="0" fontId="29" fillId="0" borderId="70" applyNumberFormat="0" applyFill="0" applyAlignment="0" applyProtection="0"/>
    <xf numFmtId="43" fontId="1" fillId="0" borderId="0" applyFont="0" applyFill="0" applyBorder="0" applyAlignment="0" applyProtection="0"/>
  </cellStyleXfs>
  <cellXfs count="812">
    <xf numFmtId="0" fontId="0" fillId="0" borderId="0" xfId="0"/>
    <xf numFmtId="0" fontId="0" fillId="28" borderId="0" xfId="0" applyFill="1"/>
    <xf numFmtId="1" fontId="0" fillId="2" borderId="57" xfId="0" applyNumberFormat="1" applyFill="1" applyBorder="1" applyAlignment="1">
      <alignment horizontal="center"/>
    </xf>
    <xf numFmtId="1" fontId="0" fillId="2" borderId="59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57" xfId="0" applyNumberForma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164" fontId="0" fillId="32" borderId="20" xfId="0" applyNumberFormat="1" applyFont="1" applyFill="1" applyBorder="1" applyAlignment="1">
      <alignment horizontal="center" vertical="center"/>
    </xf>
    <xf numFmtId="164" fontId="0" fillId="27" borderId="0" xfId="0" applyNumberFormat="1" applyFont="1" applyFill="1" applyBorder="1" applyAlignment="1">
      <alignment horizontal="center" vertical="center"/>
    </xf>
    <xf numFmtId="164" fontId="0" fillId="27" borderId="20" xfId="0" applyNumberFormat="1" applyFont="1" applyFill="1" applyBorder="1" applyAlignment="1">
      <alignment horizontal="center" vertical="center"/>
    </xf>
    <xf numFmtId="164" fontId="0" fillId="27" borderId="54" xfId="0" applyNumberFormat="1" applyFont="1" applyFill="1" applyBorder="1" applyAlignment="1">
      <alignment horizontal="center" vertical="center"/>
    </xf>
    <xf numFmtId="164" fontId="0" fillId="30" borderId="24" xfId="0" applyNumberFormat="1" applyFont="1" applyFill="1" applyBorder="1" applyAlignment="1">
      <alignment horizontal="center" vertical="center"/>
    </xf>
    <xf numFmtId="164" fontId="0" fillId="30" borderId="0" xfId="0" applyNumberFormat="1" applyFont="1" applyFill="1" applyBorder="1" applyAlignment="1">
      <alignment horizontal="center" vertical="center"/>
    </xf>
    <xf numFmtId="10" fontId="0" fillId="30" borderId="42" xfId="1" applyNumberFormat="1" applyFont="1" applyFill="1" applyBorder="1" applyAlignment="1">
      <alignment horizontal="center" vertical="center"/>
    </xf>
    <xf numFmtId="164" fontId="0" fillId="30" borderId="19" xfId="0" applyNumberFormat="1" applyFont="1" applyFill="1" applyBorder="1" applyAlignment="1">
      <alignment horizontal="center" vertical="center"/>
    </xf>
    <xf numFmtId="164" fontId="0" fillId="30" borderId="20" xfId="0" applyNumberFormat="1" applyFont="1" applyFill="1" applyBorder="1" applyAlignment="1">
      <alignment horizontal="center" vertical="center"/>
    </xf>
    <xf numFmtId="164" fontId="0" fillId="30" borderId="54" xfId="0" applyNumberFormat="1" applyFont="1" applyFill="1" applyBorder="1" applyAlignment="1">
      <alignment horizontal="center" vertical="center"/>
    </xf>
    <xf numFmtId="10" fontId="0" fillId="30" borderId="45" xfId="1" applyNumberFormat="1" applyFont="1" applyFill="1" applyBorder="1" applyAlignment="1">
      <alignment horizontal="center" vertical="center"/>
    </xf>
    <xf numFmtId="0" fontId="0" fillId="31" borderId="0" xfId="0" applyFill="1"/>
    <xf numFmtId="166" fontId="0" fillId="31" borderId="0" xfId="0" applyNumberFormat="1" applyFill="1"/>
    <xf numFmtId="164" fontId="0" fillId="31" borderId="0" xfId="0" applyNumberFormat="1" applyFill="1"/>
    <xf numFmtId="171" fontId="6" fillId="32" borderId="66" xfId="0" applyNumberFormat="1" applyFont="1" applyFill="1" applyBorder="1" applyAlignment="1">
      <alignment horizontal="center" vertical="center"/>
    </xf>
    <xf numFmtId="171" fontId="6" fillId="32" borderId="24" xfId="0" applyNumberFormat="1" applyFont="1" applyFill="1" applyBorder="1" applyAlignment="1">
      <alignment horizontal="center" vertical="center"/>
    </xf>
    <xf numFmtId="171" fontId="0" fillId="32" borderId="0" xfId="0" applyNumberFormat="1" applyFill="1" applyBorder="1" applyAlignment="1">
      <alignment horizontal="center" vertical="center"/>
    </xf>
    <xf numFmtId="171" fontId="0" fillId="32" borderId="24" xfId="0" applyNumberFormat="1" applyFill="1" applyBorder="1" applyAlignment="1">
      <alignment horizontal="center" vertical="center"/>
    </xf>
    <xf numFmtId="171" fontId="6" fillId="32" borderId="54" xfId="0" applyNumberFormat="1" applyFont="1" applyFill="1" applyBorder="1" applyAlignment="1">
      <alignment horizontal="center" vertical="center"/>
    </xf>
    <xf numFmtId="171" fontId="0" fillId="32" borderId="20" xfId="0" applyNumberFormat="1" applyFill="1" applyBorder="1" applyAlignment="1">
      <alignment horizontal="center" vertical="center"/>
    </xf>
    <xf numFmtId="171" fontId="0" fillId="32" borderId="19" xfId="0" applyNumberForma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171" fontId="6" fillId="32" borderId="26" xfId="0" applyNumberFormat="1" applyFont="1" applyFill="1" applyBorder="1" applyAlignment="1">
      <alignment horizontal="center" vertical="center"/>
    </xf>
    <xf numFmtId="171" fontId="6" fillId="32" borderId="21" xfId="0" applyNumberFormat="1" applyFont="1" applyFill="1" applyBorder="1" applyAlignment="1">
      <alignment horizontal="center" vertical="center"/>
    </xf>
    <xf numFmtId="10" fontId="0" fillId="32" borderId="48" xfId="1" applyNumberFormat="1" applyFont="1" applyFill="1" applyBorder="1" applyAlignment="1">
      <alignment horizontal="center" vertical="center"/>
    </xf>
    <xf numFmtId="10" fontId="0" fillId="32" borderId="49" xfId="1" applyNumberFormat="1" applyFont="1" applyFill="1" applyBorder="1" applyAlignment="1">
      <alignment horizontal="center" vertical="center"/>
    </xf>
    <xf numFmtId="0" fontId="5" fillId="25" borderId="56" xfId="0" applyFont="1" applyFill="1" applyBorder="1" applyAlignment="1">
      <alignment horizontal="center" vertical="center" wrapText="1"/>
    </xf>
    <xf numFmtId="171" fontId="0" fillId="32" borderId="26" xfId="0" applyNumberFormat="1" applyFill="1" applyBorder="1" applyAlignment="1">
      <alignment horizontal="center" vertical="center"/>
    </xf>
    <xf numFmtId="10" fontId="6" fillId="32" borderId="48" xfId="42082" applyNumberFormat="1" applyFont="1" applyFill="1" applyBorder="1" applyAlignment="1">
      <alignment horizontal="center" vertical="center"/>
    </xf>
    <xf numFmtId="164" fontId="0" fillId="32" borderId="24" xfId="0" applyNumberFormat="1" applyFill="1" applyBorder="1" applyAlignment="1">
      <alignment horizontal="center" vertical="center"/>
    </xf>
    <xf numFmtId="164" fontId="0" fillId="32" borderId="19" xfId="0" applyNumberFormat="1" applyFill="1" applyBorder="1" applyAlignment="1">
      <alignment horizontal="center" vertical="center"/>
    </xf>
    <xf numFmtId="164" fontId="0" fillId="32" borderId="20" xfId="0" applyNumberFormat="1" applyFill="1" applyBorder="1" applyAlignment="1">
      <alignment horizontal="center" vertical="center"/>
    </xf>
    <xf numFmtId="10" fontId="6" fillId="32" borderId="49" xfId="42082" applyNumberFormat="1" applyFont="1" applyFill="1" applyBorder="1" applyAlignment="1">
      <alignment horizontal="center" vertical="center"/>
    </xf>
    <xf numFmtId="164" fontId="0" fillId="32" borderId="0" xfId="0" applyNumberFormat="1" applyFill="1" applyBorder="1" applyAlignment="1">
      <alignment horizontal="center" vertical="center"/>
    </xf>
    <xf numFmtId="164" fontId="6" fillId="32" borderId="24" xfId="0" applyNumberFormat="1" applyFont="1" applyFill="1" applyBorder="1" applyAlignment="1">
      <alignment horizontal="center" vertical="center"/>
    </xf>
    <xf numFmtId="164" fontId="6" fillId="32" borderId="19" xfId="0" applyNumberFormat="1" applyFont="1" applyFill="1" applyBorder="1" applyAlignment="1">
      <alignment horizontal="center" vertical="center"/>
    </xf>
    <xf numFmtId="10" fontId="6" fillId="32" borderId="48" xfId="1" applyNumberFormat="1" applyFont="1" applyFill="1" applyBorder="1" applyAlignment="1">
      <alignment horizontal="center" vertical="center"/>
    </xf>
    <xf numFmtId="10" fontId="6" fillId="32" borderId="49" xfId="1" applyNumberFormat="1" applyFont="1" applyFill="1" applyBorder="1" applyAlignment="1">
      <alignment horizontal="center" vertical="center"/>
    </xf>
    <xf numFmtId="1" fontId="0" fillId="2" borderId="62" xfId="0" applyNumberFormat="1" applyFill="1" applyBorder="1" applyAlignment="1">
      <alignment horizontal="center"/>
    </xf>
    <xf numFmtId="1" fontId="0" fillId="2" borderId="46" xfId="0" applyNumberFormat="1" applyFill="1" applyBorder="1" applyAlignment="1">
      <alignment horizontal="center"/>
    </xf>
    <xf numFmtId="1" fontId="0" fillId="2" borderId="54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57" xfId="0" applyNumberFormat="1" applyFill="1" applyBorder="1" applyAlignment="1">
      <alignment horizontal="center" vertical="center"/>
    </xf>
    <xf numFmtId="1" fontId="0" fillId="2" borderId="54" xfId="0" applyNumberForma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1" fontId="0" fillId="2" borderId="55" xfId="0" applyNumberFormat="1" applyFill="1" applyBorder="1" applyAlignment="1">
      <alignment horizontal="center" vertical="center"/>
    </xf>
    <xf numFmtId="1" fontId="6" fillId="2" borderId="59" xfId="0" applyNumberFormat="1" applyFont="1" applyFill="1" applyBorder="1" applyAlignment="1">
      <alignment horizontal="center"/>
    </xf>
    <xf numFmtId="9" fontId="0" fillId="2" borderId="45" xfId="1" applyFont="1" applyFill="1" applyBorder="1" applyAlignment="1">
      <alignment horizontal="center"/>
    </xf>
    <xf numFmtId="9" fontId="0" fillId="2" borderId="58" xfId="1" applyFont="1" applyFill="1" applyBorder="1" applyAlignment="1">
      <alignment horizontal="center"/>
    </xf>
    <xf numFmtId="9" fontId="0" fillId="2" borderId="41" xfId="1" applyFont="1" applyFill="1" applyBorder="1" applyAlignment="1">
      <alignment horizontal="center"/>
    </xf>
    <xf numFmtId="9" fontId="6" fillId="2" borderId="45" xfId="1" applyFont="1" applyFill="1" applyBorder="1" applyAlignment="1">
      <alignment horizontal="center"/>
    </xf>
    <xf numFmtId="9" fontId="6" fillId="2" borderId="50" xfId="1" applyFont="1" applyFill="1" applyBorder="1" applyAlignment="1">
      <alignment horizontal="center"/>
    </xf>
    <xf numFmtId="164" fontId="0" fillId="2" borderId="77" xfId="0" applyNumberFormat="1" applyFont="1" applyFill="1" applyBorder="1" applyAlignment="1">
      <alignment horizontal="center"/>
    </xf>
    <xf numFmtId="164" fontId="0" fillId="30" borderId="71" xfId="0" applyNumberFormat="1" applyFont="1" applyFill="1" applyBorder="1" applyAlignment="1">
      <alignment horizontal="center" vertical="center"/>
    </xf>
    <xf numFmtId="164" fontId="0" fillId="2" borderId="59" xfId="0" applyNumberFormat="1" applyFill="1" applyBorder="1" applyAlignment="1">
      <alignment horizontal="center"/>
    </xf>
    <xf numFmtId="0" fontId="43" fillId="2" borderId="0" xfId="0" applyFont="1" applyFill="1"/>
    <xf numFmtId="166" fontId="43" fillId="2" borderId="77" xfId="0" applyNumberFormat="1" applyFont="1" applyFill="1" applyBorder="1"/>
    <xf numFmtId="0" fontId="44" fillId="2" borderId="0" xfId="0" applyFont="1" applyFill="1" applyBorder="1" applyAlignment="1">
      <alignment horizontal="left" wrapText="1"/>
    </xf>
    <xf numFmtId="166" fontId="44" fillId="2" borderId="0" xfId="0" applyNumberFormat="1" applyFont="1" applyFill="1" applyBorder="1"/>
    <xf numFmtId="173" fontId="43" fillId="2" borderId="72" xfId="0" applyNumberFormat="1" applyFont="1" applyFill="1" applyBorder="1"/>
    <xf numFmtId="0" fontId="43" fillId="2" borderId="54" xfId="0" applyFont="1" applyFill="1" applyBorder="1"/>
    <xf numFmtId="173" fontId="46" fillId="2" borderId="72" xfId="0" applyNumberFormat="1" applyFont="1" applyFill="1" applyBorder="1"/>
    <xf numFmtId="2" fontId="43" fillId="2" borderId="0" xfId="0" applyNumberFormat="1" applyFont="1" applyFill="1"/>
    <xf numFmtId="164" fontId="0" fillId="33" borderId="71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10" fontId="0" fillId="33" borderId="42" xfId="1" applyNumberFormat="1" applyFont="1" applyFill="1" applyBorder="1" applyAlignment="1">
      <alignment horizontal="center" vertical="center"/>
    </xf>
    <xf numFmtId="0" fontId="0" fillId="32" borderId="75" xfId="0" applyFill="1" applyBorder="1" applyAlignment="1">
      <alignment horizontal="center" vertical="center"/>
    </xf>
    <xf numFmtId="164" fontId="0" fillId="2" borderId="75" xfId="0" applyNumberFormat="1" applyFill="1" applyBorder="1" applyAlignment="1">
      <alignment horizontal="center" vertical="center"/>
    </xf>
    <xf numFmtId="164" fontId="0" fillId="27" borderId="71" xfId="0" applyNumberFormat="1" applyFont="1" applyFill="1" applyBorder="1" applyAlignment="1">
      <alignment horizontal="center" vertical="center"/>
    </xf>
    <xf numFmtId="0" fontId="0" fillId="32" borderId="77" xfId="0" applyFill="1" applyBorder="1" applyAlignment="1">
      <alignment horizontal="center" vertical="center"/>
    </xf>
    <xf numFmtId="164" fontId="0" fillId="32" borderId="77" xfId="0" applyNumberFormat="1" applyFill="1" applyBorder="1" applyAlignment="1">
      <alignment horizontal="center" vertical="center"/>
    </xf>
    <xf numFmtId="164" fontId="6" fillId="32" borderId="77" xfId="0" applyNumberFormat="1" applyFont="1" applyFill="1" applyBorder="1" applyAlignment="1">
      <alignment horizontal="center" vertical="center"/>
    </xf>
    <xf numFmtId="10" fontId="6" fillId="32" borderId="87" xfId="42082" applyNumberFormat="1" applyFont="1" applyFill="1" applyBorder="1" applyAlignment="1">
      <alignment horizontal="center" vertical="center"/>
    </xf>
    <xf numFmtId="1" fontId="3" fillId="29" borderId="46" xfId="0" applyNumberFormat="1" applyFont="1" applyFill="1" applyBorder="1" applyAlignment="1">
      <alignment horizontal="center" vertical="center"/>
    </xf>
    <xf numFmtId="1" fontId="3" fillId="29" borderId="63" xfId="0" applyNumberFormat="1" applyFont="1" applyFill="1" applyBorder="1" applyAlignment="1">
      <alignment horizontal="center" vertical="center"/>
    </xf>
    <xf numFmtId="1" fontId="3" fillId="29" borderId="44" xfId="0" applyNumberFormat="1" applyFont="1" applyFill="1" applyBorder="1" applyAlignment="1">
      <alignment horizontal="center" vertical="center"/>
    </xf>
    <xf numFmtId="9" fontId="3" fillId="29" borderId="65" xfId="1" applyFont="1" applyFill="1" applyBorder="1" applyAlignment="1">
      <alignment horizontal="center" vertical="center"/>
    </xf>
    <xf numFmtId="0" fontId="5" fillId="25" borderId="77" xfId="0" applyFont="1" applyFill="1" applyBorder="1" applyAlignment="1">
      <alignment horizontal="center" vertical="center" wrapText="1"/>
    </xf>
    <xf numFmtId="166" fontId="5" fillId="25" borderId="77" xfId="0" applyNumberFormat="1" applyFont="1" applyFill="1" applyBorder="1" applyAlignment="1">
      <alignment horizontal="center" vertical="center" wrapText="1"/>
    </xf>
    <xf numFmtId="164" fontId="5" fillId="25" borderId="77" xfId="0" applyNumberFormat="1" applyFont="1" applyFill="1" applyBorder="1" applyAlignment="1">
      <alignment horizontal="center" vertical="center" wrapText="1"/>
    </xf>
    <xf numFmtId="0" fontId="5" fillId="25" borderId="80" xfId="0" applyFont="1" applyFill="1" applyBorder="1" applyAlignment="1">
      <alignment horizontal="center" vertical="center" wrapText="1"/>
    </xf>
    <xf numFmtId="0" fontId="6" fillId="32" borderId="75" xfId="0" applyFont="1" applyFill="1" applyBorder="1" applyAlignment="1">
      <alignment horizontal="center" vertical="center"/>
    </xf>
    <xf numFmtId="171" fontId="6" fillId="32" borderId="72" xfId="0" applyNumberFormat="1" applyFont="1" applyFill="1" applyBorder="1" applyAlignment="1">
      <alignment horizontal="center" vertical="center"/>
    </xf>
    <xf numFmtId="171" fontId="6" fillId="32" borderId="73" xfId="0" applyNumberFormat="1" applyFont="1" applyFill="1" applyBorder="1" applyAlignment="1">
      <alignment horizontal="center" vertical="center"/>
    </xf>
    <xf numFmtId="171" fontId="0" fillId="32" borderId="75" xfId="0" applyNumberFormat="1" applyFill="1" applyBorder="1" applyAlignment="1">
      <alignment horizontal="center" vertical="center"/>
    </xf>
    <xf numFmtId="171" fontId="0" fillId="32" borderId="71" xfId="0" applyNumberFormat="1" applyFill="1" applyBorder="1" applyAlignment="1">
      <alignment horizontal="center" vertical="center"/>
    </xf>
    <xf numFmtId="10" fontId="0" fillId="32" borderId="81" xfId="1" applyNumberFormat="1" applyFont="1" applyFill="1" applyBorder="1" applyAlignment="1">
      <alignment horizontal="center" vertical="center"/>
    </xf>
    <xf numFmtId="0" fontId="0" fillId="30" borderId="73" xfId="0" applyFill="1" applyBorder="1" applyAlignment="1">
      <alignment horizontal="center" vertical="center"/>
    </xf>
    <xf numFmtId="171" fontId="0" fillId="32" borderId="73" xfId="0" applyNumberFormat="1" applyFill="1" applyBorder="1" applyAlignment="1">
      <alignment horizontal="center" vertical="center"/>
    </xf>
    <xf numFmtId="10" fontId="6" fillId="32" borderId="81" xfId="1" applyNumberFormat="1" applyFont="1" applyFill="1" applyBorder="1" applyAlignment="1">
      <alignment horizontal="center" vertical="center"/>
    </xf>
    <xf numFmtId="0" fontId="5" fillId="25" borderId="85" xfId="0" applyFont="1" applyFill="1" applyBorder="1" applyAlignment="1">
      <alignment horizontal="center" vertical="center" wrapText="1"/>
    </xf>
    <xf numFmtId="0" fontId="5" fillId="25" borderId="78" xfId="0" applyFont="1" applyFill="1" applyBorder="1" applyAlignment="1">
      <alignment horizontal="center" vertical="center" wrapText="1"/>
    </xf>
    <xf numFmtId="0" fontId="5" fillId="25" borderId="84" xfId="0" applyFont="1" applyFill="1" applyBorder="1" applyAlignment="1">
      <alignment horizontal="center" vertical="center" wrapText="1"/>
    </xf>
    <xf numFmtId="0" fontId="5" fillId="25" borderId="87" xfId="0" applyFont="1" applyFill="1" applyBorder="1" applyAlignment="1">
      <alignment horizontal="center" vertical="center" wrapText="1"/>
    </xf>
    <xf numFmtId="164" fontId="0" fillId="32" borderId="75" xfId="0" applyNumberFormat="1" applyFill="1" applyBorder="1" applyAlignment="1">
      <alignment horizontal="center" vertical="center"/>
    </xf>
    <xf numFmtId="164" fontId="0" fillId="2" borderId="77" xfId="0" applyNumberFormat="1" applyFill="1" applyBorder="1" applyAlignment="1">
      <alignment horizontal="center" vertical="center"/>
    </xf>
    <xf numFmtId="0" fontId="0" fillId="30" borderId="59" xfId="0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 vertical="center" wrapText="1"/>
    </xf>
    <xf numFmtId="170" fontId="0" fillId="2" borderId="44" xfId="0" applyNumberFormat="1" applyFill="1" applyBorder="1" applyAlignment="1">
      <alignment horizontal="center"/>
    </xf>
    <xf numFmtId="0" fontId="0" fillId="27" borderId="57" xfId="0" applyFill="1" applyBorder="1" applyAlignment="1">
      <alignment horizontal="center" vertical="center"/>
    </xf>
    <xf numFmtId="1" fontId="6" fillId="2" borderId="57" xfId="0" applyNumberFormat="1" applyFont="1" applyFill="1" applyBorder="1" applyAlignment="1">
      <alignment horizontal="center" vertical="center"/>
    </xf>
    <xf numFmtId="9" fontId="6" fillId="2" borderId="58" xfId="1" applyFont="1" applyFill="1" applyBorder="1" applyAlignment="1">
      <alignment horizontal="center" vertical="center"/>
    </xf>
    <xf numFmtId="164" fontId="0" fillId="2" borderId="57" xfId="0" applyNumberFormat="1" applyFill="1" applyBorder="1" applyAlignment="1">
      <alignment horizontal="center" vertical="center"/>
    </xf>
    <xf numFmtId="0" fontId="0" fillId="27" borderId="77" xfId="0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77" xfId="0" applyNumberFormat="1" applyFont="1" applyFill="1" applyBorder="1" applyAlignment="1">
      <alignment horizontal="center"/>
    </xf>
    <xf numFmtId="164" fontId="43" fillId="2" borderId="26" xfId="0" applyNumberFormat="1" applyFont="1" applyFill="1" applyBorder="1" applyAlignment="1">
      <alignment horizontal="center" vertical="center"/>
    </xf>
    <xf numFmtId="164" fontId="43" fillId="2" borderId="21" xfId="0" applyNumberFormat="1" applyFont="1" applyFill="1" applyBorder="1" applyAlignment="1">
      <alignment horizontal="center" vertical="center"/>
    </xf>
    <xf numFmtId="164" fontId="43" fillId="2" borderId="19" xfId="0" applyNumberFormat="1" applyFont="1" applyFill="1" applyBorder="1" applyAlignment="1">
      <alignment horizontal="center" vertical="center"/>
    </xf>
    <xf numFmtId="164" fontId="43" fillId="2" borderId="24" xfId="0" applyNumberFormat="1" applyFont="1" applyFill="1" applyBorder="1" applyAlignment="1">
      <alignment horizontal="center" vertical="center"/>
    </xf>
    <xf numFmtId="164" fontId="0" fillId="2" borderId="91" xfId="0" applyNumberFormat="1" applyFont="1" applyFill="1" applyBorder="1" applyAlignment="1">
      <alignment horizontal="center" vertical="center"/>
    </xf>
    <xf numFmtId="0" fontId="43" fillId="2" borderId="76" xfId="0" applyFont="1" applyFill="1" applyBorder="1" applyAlignment="1">
      <alignment horizontal="center"/>
    </xf>
    <xf numFmtId="0" fontId="51" fillId="0" borderId="77" xfId="0" applyFont="1" applyFill="1" applyBorder="1" applyAlignment="1">
      <alignment horizontal="center"/>
    </xf>
    <xf numFmtId="166" fontId="44" fillId="2" borderId="80" xfId="0" applyNumberFormat="1" applyFont="1" applyFill="1" applyBorder="1" applyAlignment="1">
      <alignment horizontal="center"/>
    </xf>
    <xf numFmtId="0" fontId="44" fillId="2" borderId="93" xfId="0" applyFont="1" applyFill="1" applyBorder="1" applyAlignment="1">
      <alignment horizontal="center" wrapText="1"/>
    </xf>
    <xf numFmtId="166" fontId="44" fillId="2" borderId="94" xfId="0" applyNumberFormat="1" applyFont="1" applyFill="1" applyBorder="1" applyAlignment="1">
      <alignment horizontal="center"/>
    </xf>
    <xf numFmtId="166" fontId="44" fillId="2" borderId="95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 vertical="center"/>
    </xf>
    <xf numFmtId="0" fontId="0" fillId="27" borderId="3" xfId="0" applyFont="1" applyFill="1" applyBorder="1"/>
    <xf numFmtId="164" fontId="0" fillId="27" borderId="4" xfId="0" applyNumberFormat="1" applyFill="1" applyBorder="1" applyAlignment="1">
      <alignment horizontal="center"/>
    </xf>
    <xf numFmtId="0" fontId="0" fillId="27" borderId="43" xfId="0" applyFont="1" applyFill="1" applyBorder="1"/>
    <xf numFmtId="164" fontId="0" fillId="27" borderId="44" xfId="0" applyNumberFormat="1" applyFill="1" applyBorder="1" applyAlignment="1">
      <alignment horizontal="center"/>
    </xf>
    <xf numFmtId="164" fontId="0" fillId="27" borderId="77" xfId="0" applyNumberFormat="1" applyFill="1" applyBorder="1" applyAlignment="1">
      <alignment horizontal="center"/>
    </xf>
    <xf numFmtId="0" fontId="0" fillId="27" borderId="76" xfId="0" applyFont="1" applyFill="1" applyBorder="1"/>
    <xf numFmtId="164" fontId="0" fillId="27" borderId="29" xfId="0" applyNumberFormat="1" applyFill="1" applyBorder="1" applyAlignment="1">
      <alignment horizontal="center"/>
    </xf>
    <xf numFmtId="164" fontId="0" fillId="27" borderId="17" xfId="0" applyNumberFormat="1" applyFill="1" applyBorder="1" applyAlignment="1">
      <alignment horizontal="center"/>
    </xf>
    <xf numFmtId="164" fontId="0" fillId="27" borderId="79" xfId="0" applyNumberFormat="1" applyFill="1" applyBorder="1" applyAlignment="1">
      <alignment horizontal="center"/>
    </xf>
    <xf numFmtId="0" fontId="0" fillId="36" borderId="6" xfId="0" applyFill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/>
    </xf>
    <xf numFmtId="0" fontId="6" fillId="36" borderId="80" xfId="0" applyFont="1" applyFill="1" applyBorder="1" applyAlignment="1">
      <alignment horizontal="center" vertical="center"/>
    </xf>
    <xf numFmtId="0" fontId="6" fillId="36" borderId="97" xfId="0" applyFont="1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9" fontId="1" fillId="27" borderId="4" xfId="1" applyNumberFormat="1" applyFont="1" applyFill="1" applyBorder="1" applyAlignment="1">
      <alignment horizontal="center"/>
    </xf>
    <xf numFmtId="9" fontId="1" fillId="27" borderId="44" xfId="1" applyNumberFormat="1" applyFont="1" applyFill="1" applyBorder="1" applyAlignment="1">
      <alignment horizontal="center"/>
    </xf>
    <xf numFmtId="9" fontId="1" fillId="27" borderId="77" xfId="1" applyNumberFormat="1" applyFont="1" applyFill="1" applyBorder="1" applyAlignment="1">
      <alignment horizontal="center"/>
    </xf>
    <xf numFmtId="0" fontId="6" fillId="36" borderId="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8" fillId="34" borderId="98" xfId="0" applyFont="1" applyFill="1" applyBorder="1" applyAlignment="1">
      <alignment horizontal="center" vertical="center" wrapText="1"/>
    </xf>
    <xf numFmtId="0" fontId="48" fillId="34" borderId="99" xfId="0" applyFont="1" applyFill="1" applyBorder="1" applyAlignment="1">
      <alignment horizontal="center" vertical="center" wrapText="1"/>
    </xf>
    <xf numFmtId="0" fontId="48" fillId="34" borderId="100" xfId="0" applyFont="1" applyFill="1" applyBorder="1" applyAlignment="1">
      <alignment horizontal="center" vertical="center" wrapText="1"/>
    </xf>
    <xf numFmtId="0" fontId="48" fillId="34" borderId="8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5" xfId="0" applyFont="1" applyFill="1" applyBorder="1" applyAlignment="1">
      <alignment horizontal="center" vertical="center" wrapText="1"/>
    </xf>
    <xf numFmtId="0" fontId="48" fillId="34" borderId="7" xfId="0" applyFont="1" applyFill="1" applyBorder="1" applyAlignment="1">
      <alignment horizontal="center" vertical="center" wrapText="1"/>
    </xf>
    <xf numFmtId="0" fontId="0" fillId="27" borderId="96" xfId="0" applyFont="1" applyFill="1" applyBorder="1"/>
    <xf numFmtId="164" fontId="0" fillId="27" borderId="91" xfId="0" applyNumberFormat="1" applyFill="1" applyBorder="1" applyAlignment="1">
      <alignment horizontal="center"/>
    </xf>
    <xf numFmtId="164" fontId="0" fillId="27" borderId="92" xfId="0" applyNumberFormat="1" applyFill="1" applyBorder="1" applyAlignment="1">
      <alignment horizontal="center"/>
    </xf>
    <xf numFmtId="164" fontId="18" fillId="2" borderId="91" xfId="0" applyNumberFormat="1" applyFont="1" applyFill="1" applyBorder="1" applyAlignment="1">
      <alignment horizontal="center"/>
    </xf>
    <xf numFmtId="164" fontId="0" fillId="27" borderId="89" xfId="0" applyNumberFormat="1" applyFill="1" applyBorder="1" applyAlignment="1">
      <alignment horizontal="center"/>
    </xf>
    <xf numFmtId="9" fontId="1" fillId="27" borderId="91" xfId="1" applyNumberFormat="1" applyFont="1" applyFill="1" applyBorder="1" applyAlignment="1">
      <alignment horizontal="center"/>
    </xf>
    <xf numFmtId="164" fontId="0" fillId="27" borderId="90" xfId="0" applyNumberFormat="1" applyFill="1" applyBorder="1" applyAlignment="1">
      <alignment horizontal="center"/>
    </xf>
    <xf numFmtId="9" fontId="1" fillId="27" borderId="92" xfId="1" applyNumberFormat="1" applyFont="1" applyFill="1" applyBorder="1" applyAlignment="1">
      <alignment horizontal="center"/>
    </xf>
    <xf numFmtId="1" fontId="48" fillId="34" borderId="53" xfId="0" applyNumberFormat="1" applyFont="1" applyFill="1" applyBorder="1" applyAlignment="1">
      <alignment horizontal="center"/>
    </xf>
    <xf numFmtId="1" fontId="48" fillId="34" borderId="44" xfId="0" applyNumberFormat="1" applyFont="1" applyFill="1" applyBorder="1" applyAlignment="1">
      <alignment horizontal="center"/>
    </xf>
    <xf numFmtId="9" fontId="48" fillId="34" borderId="41" xfId="1" applyFont="1" applyFill="1" applyBorder="1" applyAlignment="1">
      <alignment horizontal="center"/>
    </xf>
    <xf numFmtId="1" fontId="48" fillId="34" borderId="51" xfId="0" applyNumberFormat="1" applyFont="1" applyFill="1" applyBorder="1" applyAlignment="1">
      <alignment horizontal="center"/>
    </xf>
    <xf numFmtId="9" fontId="48" fillId="34" borderId="52" xfId="1" applyFont="1" applyFill="1" applyBorder="1" applyAlignment="1">
      <alignment horizontal="center"/>
    </xf>
    <xf numFmtId="0" fontId="0" fillId="36" borderId="0" xfId="0" applyFill="1"/>
    <xf numFmtId="167" fontId="6" fillId="36" borderId="0" xfId="0" applyNumberFormat="1" applyFont="1" applyFill="1" applyBorder="1" applyAlignment="1">
      <alignment horizontal="center"/>
    </xf>
    <xf numFmtId="0" fontId="31" fillId="36" borderId="0" xfId="0" applyFont="1" applyFill="1"/>
    <xf numFmtId="0" fontId="6" fillId="36" borderId="0" xfId="0" applyFont="1" applyFill="1"/>
    <xf numFmtId="168" fontId="0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/>
    <xf numFmtId="0" fontId="0" fillId="27" borderId="49" xfId="0" applyFont="1" applyFill="1" applyBorder="1" applyAlignment="1">
      <alignment horizontal="left"/>
    </xf>
    <xf numFmtId="0" fontId="0" fillId="27" borderId="87" xfId="0" applyFont="1" applyFill="1" applyBorder="1" applyAlignment="1">
      <alignment horizontal="left"/>
    </xf>
    <xf numFmtId="0" fontId="0" fillId="27" borderId="65" xfId="0" applyFill="1" applyBorder="1" applyAlignment="1">
      <alignment horizontal="left"/>
    </xf>
    <xf numFmtId="0" fontId="48" fillId="34" borderId="60" xfId="0" applyFont="1" applyFill="1" applyBorder="1" applyAlignment="1">
      <alignment horizontal="left"/>
    </xf>
    <xf numFmtId="0" fontId="0" fillId="27" borderId="49" xfId="0" applyFill="1" applyBorder="1" applyAlignment="1">
      <alignment horizontal="left"/>
    </xf>
    <xf numFmtId="0" fontId="0" fillId="27" borderId="101" xfId="0" applyFont="1" applyFill="1" applyBorder="1" applyAlignment="1">
      <alignment horizontal="left"/>
    </xf>
    <xf numFmtId="1" fontId="48" fillId="34" borderId="53" xfId="0" applyNumberFormat="1" applyFont="1" applyFill="1" applyBorder="1" applyAlignment="1">
      <alignment horizontal="center" vertical="center"/>
    </xf>
    <xf numFmtId="1" fontId="48" fillId="34" borderId="51" xfId="0" applyNumberFormat="1" applyFont="1" applyFill="1" applyBorder="1" applyAlignment="1">
      <alignment horizontal="center" vertical="center"/>
    </xf>
    <xf numFmtId="9" fontId="48" fillId="34" borderId="52" xfId="1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 wrapText="1"/>
    </xf>
    <xf numFmtId="0" fontId="52" fillId="34" borderId="60" xfId="0" applyFont="1" applyFill="1" applyBorder="1" applyAlignment="1">
      <alignment horizontal="center" vertical="center" wrapText="1"/>
    </xf>
    <xf numFmtId="0" fontId="52" fillId="34" borderId="53" xfId="0" applyFont="1" applyFill="1" applyBorder="1" applyAlignment="1">
      <alignment horizontal="center" vertical="center" wrapText="1"/>
    </xf>
    <xf numFmtId="0" fontId="52" fillId="34" borderId="51" xfId="0" applyFont="1" applyFill="1" applyBorder="1" applyAlignment="1">
      <alignment horizontal="center" vertical="center" wrapText="1"/>
    </xf>
    <xf numFmtId="0" fontId="52" fillId="34" borderId="52" xfId="0" applyFont="1" applyFill="1" applyBorder="1" applyAlignment="1">
      <alignment horizontal="center" vertical="center" wrapText="1"/>
    </xf>
    <xf numFmtId="0" fontId="0" fillId="27" borderId="54" xfId="0" applyFill="1" applyBorder="1"/>
    <xf numFmtId="0" fontId="48" fillId="34" borderId="4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4" fontId="6" fillId="36" borderId="6" xfId="0" applyNumberFormat="1" applyFont="1" applyFill="1" applyBorder="1" applyAlignment="1">
      <alignment horizontal="center" vertical="center"/>
    </xf>
    <xf numFmtId="0" fontId="0" fillId="0" borderId="24" xfId="0" applyNumberFormat="1" applyBorder="1"/>
    <xf numFmtId="0" fontId="48" fillId="34" borderId="76" xfId="0" applyFont="1" applyFill="1" applyBorder="1" applyAlignment="1">
      <alignment horizontal="center" vertical="center"/>
    </xf>
    <xf numFmtId="164" fontId="48" fillId="34" borderId="77" xfId="0" applyNumberFormat="1" applyFont="1" applyFill="1" applyBorder="1" applyAlignment="1">
      <alignment horizontal="center" vertical="center"/>
    </xf>
    <xf numFmtId="164" fontId="48" fillId="34" borderId="90" xfId="0" applyNumberFormat="1" applyFont="1" applyFill="1" applyBorder="1" applyAlignment="1">
      <alignment horizontal="center" vertical="center"/>
    </xf>
    <xf numFmtId="164" fontId="48" fillId="34" borderId="79" xfId="0" applyNumberFormat="1" applyFont="1" applyFill="1" applyBorder="1" applyAlignment="1">
      <alignment horizontal="center" vertical="center"/>
    </xf>
    <xf numFmtId="10" fontId="48" fillId="34" borderId="77" xfId="1" applyNumberFormat="1" applyFont="1" applyFill="1" applyBorder="1" applyAlignment="1">
      <alignment horizontal="center" vertical="center"/>
    </xf>
    <xf numFmtId="0" fontId="30" fillId="34" borderId="77" xfId="0" applyFont="1" applyFill="1" applyBorder="1" applyAlignment="1">
      <alignment horizontal="center" vertical="center"/>
    </xf>
    <xf numFmtId="0" fontId="43" fillId="2" borderId="77" xfId="0" applyFont="1" applyFill="1" applyBorder="1" applyAlignment="1">
      <alignment horizontal="center" vertical="center" wrapText="1"/>
    </xf>
    <xf numFmtId="164" fontId="45" fillId="2" borderId="77" xfId="0" applyNumberFormat="1" applyFont="1" applyFill="1" applyBorder="1" applyAlignment="1">
      <alignment horizontal="center" vertical="center"/>
    </xf>
    <xf numFmtId="0" fontId="43" fillId="2" borderId="77" xfId="0" applyFont="1" applyFill="1" applyBorder="1" applyAlignment="1">
      <alignment horizontal="center" vertical="center"/>
    </xf>
    <xf numFmtId="0" fontId="43" fillId="32" borderId="77" xfId="0" applyFont="1" applyFill="1" applyBorder="1" applyAlignment="1">
      <alignment horizontal="center" vertical="center" wrapText="1"/>
    </xf>
    <xf numFmtId="0" fontId="43" fillId="32" borderId="77" xfId="0" applyFont="1" applyFill="1" applyBorder="1" applyAlignment="1">
      <alignment horizontal="center" vertical="center"/>
    </xf>
    <xf numFmtId="0" fontId="43" fillId="2" borderId="91" xfId="0" applyFont="1" applyFill="1" applyBorder="1" applyAlignment="1">
      <alignment horizontal="center" vertical="center"/>
    </xf>
    <xf numFmtId="164" fontId="2" fillId="30" borderId="77" xfId="0" applyNumberFormat="1" applyFont="1" applyFill="1" applyBorder="1" applyAlignment="1">
      <alignment horizontal="center"/>
    </xf>
    <xf numFmtId="164" fontId="45" fillId="2" borderId="91" xfId="0" applyNumberFormat="1" applyFont="1" applyFill="1" applyBorder="1" applyAlignment="1">
      <alignment horizontal="center" vertical="center"/>
    </xf>
    <xf numFmtId="164" fontId="45" fillId="30" borderId="77" xfId="0" applyNumberFormat="1" applyFont="1" applyFill="1" applyBorder="1" applyAlignment="1">
      <alignment horizontal="center" vertical="center"/>
    </xf>
    <xf numFmtId="164" fontId="43" fillId="2" borderId="92" xfId="0" applyNumberFormat="1" applyFont="1" applyFill="1" applyBorder="1" applyAlignment="1">
      <alignment horizontal="center" vertical="center"/>
    </xf>
    <xf numFmtId="0" fontId="50" fillId="29" borderId="77" xfId="0" applyFont="1" applyFill="1" applyBorder="1" applyAlignment="1">
      <alignment horizontal="center" vertical="center" wrapText="1"/>
    </xf>
    <xf numFmtId="0" fontId="50" fillId="29" borderId="84" xfId="0" applyFont="1" applyFill="1" applyBorder="1" applyAlignment="1">
      <alignment horizontal="center" vertical="center" wrapText="1"/>
    </xf>
    <xf numFmtId="0" fontId="50" fillId="29" borderId="90" xfId="0" applyFont="1" applyFill="1" applyBorder="1" applyAlignment="1">
      <alignment horizontal="center" vertical="center" wrapText="1"/>
    </xf>
    <xf numFmtId="0" fontId="50" fillId="29" borderId="79" xfId="0" applyFont="1" applyFill="1" applyBorder="1" applyAlignment="1">
      <alignment horizontal="center" vertical="center" wrapText="1"/>
    </xf>
    <xf numFmtId="0" fontId="49" fillId="29" borderId="77" xfId="0" applyFont="1" applyFill="1" applyBorder="1" applyAlignment="1">
      <alignment horizontal="center" vertical="center" wrapText="1"/>
    </xf>
    <xf numFmtId="0" fontId="46" fillId="2" borderId="77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173" fontId="43" fillId="2" borderId="77" xfId="0" applyNumberFormat="1" applyFont="1" applyFill="1" applyBorder="1" applyAlignment="1">
      <alignment horizontal="center" vertical="center"/>
    </xf>
    <xf numFmtId="14" fontId="43" fillId="2" borderId="77" xfId="0" applyNumberFormat="1" applyFont="1" applyFill="1" applyBorder="1" applyAlignment="1">
      <alignment horizontal="center" vertical="center" wrapText="1"/>
    </xf>
    <xf numFmtId="2" fontId="54" fillId="2" borderId="77" xfId="0" applyNumberFormat="1" applyFont="1" applyFill="1" applyBorder="1" applyAlignment="1">
      <alignment horizontal="center" vertical="center" wrapText="1"/>
    </xf>
    <xf numFmtId="0" fontId="6" fillId="26" borderId="77" xfId="0" applyFont="1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top" wrapText="1"/>
    </xf>
    <xf numFmtId="0" fontId="43" fillId="2" borderId="77" xfId="0" applyFont="1" applyFill="1" applyBorder="1" applyAlignment="1">
      <alignment horizontal="center"/>
    </xf>
    <xf numFmtId="0" fontId="50" fillId="37" borderId="90" xfId="0" applyFont="1" applyFill="1" applyBorder="1" applyAlignment="1">
      <alignment horizontal="center" vertical="center" wrapText="1"/>
    </xf>
    <xf numFmtId="0" fontId="56" fillId="37" borderId="77" xfId="0" applyFont="1" applyFill="1" applyBorder="1" applyAlignment="1">
      <alignment horizontal="center" vertical="center"/>
    </xf>
    <xf numFmtId="0" fontId="50" fillId="37" borderId="77" xfId="0" applyFont="1" applyFill="1" applyBorder="1" applyAlignment="1">
      <alignment horizontal="center" vertical="center"/>
    </xf>
    <xf numFmtId="0" fontId="55" fillId="37" borderId="77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right"/>
    </xf>
    <xf numFmtId="2" fontId="43" fillId="2" borderId="77" xfId="0" applyNumberFormat="1" applyFont="1" applyFill="1" applyBorder="1"/>
    <xf numFmtId="43" fontId="54" fillId="2" borderId="77" xfId="42096" applyFont="1" applyFill="1" applyBorder="1" applyAlignment="1">
      <alignment horizontal="center" vertical="center" wrapText="1"/>
    </xf>
    <xf numFmtId="164" fontId="43" fillId="2" borderId="91" xfId="0" applyNumberFormat="1" applyFont="1" applyFill="1" applyBorder="1" applyAlignment="1">
      <alignment horizontal="center" vertical="center"/>
    </xf>
    <xf numFmtId="0" fontId="53" fillId="2" borderId="77" xfId="0" applyFont="1" applyFill="1" applyBorder="1" applyAlignment="1">
      <alignment horizontal="center" vertical="top" wrapText="1"/>
    </xf>
    <xf numFmtId="0" fontId="43" fillId="2" borderId="79" xfId="0" applyFont="1" applyFill="1" applyBorder="1" applyAlignment="1">
      <alignment horizontal="center" vertical="center" wrapText="1"/>
    </xf>
    <xf numFmtId="164" fontId="0" fillId="32" borderId="71" xfId="0" applyNumberFormat="1" applyFont="1" applyFill="1" applyBorder="1" applyAlignment="1">
      <alignment horizontal="center" vertical="center"/>
    </xf>
    <xf numFmtId="164" fontId="0" fillId="30" borderId="91" xfId="0" applyNumberFormat="1" applyFont="1" applyFill="1" applyBorder="1" applyAlignment="1">
      <alignment horizontal="center" vertical="center"/>
    </xf>
    <xf numFmtId="10" fontId="0" fillId="30" borderId="97" xfId="1" applyNumberFormat="1" applyFont="1" applyFill="1" applyBorder="1" applyAlignment="1">
      <alignment horizontal="center" vertical="center"/>
    </xf>
    <xf numFmtId="10" fontId="0" fillId="33" borderId="97" xfId="1" applyNumberFormat="1" applyFont="1" applyFill="1" applyBorder="1" applyAlignment="1">
      <alignment horizontal="center" vertical="center"/>
    </xf>
    <xf numFmtId="164" fontId="0" fillId="33" borderId="91" xfId="0" applyNumberFormat="1" applyFont="1" applyFill="1" applyBorder="1" applyAlignment="1">
      <alignment horizontal="center" vertical="center"/>
    </xf>
    <xf numFmtId="164" fontId="43" fillId="2" borderId="66" xfId="0" applyNumberFormat="1" applyFont="1" applyFill="1" applyBorder="1" applyAlignment="1">
      <alignment horizontal="center" vertical="center"/>
    </xf>
    <xf numFmtId="164" fontId="43" fillId="2" borderId="89" xfId="0" applyNumberFormat="1" applyFont="1" applyFill="1" applyBorder="1" applyAlignment="1">
      <alignment horizontal="center" vertical="center"/>
    </xf>
    <xf numFmtId="0" fontId="0" fillId="2" borderId="0" xfId="0" applyFill="1"/>
    <xf numFmtId="0" fontId="38" fillId="30" borderId="79" xfId="0" applyFont="1" applyFill="1" applyBorder="1" applyAlignment="1">
      <alignment horizontal="center" vertical="center" wrapText="1"/>
    </xf>
    <xf numFmtId="0" fontId="34" fillId="30" borderId="77" xfId="0" applyFont="1" applyFill="1" applyBorder="1" applyAlignment="1">
      <alignment horizontal="center" vertical="center" wrapText="1"/>
    </xf>
    <xf numFmtId="0" fontId="34" fillId="30" borderId="77" xfId="41712" applyFont="1" applyFill="1" applyBorder="1" applyAlignment="1">
      <alignment horizontal="center" vertical="center" wrapText="1"/>
    </xf>
    <xf numFmtId="0" fontId="34" fillId="30" borderId="90" xfId="41712" applyFont="1" applyFill="1" applyBorder="1" applyAlignment="1">
      <alignment horizontal="center" vertical="center" wrapText="1"/>
    </xf>
    <xf numFmtId="0" fontId="34" fillId="27" borderId="77" xfId="0" applyFont="1" applyFill="1" applyBorder="1" applyAlignment="1">
      <alignment horizontal="center" vertical="center" wrapText="1"/>
    </xf>
    <xf numFmtId="0" fontId="34" fillId="27" borderId="90" xfId="0" applyFont="1" applyFill="1" applyBorder="1" applyAlignment="1">
      <alignment horizontal="center" vertical="center" wrapText="1"/>
    </xf>
    <xf numFmtId="0" fontId="34" fillId="27" borderId="77" xfId="41712" applyFont="1" applyFill="1" applyBorder="1" applyAlignment="1">
      <alignment horizontal="center" vertical="center" wrapText="1"/>
    </xf>
    <xf numFmtId="0" fontId="34" fillId="27" borderId="79" xfId="41712" applyFont="1" applyFill="1" applyBorder="1" applyAlignment="1">
      <alignment horizontal="center" vertical="center" wrapText="1"/>
    </xf>
    <xf numFmtId="0" fontId="34" fillId="39" borderId="77" xfId="41712" applyFont="1" applyFill="1" applyBorder="1" applyAlignment="1">
      <alignment horizontal="center" vertical="center" wrapText="1"/>
    </xf>
    <xf numFmtId="0" fontId="34" fillId="39" borderId="77" xfId="0" applyFont="1" applyFill="1" applyBorder="1" applyAlignment="1">
      <alignment horizontal="center" vertical="center" wrapText="1"/>
    </xf>
    <xf numFmtId="0" fontId="34" fillId="29" borderId="77" xfId="41712" applyFont="1" applyFill="1" applyBorder="1" applyAlignment="1">
      <alignment horizontal="center" vertical="center" wrapText="1"/>
    </xf>
    <xf numFmtId="0" fontId="34" fillId="29" borderId="77" xfId="0" applyFont="1" applyFill="1" applyBorder="1" applyAlignment="1">
      <alignment horizontal="center" vertical="center" wrapText="1"/>
    </xf>
    <xf numFmtId="0" fontId="57" fillId="29" borderId="77" xfId="0" applyFont="1" applyFill="1" applyBorder="1" applyAlignment="1">
      <alignment horizontal="center" vertical="center"/>
    </xf>
    <xf numFmtId="2" fontId="57" fillId="30" borderId="0" xfId="0" applyNumberFormat="1" applyFont="1" applyFill="1" applyBorder="1" applyAlignment="1">
      <alignment horizontal="center" vertical="center"/>
    </xf>
    <xf numFmtId="164" fontId="21" fillId="2" borderId="24" xfId="0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/>
    </xf>
    <xf numFmtId="9" fontId="57" fillId="30" borderId="26" xfId="1" applyFont="1" applyFill="1" applyBorder="1" applyAlignment="1">
      <alignment horizontal="center" vertical="center"/>
    </xf>
    <xf numFmtId="2" fontId="21" fillId="30" borderId="24" xfId="0" applyNumberFormat="1" applyFont="1" applyFill="1" applyBorder="1" applyAlignment="1">
      <alignment horizontal="center" vertical="center"/>
    </xf>
    <xf numFmtId="9" fontId="57" fillId="30" borderId="24" xfId="1" applyFont="1" applyFill="1" applyBorder="1" applyAlignment="1">
      <alignment horizontal="center" vertical="center"/>
    </xf>
    <xf numFmtId="2" fontId="57" fillId="39" borderId="26" xfId="0" applyNumberFormat="1" applyFont="1" applyFill="1" applyBorder="1" applyAlignment="1">
      <alignment horizontal="center" vertical="center"/>
    </xf>
    <xf numFmtId="2" fontId="57" fillId="39" borderId="0" xfId="0" applyNumberFormat="1" applyFont="1" applyFill="1" applyBorder="1" applyAlignment="1">
      <alignment horizontal="center" vertical="center"/>
    </xf>
    <xf numFmtId="2" fontId="57" fillId="30" borderId="24" xfId="0" applyNumberFormat="1" applyFont="1" applyFill="1" applyBorder="1" applyAlignment="1">
      <alignment horizontal="center" vertical="center"/>
    </xf>
    <xf numFmtId="9" fontId="57" fillId="27" borderId="24" xfId="1" applyFont="1" applyFill="1" applyBorder="1" applyAlignment="1">
      <alignment horizontal="center" vertical="center"/>
    </xf>
    <xf numFmtId="0" fontId="57" fillId="2" borderId="0" xfId="0" applyFont="1" applyFill="1"/>
    <xf numFmtId="2" fontId="57" fillId="30" borderId="20" xfId="0" applyNumberFormat="1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2" fontId="58" fillId="2" borderId="19" xfId="0" applyNumberFormat="1" applyFont="1" applyFill="1" applyBorder="1" applyAlignment="1">
      <alignment horizontal="center" vertical="center"/>
    </xf>
    <xf numFmtId="9" fontId="57" fillId="30" borderId="21" xfId="1" applyFont="1" applyFill="1" applyBorder="1" applyAlignment="1">
      <alignment horizontal="center" vertical="center"/>
    </xf>
    <xf numFmtId="2" fontId="57" fillId="2" borderId="19" xfId="0" applyNumberFormat="1" applyFont="1" applyFill="1" applyBorder="1" applyAlignment="1">
      <alignment horizontal="center" vertical="center"/>
    </xf>
    <xf numFmtId="9" fontId="57" fillId="30" borderId="19" xfId="1" applyFont="1" applyFill="1" applyBorder="1" applyAlignment="1">
      <alignment horizontal="center" vertical="center"/>
    </xf>
    <xf numFmtId="2" fontId="57" fillId="39" borderId="21" xfId="0" applyNumberFormat="1" applyFont="1" applyFill="1" applyBorder="1" applyAlignment="1">
      <alignment horizontal="center" vertical="center"/>
    </xf>
    <xf numFmtId="2" fontId="57" fillId="39" borderId="20" xfId="0" applyNumberFormat="1" applyFont="1" applyFill="1" applyBorder="1" applyAlignment="1">
      <alignment horizontal="center" vertical="center"/>
    </xf>
    <xf numFmtId="2" fontId="57" fillId="30" borderId="19" xfId="0" applyNumberFormat="1" applyFont="1" applyFill="1" applyBorder="1" applyAlignment="1">
      <alignment horizontal="center" vertical="center"/>
    </xf>
    <xf numFmtId="9" fontId="57" fillId="27" borderId="19" xfId="1" applyFont="1" applyFill="1" applyBorder="1" applyAlignment="1">
      <alignment horizontal="center" vertical="center"/>
    </xf>
    <xf numFmtId="2" fontId="57" fillId="30" borderId="71" xfId="0" applyNumberFormat="1" applyFont="1" applyFill="1" applyBorder="1" applyAlignment="1">
      <alignment horizontal="center" vertical="center"/>
    </xf>
    <xf numFmtId="164" fontId="21" fillId="2" borderId="91" xfId="0" applyNumberFormat="1" applyFont="1" applyFill="1" applyBorder="1" applyAlignment="1">
      <alignment horizontal="center" vertical="center"/>
    </xf>
    <xf numFmtId="0" fontId="57" fillId="0" borderId="91" xfId="0" applyNumberFormat="1" applyFont="1" applyBorder="1" applyAlignment="1">
      <alignment horizontal="center"/>
    </xf>
    <xf numFmtId="2" fontId="57" fillId="2" borderId="91" xfId="0" applyNumberFormat="1" applyFont="1" applyFill="1" applyBorder="1" applyAlignment="1">
      <alignment horizontal="center" vertical="center"/>
    </xf>
    <xf numFmtId="2" fontId="57" fillId="39" borderId="92" xfId="0" applyNumberFormat="1" applyFont="1" applyFill="1" applyBorder="1" applyAlignment="1">
      <alignment horizontal="center" vertical="center"/>
    </xf>
    <xf numFmtId="2" fontId="57" fillId="39" borderId="71" xfId="0" applyNumberFormat="1" applyFont="1" applyFill="1" applyBorder="1" applyAlignment="1">
      <alignment horizontal="center" vertical="center"/>
    </xf>
    <xf numFmtId="2" fontId="57" fillId="30" borderId="91" xfId="0" applyNumberFormat="1" applyFont="1" applyFill="1" applyBorder="1" applyAlignment="1">
      <alignment horizontal="center" vertical="center"/>
    </xf>
    <xf numFmtId="2" fontId="57" fillId="0" borderId="91" xfId="0" applyNumberFormat="1" applyFont="1" applyFill="1" applyBorder="1" applyAlignment="1">
      <alignment horizontal="center" vertical="center"/>
    </xf>
    <xf numFmtId="164" fontId="57" fillId="30" borderId="71" xfId="0" applyNumberFormat="1" applyFont="1" applyFill="1" applyBorder="1" applyAlignment="1">
      <alignment horizontal="center" vertical="center"/>
    </xf>
    <xf numFmtId="164" fontId="57" fillId="2" borderId="91" xfId="0" applyNumberFormat="1" applyFont="1" applyFill="1" applyBorder="1" applyAlignment="1">
      <alignment horizontal="center" vertical="center"/>
    </xf>
    <xf numFmtId="9" fontId="57" fillId="30" borderId="92" xfId="1" applyFont="1" applyFill="1" applyBorder="1" applyAlignment="1">
      <alignment horizontal="center" vertical="center"/>
    </xf>
    <xf numFmtId="9" fontId="57" fillId="30" borderId="91" xfId="1" applyFont="1" applyFill="1" applyBorder="1" applyAlignment="1">
      <alignment horizontal="center" vertical="center"/>
    </xf>
    <xf numFmtId="164" fontId="57" fillId="30" borderId="20" xfId="0" applyNumberFormat="1" applyFont="1" applyFill="1" applyBorder="1" applyAlignment="1">
      <alignment horizontal="center" vertical="center"/>
    </xf>
    <xf numFmtId="170" fontId="57" fillId="2" borderId="19" xfId="0" applyNumberFormat="1" applyFont="1" applyFill="1" applyBorder="1" applyAlignment="1">
      <alignment horizontal="center" vertical="center"/>
    </xf>
    <xf numFmtId="164" fontId="57" fillId="30" borderId="0" xfId="0" applyNumberFormat="1" applyFont="1" applyFill="1" applyBorder="1" applyAlignment="1">
      <alignment horizontal="center" vertical="center"/>
    </xf>
    <xf numFmtId="170" fontId="57" fillId="2" borderId="24" xfId="0" applyNumberFormat="1" applyFont="1" applyFill="1" applyBorder="1" applyAlignment="1">
      <alignment horizontal="center" vertical="center"/>
    </xf>
    <xf numFmtId="2" fontId="57" fillId="2" borderId="24" xfId="0" applyNumberFormat="1" applyFont="1" applyFill="1" applyBorder="1" applyAlignment="1">
      <alignment horizontal="center" vertical="center"/>
    </xf>
    <xf numFmtId="0" fontId="57" fillId="39" borderId="24" xfId="0" applyNumberFormat="1" applyFont="1" applyFill="1" applyBorder="1" applyAlignment="1">
      <alignment horizontal="center"/>
    </xf>
    <xf numFmtId="169" fontId="21" fillId="39" borderId="77" xfId="0" applyNumberFormat="1" applyFont="1" applyFill="1" applyBorder="1" applyAlignment="1">
      <alignment horizontal="center" vertical="center"/>
    </xf>
    <xf numFmtId="10" fontId="21" fillId="39" borderId="90" xfId="1" applyNumberFormat="1" applyFont="1" applyFill="1" applyBorder="1" applyAlignment="1">
      <alignment horizontal="center" vertical="center"/>
    </xf>
    <xf numFmtId="169" fontId="21" fillId="39" borderId="90" xfId="0" applyNumberFormat="1" applyFont="1" applyFill="1" applyBorder="1" applyAlignment="1">
      <alignment horizontal="center" vertical="center"/>
    </xf>
    <xf numFmtId="169" fontId="21" fillId="39" borderId="79" xfId="0" applyNumberFormat="1" applyFont="1" applyFill="1" applyBorder="1" applyAlignment="1">
      <alignment horizontal="center" vertical="center"/>
    </xf>
    <xf numFmtId="9" fontId="21" fillId="39" borderId="77" xfId="1" applyNumberFormat="1" applyFont="1" applyFill="1" applyBorder="1" applyAlignment="1">
      <alignment horizontal="center" vertical="center"/>
    </xf>
    <xf numFmtId="176" fontId="21" fillId="39" borderId="77" xfId="0" applyNumberFormat="1" applyFont="1" applyFill="1" applyBorder="1" applyAlignment="1">
      <alignment horizontal="center" vertical="center"/>
    </xf>
    <xf numFmtId="9" fontId="21" fillId="39" borderId="77" xfId="1" applyFont="1" applyFill="1" applyBorder="1" applyAlignment="1">
      <alignment horizontal="center" vertical="center"/>
    </xf>
    <xf numFmtId="164" fontId="57" fillId="39" borderId="77" xfId="0" applyNumberFormat="1" applyFont="1" applyFill="1" applyBorder="1" applyAlignment="1">
      <alignment horizontal="center" vertical="center"/>
    </xf>
    <xf numFmtId="164" fontId="57" fillId="39" borderId="90" xfId="0" applyNumberFormat="1" applyFont="1" applyFill="1" applyBorder="1" applyAlignment="1">
      <alignment horizontal="center" vertical="center"/>
    </xf>
    <xf numFmtId="176" fontId="57" fillId="39" borderId="77" xfId="0" applyNumberFormat="1" applyFont="1" applyFill="1" applyBorder="1" applyAlignment="1">
      <alignment horizontal="center" vertical="center"/>
    </xf>
    <xf numFmtId="164" fontId="43" fillId="2" borderId="54" xfId="0" applyNumberFormat="1" applyFont="1" applyFill="1" applyBorder="1" applyAlignment="1">
      <alignment horizontal="center" vertical="center"/>
    </xf>
    <xf numFmtId="169" fontId="6" fillId="30" borderId="83" xfId="0" applyNumberFormat="1" applyFont="1" applyFill="1" applyBorder="1" applyAlignment="1">
      <alignment horizontal="center" vertical="center"/>
    </xf>
    <xf numFmtId="169" fontId="6" fillId="30" borderId="4" xfId="0" applyNumberFormat="1" applyFont="1" applyFill="1" applyBorder="1" applyAlignment="1">
      <alignment horizontal="center" vertical="center"/>
    </xf>
    <xf numFmtId="0" fontId="6" fillId="30" borderId="4" xfId="0" applyFont="1" applyFill="1" applyBorder="1" applyAlignment="1">
      <alignment horizontal="center" vertical="center"/>
    </xf>
    <xf numFmtId="10" fontId="6" fillId="30" borderId="29" xfId="1" applyNumberFormat="1" applyFont="1" applyFill="1" applyBorder="1" applyAlignment="1">
      <alignment horizontal="center" vertical="center"/>
    </xf>
    <xf numFmtId="164" fontId="0" fillId="32" borderId="91" xfId="0" applyNumberFormat="1" applyFill="1" applyBorder="1" applyAlignment="1">
      <alignment horizontal="center" vertical="center"/>
    </xf>
    <xf numFmtId="0" fontId="6" fillId="32" borderId="91" xfId="0" applyFont="1" applyFill="1" applyBorder="1" applyAlignment="1">
      <alignment horizontal="center" vertical="center"/>
    </xf>
    <xf numFmtId="164" fontId="0" fillId="32" borderId="71" xfId="0" applyNumberFormat="1" applyFill="1" applyBorder="1" applyAlignment="1">
      <alignment horizontal="center" vertical="center"/>
    </xf>
    <xf numFmtId="164" fontId="6" fillId="32" borderId="91" xfId="0" applyNumberFormat="1" applyFont="1" applyFill="1" applyBorder="1" applyAlignment="1">
      <alignment horizontal="center" vertical="center"/>
    </xf>
    <xf numFmtId="10" fontId="6" fillId="32" borderId="101" xfId="42082" applyNumberFormat="1" applyFont="1" applyFill="1" applyBorder="1" applyAlignment="1">
      <alignment horizontal="center" vertical="center"/>
    </xf>
    <xf numFmtId="0" fontId="57" fillId="29" borderId="77" xfId="0" applyFont="1" applyFill="1" applyBorder="1" applyAlignment="1">
      <alignment horizontal="center" vertical="center"/>
    </xf>
    <xf numFmtId="169" fontId="21" fillId="39" borderId="77" xfId="0" applyNumberFormat="1" applyFont="1" applyFill="1" applyBorder="1" applyAlignment="1">
      <alignment horizontal="center" vertical="center"/>
    </xf>
    <xf numFmtId="1" fontId="43" fillId="29" borderId="91" xfId="0" applyNumberFormat="1" applyFont="1" applyFill="1" applyBorder="1" applyAlignment="1">
      <alignment horizontal="center" vertical="center"/>
    </xf>
    <xf numFmtId="164" fontId="43" fillId="2" borderId="66" xfId="0" applyNumberFormat="1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1" fillId="2" borderId="0" xfId="0" applyFont="1" applyFill="1"/>
    <xf numFmtId="175" fontId="60" fillId="2" borderId="0" xfId="42096" applyNumberFormat="1" applyFont="1" applyFill="1"/>
    <xf numFmtId="1" fontId="57" fillId="2" borderId="0" xfId="0" applyNumberFormat="1" applyFont="1" applyFill="1"/>
    <xf numFmtId="2" fontId="60" fillId="2" borderId="0" xfId="0" applyNumberFormat="1" applyFont="1" applyFill="1"/>
    <xf numFmtId="169" fontId="57" fillId="2" borderId="0" xfId="0" applyNumberFormat="1" applyFont="1" applyFill="1"/>
    <xf numFmtId="0" fontId="59" fillId="2" borderId="0" xfId="0" applyFont="1" applyFill="1" applyAlignment="1">
      <alignment horizontal="left"/>
    </xf>
    <xf numFmtId="164" fontId="57" fillId="2" borderId="0" xfId="0" applyNumberFormat="1" applyFont="1" applyFill="1"/>
    <xf numFmtId="170" fontId="57" fillId="2" borderId="0" xfId="0" applyNumberFormat="1" applyFont="1" applyFill="1"/>
    <xf numFmtId="0" fontId="3" fillId="40" borderId="107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169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9" fontId="6" fillId="30" borderId="79" xfId="0" applyNumberFormat="1" applyFont="1" applyFill="1" applyBorder="1" applyAlignment="1">
      <alignment horizontal="center" vertical="center"/>
    </xf>
    <xf numFmtId="169" fontId="6" fillId="30" borderId="77" xfId="0" applyNumberFormat="1" applyFont="1" applyFill="1" applyBorder="1" applyAlignment="1">
      <alignment horizontal="center" vertical="center"/>
    </xf>
    <xf numFmtId="0" fontId="6" fillId="30" borderId="77" xfId="0" applyFont="1" applyFill="1" applyBorder="1" applyAlignment="1">
      <alignment horizontal="center" vertical="center"/>
    </xf>
    <xf numFmtId="10" fontId="6" fillId="30" borderId="90" xfId="1" applyNumberFormat="1" applyFont="1" applyFill="1" applyBorder="1" applyAlignment="1">
      <alignment horizontal="center" vertical="center"/>
    </xf>
    <xf numFmtId="0" fontId="0" fillId="29" borderId="26" xfId="0" applyFont="1" applyFill="1" applyBorder="1" applyAlignment="1">
      <alignment horizontal="center" vertical="center"/>
    </xf>
    <xf numFmtId="0" fontId="0" fillId="29" borderId="21" xfId="0" applyFont="1" applyFill="1" applyBorder="1" applyAlignment="1">
      <alignment horizontal="center" vertical="center"/>
    </xf>
    <xf numFmtId="0" fontId="0" fillId="29" borderId="92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164" fontId="0" fillId="32" borderId="26" xfId="0" applyNumberFormat="1" applyFont="1" applyFill="1" applyBorder="1" applyAlignment="1">
      <alignment horizontal="center" vertical="center"/>
    </xf>
    <xf numFmtId="10" fontId="0" fillId="32" borderId="24" xfId="1" applyNumberFormat="1" applyFont="1" applyFill="1" applyBorder="1" applyAlignment="1">
      <alignment horizontal="center" vertical="center"/>
    </xf>
    <xf numFmtId="10" fontId="0" fillId="32" borderId="19" xfId="1" applyNumberFormat="1" applyFont="1" applyFill="1" applyBorder="1" applyAlignment="1">
      <alignment horizontal="center" vertical="center"/>
    </xf>
    <xf numFmtId="10" fontId="0" fillId="32" borderId="91" xfId="1" applyNumberFormat="1" applyFont="1" applyFill="1" applyBorder="1" applyAlignment="1">
      <alignment horizontal="center" vertical="center"/>
    </xf>
    <xf numFmtId="10" fontId="0" fillId="33" borderId="91" xfId="1" applyNumberFormat="1" applyFont="1" applyFill="1" applyBorder="1" applyAlignment="1">
      <alignment horizontal="center" vertical="center"/>
    </xf>
    <xf numFmtId="10" fontId="0" fillId="33" borderId="24" xfId="1" applyNumberFormat="1" applyFont="1" applyFill="1" applyBorder="1" applyAlignment="1">
      <alignment horizontal="center" vertical="center"/>
    </xf>
    <xf numFmtId="169" fontId="6" fillId="30" borderId="5" xfId="0" applyNumberFormat="1" applyFont="1" applyFill="1" applyBorder="1" applyAlignment="1">
      <alignment horizontal="center" vertical="center"/>
    </xf>
    <xf numFmtId="10" fontId="6" fillId="30" borderId="4" xfId="1" applyNumberFormat="1" applyFont="1" applyFill="1" applyBorder="1" applyAlignment="1">
      <alignment horizontal="center" vertical="center"/>
    </xf>
    <xf numFmtId="10" fontId="6" fillId="30" borderId="77" xfId="1" applyNumberFormat="1" applyFont="1" applyFill="1" applyBorder="1" applyAlignment="1">
      <alignment horizontal="center" vertical="center"/>
    </xf>
    <xf numFmtId="164" fontId="0" fillId="27" borderId="26" xfId="0" applyNumberFormat="1" applyFont="1" applyFill="1" applyBorder="1" applyAlignment="1">
      <alignment horizontal="center" vertical="center"/>
    </xf>
    <xf numFmtId="10" fontId="0" fillId="27" borderId="24" xfId="1" applyNumberFormat="1" applyFont="1" applyFill="1" applyBorder="1" applyAlignment="1">
      <alignment horizontal="center" vertical="center"/>
    </xf>
    <xf numFmtId="10" fontId="0" fillId="27" borderId="19" xfId="1" applyNumberFormat="1" applyFont="1" applyFill="1" applyBorder="1" applyAlignment="1">
      <alignment horizontal="center" vertical="center"/>
    </xf>
    <xf numFmtId="10" fontId="0" fillId="27" borderId="91" xfId="1" applyNumberFormat="1" applyFont="1" applyFill="1" applyBorder="1" applyAlignment="1">
      <alignment horizontal="center" vertical="center"/>
    </xf>
    <xf numFmtId="164" fontId="0" fillId="32" borderId="92" xfId="0" applyNumberFormat="1" applyFont="1" applyFill="1" applyBorder="1" applyAlignment="1">
      <alignment horizontal="center" vertical="center"/>
    </xf>
    <xf numFmtId="164" fontId="0" fillId="27" borderId="92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8" fillId="32" borderId="77" xfId="0" applyFont="1" applyFill="1" applyBorder="1" applyAlignment="1">
      <alignment horizontal="center" vertical="center" wrapText="1"/>
    </xf>
    <xf numFmtId="0" fontId="34" fillId="32" borderId="77" xfId="0" applyFont="1" applyFill="1" applyBorder="1" applyAlignment="1">
      <alignment horizontal="center" vertical="center" wrapText="1"/>
    </xf>
    <xf numFmtId="0" fontId="34" fillId="32" borderId="77" xfId="41712" applyFont="1" applyFill="1" applyBorder="1" applyAlignment="1">
      <alignment horizontal="center" vertical="center" wrapText="1"/>
    </xf>
    <xf numFmtId="0" fontId="6" fillId="29" borderId="79" xfId="0" applyFont="1" applyFill="1" applyBorder="1" applyAlignment="1">
      <alignment horizontal="center" vertical="center" wrapText="1"/>
    </xf>
    <xf numFmtId="0" fontId="6" fillId="29" borderId="77" xfId="0" applyFont="1" applyFill="1" applyBorder="1" applyAlignment="1">
      <alignment horizontal="center" vertical="center" wrapText="1"/>
    </xf>
    <xf numFmtId="0" fontId="6" fillId="29" borderId="77" xfId="41712" applyFont="1" applyFill="1" applyBorder="1" applyAlignment="1">
      <alignment horizontal="center" vertical="center" wrapText="1"/>
    </xf>
    <xf numFmtId="0" fontId="34" fillId="29" borderId="80" xfId="41712" applyFont="1" applyFill="1" applyBorder="1" applyAlignment="1">
      <alignment horizontal="center" vertical="center" wrapText="1"/>
    </xf>
    <xf numFmtId="0" fontId="6" fillId="25" borderId="76" xfId="41712" applyFont="1" applyFill="1" applyBorder="1" applyAlignment="1">
      <alignment horizontal="center" vertical="center" wrapText="1"/>
    </xf>
    <xf numFmtId="0" fontId="6" fillId="25" borderId="79" xfId="0" applyFont="1" applyFill="1" applyBorder="1" applyAlignment="1">
      <alignment horizontal="center" vertical="center" wrapText="1"/>
    </xf>
    <xf numFmtId="0" fontId="6" fillId="25" borderId="77" xfId="0" applyFont="1" applyFill="1" applyBorder="1" applyAlignment="1">
      <alignment horizontal="center" vertical="center" wrapText="1"/>
    </xf>
    <xf numFmtId="0" fontId="6" fillId="25" borderId="77" xfId="41712" applyFont="1" applyFill="1" applyBorder="1" applyAlignment="1">
      <alignment horizontal="center" vertical="center" wrapText="1"/>
    </xf>
    <xf numFmtId="0" fontId="34" fillId="25" borderId="77" xfId="41712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0" xfId="0" applyFont="1" applyFill="1"/>
    <xf numFmtId="14" fontId="0" fillId="2" borderId="0" xfId="0" applyNumberFormat="1" applyFill="1"/>
    <xf numFmtId="164" fontId="0" fillId="2" borderId="0" xfId="0" applyNumberFormat="1" applyFill="1"/>
    <xf numFmtId="0" fontId="40" fillId="2" borderId="0" xfId="0" applyFont="1" applyFill="1"/>
    <xf numFmtId="9" fontId="0" fillId="2" borderId="0" xfId="1" applyFont="1" applyFill="1"/>
    <xf numFmtId="0" fontId="3" fillId="40" borderId="104" xfId="0" applyFont="1" applyFill="1" applyBorder="1" applyAlignment="1">
      <alignment horizontal="left"/>
    </xf>
    <xf numFmtId="0" fontId="3" fillId="40" borderId="104" xfId="0" applyNumberFormat="1" applyFont="1" applyFill="1" applyBorder="1"/>
    <xf numFmtId="164" fontId="0" fillId="2" borderId="0" xfId="0" applyNumberFormat="1" applyFont="1" applyFill="1"/>
    <xf numFmtId="1" fontId="0" fillId="2" borderId="0" xfId="0" applyNumberFormat="1" applyFill="1"/>
    <xf numFmtId="14" fontId="53" fillId="0" borderId="77" xfId="0" applyNumberFormat="1" applyFont="1" applyFill="1" applyBorder="1" applyAlignment="1">
      <alignment horizontal="center" vertical="top" wrapText="1"/>
    </xf>
    <xf numFmtId="0" fontId="53" fillId="30" borderId="77" xfId="0" applyFont="1" applyFill="1" applyBorder="1" applyAlignment="1">
      <alignment horizontal="center" vertical="top" wrapText="1"/>
    </xf>
    <xf numFmtId="0" fontId="0" fillId="0" borderId="0" xfId="0" applyNumberFormat="1"/>
    <xf numFmtId="171" fontId="6" fillId="32" borderId="92" xfId="0" applyNumberFormat="1" applyFont="1" applyFill="1" applyBorder="1" applyAlignment="1">
      <alignment horizontal="center" vertical="center"/>
    </xf>
    <xf numFmtId="171" fontId="0" fillId="32" borderId="91" xfId="0" applyNumberFormat="1" applyFill="1" applyBorder="1" applyAlignment="1">
      <alignment horizontal="center" vertical="center"/>
    </xf>
    <xf numFmtId="171" fontId="6" fillId="32" borderId="91" xfId="0" applyNumberFormat="1" applyFont="1" applyFill="1" applyBorder="1" applyAlignment="1">
      <alignment horizontal="center" vertical="center"/>
    </xf>
    <xf numFmtId="171" fontId="6" fillId="32" borderId="19" xfId="0" applyNumberFormat="1" applyFont="1" applyFill="1" applyBorder="1" applyAlignment="1">
      <alignment horizontal="center" vertical="center"/>
    </xf>
    <xf numFmtId="0" fontId="43" fillId="2" borderId="77" xfId="0" applyFont="1" applyFill="1" applyBorder="1"/>
    <xf numFmtId="166" fontId="44" fillId="2" borderId="77" xfId="0" applyNumberFormat="1" applyFont="1" applyFill="1" applyBorder="1"/>
    <xf numFmtId="0" fontId="44" fillId="2" borderId="77" xfId="0" applyFont="1" applyFill="1" applyBorder="1" applyAlignment="1">
      <alignment horizontal="left" wrapText="1"/>
    </xf>
    <xf numFmtId="0" fontId="44" fillId="2" borderId="19" xfId="0" applyFont="1" applyFill="1" applyBorder="1" applyAlignment="1">
      <alignment horizontal="left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/>
    </xf>
    <xf numFmtId="0" fontId="64" fillId="0" borderId="0" xfId="0" applyFont="1"/>
    <xf numFmtId="1" fontId="43" fillId="29" borderId="77" xfId="0" applyNumberFormat="1" applyFont="1" applyFill="1" applyBorder="1" applyAlignment="1">
      <alignment horizontal="center" vertical="center"/>
    </xf>
    <xf numFmtId="0" fontId="65" fillId="2" borderId="0" xfId="0" applyFont="1" applyFill="1" applyAlignment="1">
      <alignment horizontal="left"/>
    </xf>
    <xf numFmtId="0" fontId="3" fillId="34" borderId="5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2" xfId="0" applyFont="1" applyFill="1" applyBorder="1"/>
    <xf numFmtId="0" fontId="66" fillId="2" borderId="22" xfId="0" applyFont="1" applyFill="1" applyBorder="1"/>
    <xf numFmtId="0" fontId="66" fillId="2" borderId="0" xfId="0" applyFont="1" applyFill="1"/>
    <xf numFmtId="0" fontId="67" fillId="0" borderId="0" xfId="0" applyFont="1"/>
    <xf numFmtId="0" fontId="53" fillId="2" borderId="24" xfId="0" applyFont="1" applyFill="1" applyBorder="1" applyAlignment="1">
      <alignment horizontal="left"/>
    </xf>
    <xf numFmtId="0" fontId="53" fillId="2" borderId="24" xfId="0" applyNumberFormat="1" applyFont="1" applyFill="1" applyBorder="1"/>
    <xf numFmtId="0" fontId="53" fillId="40" borderId="0" xfId="0" applyNumberFormat="1" applyFont="1" applyFill="1" applyBorder="1"/>
    <xf numFmtId="0" fontId="53" fillId="40" borderId="90" xfId="0" applyNumberFormat="1" applyFont="1" applyFill="1" applyBorder="1"/>
    <xf numFmtId="0" fontId="53" fillId="40" borderId="84" xfId="0" applyNumberFormat="1" applyFont="1" applyFill="1" applyBorder="1"/>
    <xf numFmtId="0" fontId="68" fillId="2" borderId="0" xfId="0" applyFont="1" applyFill="1" applyAlignment="1">
      <alignment horizontal="left"/>
    </xf>
    <xf numFmtId="0" fontId="45" fillId="2" borderId="0" xfId="0" applyFont="1" applyFill="1" applyAlignment="1">
      <alignment horizontal="left"/>
    </xf>
    <xf numFmtId="0" fontId="53" fillId="2" borderId="19" xfId="0" applyFont="1" applyFill="1" applyBorder="1"/>
    <xf numFmtId="164" fontId="45" fillId="2" borderId="0" xfId="0" applyNumberFormat="1" applyFont="1" applyFill="1" applyAlignment="1">
      <alignment horizontal="left"/>
    </xf>
    <xf numFmtId="0" fontId="53" fillId="2" borderId="0" xfId="0" applyFont="1" applyFill="1"/>
    <xf numFmtId="0" fontId="69" fillId="2" borderId="0" xfId="0" applyFont="1" applyFill="1" applyAlignment="1">
      <alignment horizontal="left"/>
    </xf>
    <xf numFmtId="9" fontId="2" fillId="27" borderId="77" xfId="1" applyNumberFormat="1" applyFont="1" applyFill="1" applyBorder="1" applyAlignment="1">
      <alignment horizontal="center"/>
    </xf>
    <xf numFmtId="0" fontId="48" fillId="34" borderId="66" xfId="0" applyFont="1" applyFill="1" applyBorder="1" applyAlignment="1">
      <alignment horizontal="center" vertical="center"/>
    </xf>
    <xf numFmtId="164" fontId="48" fillId="34" borderId="24" xfId="0" applyNumberFormat="1" applyFont="1" applyFill="1" applyBorder="1" applyAlignment="1">
      <alignment horizontal="center" vertical="center"/>
    </xf>
    <xf numFmtId="164" fontId="48" fillId="34" borderId="26" xfId="0" applyNumberFormat="1" applyFont="1" applyFill="1" applyBorder="1" applyAlignment="1">
      <alignment horizontal="center" vertical="center"/>
    </xf>
    <xf numFmtId="164" fontId="48" fillId="34" borderId="66" xfId="0" applyNumberFormat="1" applyFont="1" applyFill="1" applyBorder="1" applyAlignment="1">
      <alignment horizontal="center" vertical="center"/>
    </xf>
    <xf numFmtId="10" fontId="48" fillId="34" borderId="24" xfId="1" applyNumberFormat="1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0" fillId="0" borderId="5" xfId="0" applyNumberFormat="1" applyBorder="1"/>
    <xf numFmtId="164" fontId="0" fillId="27" borderId="109" xfId="0" applyNumberFormat="1" applyFill="1" applyBorder="1" applyAlignment="1">
      <alignment horizontal="center"/>
    </xf>
    <xf numFmtId="164" fontId="0" fillId="2" borderId="109" xfId="0" applyNumberFormat="1" applyFont="1" applyFill="1" applyBorder="1" applyAlignment="1">
      <alignment horizontal="center"/>
    </xf>
    <xf numFmtId="9" fontId="1" fillId="27" borderId="109" xfId="1" applyNumberFormat="1" applyFont="1" applyFill="1" applyBorder="1" applyAlignment="1">
      <alignment horizontal="center"/>
    </xf>
    <xf numFmtId="0" fontId="6" fillId="36" borderId="110" xfId="0" applyFont="1" applyFill="1" applyBorder="1" applyAlignment="1">
      <alignment horizontal="center" vertical="center"/>
    </xf>
    <xf numFmtId="164" fontId="0" fillId="2" borderId="71" xfId="0" applyNumberFormat="1" applyFill="1" applyBorder="1"/>
    <xf numFmtId="0" fontId="0" fillId="27" borderId="98" xfId="0" applyFont="1" applyFill="1" applyBorder="1"/>
    <xf numFmtId="164" fontId="0" fillId="27" borderId="99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7" borderId="11" xfId="0" applyNumberFormat="1" applyFill="1" applyBorder="1" applyAlignment="1">
      <alignment horizontal="center"/>
    </xf>
    <xf numFmtId="0" fontId="0" fillId="0" borderId="111" xfId="0" applyNumberFormat="1" applyBorder="1"/>
    <xf numFmtId="2" fontId="0" fillId="27" borderId="112" xfId="0" applyNumberFormat="1" applyFill="1" applyBorder="1" applyAlignment="1">
      <alignment horizontal="center"/>
    </xf>
    <xf numFmtId="9" fontId="1" fillId="27" borderId="12" xfId="1" applyNumberFormat="1" applyFont="1" applyFill="1" applyBorder="1" applyAlignment="1">
      <alignment horizontal="center"/>
    </xf>
    <xf numFmtId="0" fontId="0" fillId="41" borderId="77" xfId="0" applyFill="1" applyBorder="1" applyAlignment="1">
      <alignment horizontal="left" indent="1"/>
    </xf>
    <xf numFmtId="0" fontId="0" fillId="41" borderId="0" xfId="0" applyNumberFormat="1" applyFill="1"/>
    <xf numFmtId="0" fontId="0" fillId="28" borderId="77" xfId="0" applyNumberFormat="1" applyFill="1" applyBorder="1"/>
    <xf numFmtId="0" fontId="70" fillId="28" borderId="77" xfId="0" applyFont="1" applyFill="1" applyBorder="1"/>
    <xf numFmtId="0" fontId="0" fillId="41" borderId="77" xfId="0" applyNumberFormat="1" applyFill="1" applyBorder="1"/>
    <xf numFmtId="0" fontId="6" fillId="41" borderId="77" xfId="0" applyFont="1" applyFill="1" applyBorder="1" applyAlignment="1">
      <alignment horizontal="center"/>
    </xf>
    <xf numFmtId="0" fontId="6" fillId="28" borderId="77" xfId="0" applyNumberFormat="1" applyFont="1" applyFill="1" applyBorder="1" applyAlignment="1">
      <alignment horizontal="center"/>
    </xf>
    <xf numFmtId="0" fontId="0" fillId="28" borderId="0" xfId="0" applyNumberFormat="1" applyFill="1"/>
    <xf numFmtId="0" fontId="2" fillId="41" borderId="77" xfId="0" applyNumberFormat="1" applyFont="1" applyFill="1" applyBorder="1"/>
    <xf numFmtId="0" fontId="2" fillId="28" borderId="77" xfId="0" applyNumberFormat="1" applyFont="1" applyFill="1" applyBorder="1"/>
    <xf numFmtId="0" fontId="6" fillId="41" borderId="77" xfId="0" applyFont="1" applyFill="1" applyBorder="1" applyAlignment="1">
      <alignment horizontal="left" indent="1"/>
    </xf>
    <xf numFmtId="0" fontId="30" fillId="41" borderId="77" xfId="0" applyNumberFormat="1" applyFont="1" applyFill="1" applyBorder="1"/>
    <xf numFmtId="0" fontId="30" fillId="28" borderId="77" xfId="0" applyNumberFormat="1" applyFont="1" applyFill="1" applyBorder="1"/>
    <xf numFmtId="0" fontId="6" fillId="28" borderId="77" xfId="0" applyNumberFormat="1" applyFont="1" applyFill="1" applyBorder="1"/>
    <xf numFmtId="0" fontId="70" fillId="27" borderId="77" xfId="0" applyFont="1" applyFill="1" applyBorder="1"/>
    <xf numFmtId="0" fontId="0" fillId="27" borderId="77" xfId="0" applyFill="1" applyBorder="1" applyAlignment="1">
      <alignment horizontal="left" indent="1"/>
    </xf>
    <xf numFmtId="0" fontId="0" fillId="27" borderId="0" xfId="0" applyFill="1" applyAlignment="1">
      <alignment horizontal="left" indent="2"/>
    </xf>
    <xf numFmtId="0" fontId="3" fillId="27" borderId="77" xfId="0" applyFont="1" applyFill="1" applyBorder="1"/>
    <xf numFmtId="0" fontId="2" fillId="0" borderId="4" xfId="0" applyNumberFormat="1" applyFont="1" applyBorder="1"/>
    <xf numFmtId="164" fontId="48" fillId="34" borderId="53" xfId="0" applyNumberFormat="1" applyFont="1" applyFill="1" applyBorder="1" applyAlignment="1">
      <alignment horizontal="center"/>
    </xf>
    <xf numFmtId="164" fontId="63" fillId="2" borderId="57" xfId="0" applyNumberFormat="1" applyFont="1" applyFill="1" applyBorder="1" applyAlignment="1">
      <alignment horizontal="center"/>
    </xf>
    <xf numFmtId="0" fontId="53" fillId="2" borderId="0" xfId="0" applyFont="1" applyFill="1" applyAlignment="1">
      <alignment horizontal="left"/>
    </xf>
    <xf numFmtId="0" fontId="53" fillId="0" borderId="0" xfId="0" applyNumberFormat="1" applyFont="1"/>
    <xf numFmtId="0" fontId="53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vertical="center"/>
    </xf>
    <xf numFmtId="0" fontId="53" fillId="2" borderId="0" xfId="0" applyFont="1" applyFill="1" applyAlignment="1">
      <alignment horizontal="center" vertical="center"/>
    </xf>
    <xf numFmtId="0" fontId="53" fillId="30" borderId="26" xfId="0" applyNumberFormat="1" applyFont="1" applyFill="1" applyBorder="1"/>
    <xf numFmtId="0" fontId="53" fillId="40" borderId="79" xfId="0" applyNumberFormat="1" applyFont="1" applyFill="1" applyBorder="1"/>
    <xf numFmtId="0" fontId="53" fillId="40" borderId="77" xfId="0" applyNumberFormat="1" applyFont="1" applyFill="1" applyBorder="1"/>
    <xf numFmtId="1" fontId="30" fillId="2" borderId="53" xfId="0" applyNumberFormat="1" applyFont="1" applyFill="1" applyBorder="1" applyAlignment="1">
      <alignment horizontal="center"/>
    </xf>
    <xf numFmtId="1" fontId="30" fillId="2" borderId="51" xfId="0" applyNumberFormat="1" applyFont="1" applyFill="1" applyBorder="1" applyAlignment="1">
      <alignment horizontal="center"/>
    </xf>
    <xf numFmtId="9" fontId="30" fillId="2" borderId="52" xfId="1" applyFont="1" applyFill="1" applyBorder="1" applyAlignment="1">
      <alignment horizontal="center"/>
    </xf>
    <xf numFmtId="0" fontId="30" fillId="27" borderId="60" xfId="0" applyFont="1" applyFill="1" applyBorder="1" applyAlignment="1">
      <alignment horizontal="left"/>
    </xf>
    <xf numFmtId="1" fontId="0" fillId="2" borderId="109" xfId="0" applyNumberFormat="1" applyFill="1" applyBorder="1" applyAlignment="1">
      <alignment horizontal="center"/>
    </xf>
    <xf numFmtId="1" fontId="0" fillId="2" borderId="109" xfId="0" applyNumberFormat="1" applyFill="1" applyBorder="1" applyAlignment="1">
      <alignment horizontal="center" vertical="center"/>
    </xf>
    <xf numFmtId="170" fontId="0" fillId="2" borderId="109" xfId="0" applyNumberFormat="1" applyFill="1" applyBorder="1" applyAlignment="1">
      <alignment horizontal="center"/>
    </xf>
    <xf numFmtId="1" fontId="6" fillId="2" borderId="109" xfId="0" applyNumberFormat="1" applyFont="1" applyFill="1" applyBorder="1" applyAlignment="1">
      <alignment horizontal="center"/>
    </xf>
    <xf numFmtId="9" fontId="6" fillId="2" borderId="110" xfId="1" applyFont="1" applyFill="1" applyBorder="1" applyAlignment="1">
      <alignment horizontal="center"/>
    </xf>
    <xf numFmtId="1" fontId="0" fillId="2" borderId="77" xfId="0" applyNumberFormat="1" applyFill="1" applyBorder="1" applyAlignment="1">
      <alignment horizontal="center"/>
    </xf>
    <xf numFmtId="1" fontId="6" fillId="2" borderId="77" xfId="0" applyNumberFormat="1" applyFont="1" applyFill="1" applyBorder="1" applyAlignment="1">
      <alignment horizontal="center"/>
    </xf>
    <xf numFmtId="9" fontId="6" fillId="2" borderId="80" xfId="1" applyFont="1" applyFill="1" applyBorder="1" applyAlignment="1">
      <alignment horizontal="center"/>
    </xf>
    <xf numFmtId="164" fontId="0" fillId="2" borderId="77" xfId="0" applyNumberFormat="1" applyFill="1" applyBorder="1" applyAlignment="1">
      <alignment horizontal="center"/>
    </xf>
    <xf numFmtId="1" fontId="0" fillId="2" borderId="79" xfId="0" applyNumberFormat="1" applyFill="1" applyBorder="1" applyAlignment="1">
      <alignment horizontal="center"/>
    </xf>
    <xf numFmtId="1" fontId="0" fillId="2" borderId="89" xfId="0" applyNumberFormat="1" applyFill="1" applyBorder="1" applyAlignment="1">
      <alignment horizontal="center"/>
    </xf>
    <xf numFmtId="0" fontId="0" fillId="27" borderId="103" xfId="0" applyFill="1" applyBorder="1"/>
    <xf numFmtId="0" fontId="0" fillId="27" borderId="114" xfId="0" applyFill="1" applyBorder="1"/>
    <xf numFmtId="0" fontId="0" fillId="27" borderId="115" xfId="0" applyFill="1" applyBorder="1"/>
    <xf numFmtId="1" fontId="30" fillId="25" borderId="53" xfId="0" applyNumberFormat="1" applyFont="1" applyFill="1" applyBorder="1" applyAlignment="1">
      <alignment horizontal="center" vertical="center"/>
    </xf>
    <xf numFmtId="1" fontId="30" fillId="25" borderId="51" xfId="0" applyNumberFormat="1" applyFont="1" applyFill="1" applyBorder="1" applyAlignment="1">
      <alignment horizontal="center" vertical="center"/>
    </xf>
    <xf numFmtId="9" fontId="30" fillId="25" borderId="52" xfId="1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 wrapText="1"/>
    </xf>
    <xf numFmtId="0" fontId="5" fillId="25" borderId="40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40" borderId="90" xfId="0" applyFont="1" applyFill="1" applyBorder="1"/>
    <xf numFmtId="0" fontId="53" fillId="2" borderId="109" xfId="0" applyFont="1" applyFill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3" fillId="40" borderId="105" xfId="0" applyFont="1" applyFill="1" applyBorder="1" applyAlignment="1">
      <alignment horizontal="center"/>
    </xf>
    <xf numFmtId="0" fontId="3" fillId="40" borderId="106" xfId="0" applyFont="1" applyFill="1" applyBorder="1" applyAlignment="1">
      <alignment horizontal="center"/>
    </xf>
    <xf numFmtId="0" fontId="3" fillId="40" borderId="108" xfId="0" applyFont="1" applyFill="1" applyBorder="1" applyAlignment="1">
      <alignment horizontal="center"/>
    </xf>
    <xf numFmtId="0" fontId="6" fillId="41" borderId="79" xfId="0" applyFont="1" applyFill="1" applyBorder="1" applyAlignment="1">
      <alignment horizontal="center"/>
    </xf>
    <xf numFmtId="0" fontId="3" fillId="34" borderId="7" xfId="0" applyFont="1" applyFill="1" applyBorder="1" applyAlignment="1">
      <alignment horizontal="center" vertical="center" wrapText="1"/>
    </xf>
    <xf numFmtId="0" fontId="0" fillId="27" borderId="19" xfId="0" applyFill="1" applyBorder="1" applyAlignment="1">
      <alignment horizontal="left" indent="1"/>
    </xf>
    <xf numFmtId="0" fontId="3" fillId="27" borderId="54" xfId="0" applyFont="1" applyFill="1" applyBorder="1"/>
    <xf numFmtId="0" fontId="0" fillId="0" borderId="77" xfId="0" applyBorder="1"/>
    <xf numFmtId="0" fontId="6" fillId="2" borderId="77" xfId="0" applyNumberFormat="1" applyFont="1" applyFill="1" applyBorder="1"/>
    <xf numFmtId="14" fontId="50" fillId="29" borderId="77" xfId="0" applyNumberFormat="1" applyFont="1" applyFill="1" applyBorder="1" applyAlignment="1">
      <alignment horizontal="center" vertical="center" wrapText="1"/>
    </xf>
    <xf numFmtId="0" fontId="50" fillId="29" borderId="19" xfId="0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/>
    <xf numFmtId="0" fontId="0" fillId="0" borderId="0" xfId="0" applyNumberFormat="1" applyAlignment="1">
      <alignment horizontal="left"/>
    </xf>
    <xf numFmtId="0" fontId="53" fillId="30" borderId="0" xfId="0" applyNumberFormat="1" applyFont="1" applyFill="1" applyBorder="1"/>
    <xf numFmtId="0" fontId="30" fillId="2" borderId="77" xfId="0" applyFont="1" applyFill="1" applyBorder="1" applyAlignment="1"/>
    <xf numFmtId="0" fontId="3" fillId="0" borderId="0" xfId="0" applyFont="1" applyAlignment="1">
      <alignment horizontal="left"/>
    </xf>
    <xf numFmtId="0" fontId="0" fillId="27" borderId="79" xfId="0" applyFill="1" applyBorder="1" applyAlignment="1"/>
    <xf numFmtId="0" fontId="0" fillId="27" borderId="79" xfId="0" applyFill="1" applyBorder="1" applyAlignment="1">
      <alignment horizontal="left" indent="1"/>
    </xf>
    <xf numFmtId="0" fontId="3" fillId="0" borderId="77" xfId="0" applyFont="1" applyBorder="1" applyAlignment="1">
      <alignment horizontal="left"/>
    </xf>
    <xf numFmtId="0" fontId="0" fillId="41" borderId="17" xfId="0" applyFont="1" applyFill="1" applyBorder="1" applyAlignment="1">
      <alignment horizontal="left" indent="1"/>
    </xf>
    <xf numFmtId="0" fontId="0" fillId="0" borderId="77" xfId="0" applyNumberFormat="1" applyFont="1" applyBorder="1"/>
    <xf numFmtId="0" fontId="0" fillId="28" borderId="77" xfId="0" applyNumberFormat="1" applyFont="1" applyFill="1" applyBorder="1"/>
    <xf numFmtId="0" fontId="0" fillId="41" borderId="79" xfId="0" applyFont="1" applyFill="1" applyBorder="1" applyAlignment="1">
      <alignment horizontal="left" indent="1"/>
    </xf>
    <xf numFmtId="0" fontId="0" fillId="41" borderId="77" xfId="0" applyNumberFormat="1" applyFont="1" applyFill="1" applyBorder="1"/>
    <xf numFmtId="0" fontId="0" fillId="41" borderId="79" xfId="0" applyNumberFormat="1" applyFont="1" applyFill="1" applyBorder="1"/>
    <xf numFmtId="0" fontId="30" fillId="25" borderId="1" xfId="0" applyFont="1" applyFill="1" applyBorder="1" applyAlignment="1">
      <alignment horizontal="center" vertical="center" wrapText="1"/>
    </xf>
    <xf numFmtId="0" fontId="30" fillId="25" borderId="60" xfId="0" applyFont="1" applyFill="1" applyBorder="1" applyAlignment="1">
      <alignment horizontal="center" vertical="center" wrapText="1"/>
    </xf>
    <xf numFmtId="168" fontId="0" fillId="30" borderId="10" xfId="0" applyNumberFormat="1" applyFont="1" applyFill="1" applyBorder="1" applyAlignment="1">
      <alignment horizontal="center" vertical="center"/>
    </xf>
    <xf numFmtId="168" fontId="0" fillId="30" borderId="12" xfId="0" applyNumberFormat="1" applyFont="1" applyFill="1" applyBorder="1" applyAlignment="1">
      <alignment horizontal="center" vertical="center"/>
    </xf>
    <xf numFmtId="168" fontId="0" fillId="30" borderId="13" xfId="0" applyNumberFormat="1" applyFont="1" applyFill="1" applyBorder="1" applyAlignment="1">
      <alignment horizontal="center" vertical="center"/>
    </xf>
    <xf numFmtId="167" fontId="6" fillId="27" borderId="10" xfId="0" applyNumberFormat="1" applyFont="1" applyFill="1" applyBorder="1" applyAlignment="1">
      <alignment horizontal="center"/>
    </xf>
    <xf numFmtId="167" fontId="6" fillId="27" borderId="12" xfId="0" applyNumberFormat="1" applyFont="1" applyFill="1" applyBorder="1" applyAlignment="1">
      <alignment horizontal="center"/>
    </xf>
    <xf numFmtId="167" fontId="6" fillId="27" borderId="13" xfId="0" applyNumberFormat="1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 wrapText="1"/>
    </xf>
    <xf numFmtId="0" fontId="30" fillId="27" borderId="48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/>
    </xf>
    <xf numFmtId="0" fontId="4" fillId="30" borderId="47" xfId="0" applyFont="1" applyFill="1" applyBorder="1" applyAlignment="1">
      <alignment horizontal="center" vertical="center"/>
    </xf>
    <xf numFmtId="0" fontId="0" fillId="30" borderId="22" xfId="0" applyFill="1" applyBorder="1" applyAlignment="1">
      <alignment horizontal="center" wrapText="1"/>
    </xf>
    <xf numFmtId="0" fontId="0" fillId="30" borderId="0" xfId="0" applyFont="1" applyFill="1" applyBorder="1" applyAlignment="1">
      <alignment horizontal="center" wrapText="1"/>
    </xf>
    <xf numFmtId="0" fontId="0" fillId="30" borderId="48" xfId="0" applyFont="1" applyFill="1" applyBorder="1" applyAlignment="1">
      <alignment horizont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" xfId="0" applyFont="1" applyFill="1" applyBorder="1" applyAlignment="1">
      <alignment horizontal="center" vertical="center" wrapText="1"/>
    </xf>
    <xf numFmtId="0" fontId="48" fillId="34" borderId="60" xfId="0" applyFont="1" applyFill="1" applyBorder="1" applyAlignment="1">
      <alignment horizontal="center" vertical="center" wrapText="1"/>
    </xf>
    <xf numFmtId="0" fontId="0" fillId="27" borderId="8" xfId="0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 wrapText="1"/>
    </xf>
    <xf numFmtId="0" fontId="0" fillId="29" borderId="91" xfId="0" applyFill="1" applyBorder="1" applyAlignment="1">
      <alignment horizontal="center" vertical="center"/>
    </xf>
    <xf numFmtId="0" fontId="0" fillId="29" borderId="19" xfId="0" applyFill="1" applyBorder="1" applyAlignment="1">
      <alignment horizontal="center" vertical="center"/>
    </xf>
    <xf numFmtId="0" fontId="0" fillId="29" borderId="78" xfId="0" applyFill="1" applyBorder="1" applyAlignment="1">
      <alignment horizontal="center" vertical="center"/>
    </xf>
    <xf numFmtId="0" fontId="0" fillId="29" borderId="78" xfId="0" applyFont="1" applyFill="1" applyBorder="1" applyAlignment="1">
      <alignment horizontal="center" vertical="center"/>
    </xf>
    <xf numFmtId="0" fontId="0" fillId="29" borderId="88" xfId="0" applyFont="1" applyFill="1" applyBorder="1" applyAlignment="1">
      <alignment horizontal="center" vertical="center"/>
    </xf>
    <xf numFmtId="0" fontId="4" fillId="32" borderId="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168" fontId="6" fillId="32" borderId="22" xfId="0" applyNumberFormat="1" applyFont="1" applyFill="1" applyBorder="1" applyAlignment="1">
      <alignment horizontal="center" vertical="center"/>
    </xf>
    <xf numFmtId="168" fontId="6" fillId="32" borderId="0" xfId="0" applyNumberFormat="1" applyFont="1" applyFill="1" applyBorder="1" applyAlignment="1">
      <alignment horizontal="center" vertical="center"/>
    </xf>
    <xf numFmtId="168" fontId="6" fillId="32" borderId="48" xfId="0" applyNumberFormat="1" applyFont="1" applyFill="1" applyBorder="1" applyAlignment="1">
      <alignment horizontal="center" vertical="center"/>
    </xf>
    <xf numFmtId="0" fontId="3" fillId="29" borderId="61" xfId="0" applyFont="1" applyFill="1" applyBorder="1" applyAlignment="1">
      <alignment horizontal="center" vertical="center"/>
    </xf>
    <xf numFmtId="0" fontId="3" fillId="29" borderId="46" xfId="0" applyFont="1" applyFill="1" applyBorder="1" applyAlignment="1">
      <alignment horizontal="center" vertical="center"/>
    </xf>
    <xf numFmtId="0" fontId="3" fillId="29" borderId="22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0" fontId="3" fillId="29" borderId="56" xfId="0" applyFont="1" applyFill="1" applyBorder="1" applyAlignment="1">
      <alignment horizontal="center" vertical="center" wrapText="1"/>
    </xf>
    <xf numFmtId="0" fontId="3" fillId="29" borderId="74" xfId="0" applyFont="1" applyFill="1" applyBorder="1" applyAlignment="1">
      <alignment horizontal="center" vertical="center" wrapText="1"/>
    </xf>
    <xf numFmtId="0" fontId="3" fillId="29" borderId="43" xfId="0" applyFont="1" applyFill="1" applyBorder="1" applyAlignment="1">
      <alignment horizontal="center" vertical="center" wrapText="1"/>
    </xf>
    <xf numFmtId="0" fontId="0" fillId="29" borderId="57" xfId="0" applyFill="1" applyBorder="1" applyAlignment="1">
      <alignment horizontal="center" vertical="center"/>
    </xf>
    <xf numFmtId="0" fontId="3" fillId="29" borderId="63" xfId="0" applyFont="1" applyFill="1" applyBorder="1" applyAlignment="1">
      <alignment horizontal="center" vertical="center"/>
    </xf>
    <xf numFmtId="168" fontId="6" fillId="32" borderId="23" xfId="0" applyNumberFormat="1" applyFont="1" applyFill="1" applyBorder="1" applyAlignment="1">
      <alignment horizontal="center" vertical="center"/>
    </xf>
    <xf numFmtId="168" fontId="6" fillId="32" borderId="20" xfId="0" applyNumberFormat="1" applyFont="1" applyFill="1" applyBorder="1" applyAlignment="1">
      <alignment horizontal="center" vertical="center"/>
    </xf>
    <xf numFmtId="168" fontId="6" fillId="32" borderId="49" xfId="0" applyNumberFormat="1" applyFont="1" applyFill="1" applyBorder="1" applyAlignment="1">
      <alignment horizontal="center" vertical="center"/>
    </xf>
    <xf numFmtId="0" fontId="0" fillId="29" borderId="73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167" fontId="0" fillId="30" borderId="23" xfId="0" applyNumberFormat="1" applyFill="1" applyBorder="1" applyAlignment="1">
      <alignment horizontal="center"/>
    </xf>
    <xf numFmtId="167" fontId="0" fillId="30" borderId="20" xfId="0" applyNumberFormat="1" applyFill="1" applyBorder="1" applyAlignment="1">
      <alignment horizontal="center"/>
    </xf>
    <xf numFmtId="167" fontId="0" fillId="30" borderId="49" xfId="0" applyNumberFormat="1" applyFill="1" applyBorder="1" applyAlignment="1">
      <alignment horizontal="center"/>
    </xf>
    <xf numFmtId="0" fontId="48" fillId="25" borderId="7" xfId="0" applyFont="1" applyFill="1" applyBorder="1" applyAlignment="1">
      <alignment horizontal="center" vertical="center" wrapText="1"/>
    </xf>
    <xf numFmtId="0" fontId="48" fillId="25" borderId="64" xfId="0" applyFont="1" applyFill="1" applyBorder="1" applyAlignment="1">
      <alignment horizontal="center" vertical="center" wrapText="1"/>
    </xf>
    <xf numFmtId="10" fontId="48" fillId="25" borderId="7" xfId="1" applyNumberFormat="1" applyFont="1" applyFill="1" applyBorder="1" applyAlignment="1">
      <alignment horizontal="center" vertical="center" wrapText="1"/>
    </xf>
    <xf numFmtId="10" fontId="48" fillId="25" borderId="64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99" xfId="0" applyNumberForma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10" fontId="0" fillId="0" borderId="100" xfId="1" applyNumberFormat="1" applyFont="1" applyFill="1" applyBorder="1" applyAlignment="1">
      <alignment horizontal="center" vertical="center"/>
    </xf>
    <xf numFmtId="0" fontId="0" fillId="27" borderId="48" xfId="0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98" xfId="0" applyNumberFormat="1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48" fillId="34" borderId="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7" xfId="0" applyFont="1" applyFill="1" applyBorder="1" applyAlignment="1">
      <alignment horizontal="center" vertical="center" wrapText="1"/>
    </xf>
    <xf numFmtId="0" fontId="48" fillId="34" borderId="64" xfId="0" applyFont="1" applyFill="1" applyBorder="1" applyAlignment="1">
      <alignment horizontal="center" vertical="center" wrapText="1"/>
    </xf>
    <xf numFmtId="0" fontId="48" fillId="34" borderId="8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/>
    </xf>
    <xf numFmtId="0" fontId="41" fillId="34" borderId="8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/>
    </xf>
    <xf numFmtId="0" fontId="41" fillId="34" borderId="47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5" xfId="0" applyFont="1" applyFill="1" applyBorder="1" applyAlignment="1">
      <alignment horizontal="center" vertical="center"/>
    </xf>
    <xf numFmtId="0" fontId="48" fillId="34" borderId="7" xfId="0" applyFont="1" applyFill="1" applyBorder="1" applyAlignment="1">
      <alignment horizontal="center" vertical="center"/>
    </xf>
    <xf numFmtId="172" fontId="42" fillId="34" borderId="12" xfId="0" applyNumberFormat="1" applyFont="1" applyFill="1" applyBorder="1" applyAlignment="1">
      <alignment horizontal="center" vertical="center"/>
    </xf>
    <xf numFmtId="0" fontId="47" fillId="27" borderId="102" xfId="0" applyFont="1" applyFill="1" applyBorder="1" applyAlignment="1">
      <alignment horizontal="center" vertical="center" wrapText="1"/>
    </xf>
    <xf numFmtId="0" fontId="47" fillId="27" borderId="103" xfId="0" applyFont="1" applyFill="1" applyBorder="1" applyAlignment="1">
      <alignment horizontal="center" vertical="center" wrapText="1"/>
    </xf>
    <xf numFmtId="2" fontId="0" fillId="0" borderId="76" xfId="0" applyNumberFormat="1" applyFill="1" applyBorder="1" applyAlignment="1">
      <alignment horizontal="center" vertical="center"/>
    </xf>
    <xf numFmtId="2" fontId="0" fillId="0" borderId="77" xfId="0" applyNumberFormat="1" applyFill="1" applyBorder="1" applyAlignment="1">
      <alignment horizontal="center" vertical="center"/>
    </xf>
    <xf numFmtId="0" fontId="47" fillId="27" borderId="9" xfId="0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10" fontId="6" fillId="30" borderId="101" xfId="0" applyNumberFormat="1" applyFont="1" applyFill="1" applyBorder="1" applyAlignment="1">
      <alignment horizontal="center" vertical="center"/>
    </xf>
    <xf numFmtId="10" fontId="6" fillId="30" borderId="49" xfId="0" applyNumberFormat="1" applyFont="1" applyFill="1" applyBorder="1" applyAlignment="1">
      <alignment horizontal="center" vertical="center"/>
    </xf>
    <xf numFmtId="2" fontId="6" fillId="0" borderId="77" xfId="0" applyNumberFormat="1" applyFont="1" applyFill="1" applyBorder="1" applyAlignment="1">
      <alignment horizontal="center" vertical="center"/>
    </xf>
    <xf numFmtId="10" fontId="0" fillId="0" borderId="80" xfId="1" applyNumberFormat="1" applyFont="1" applyFill="1" applyBorder="1" applyAlignment="1">
      <alignment horizontal="center" vertical="center"/>
    </xf>
    <xf numFmtId="10" fontId="0" fillId="0" borderId="97" xfId="1" applyNumberFormat="1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 wrapText="1"/>
    </xf>
    <xf numFmtId="2" fontId="0" fillId="0" borderId="96" xfId="0" applyNumberFormat="1" applyFill="1" applyBorder="1" applyAlignment="1">
      <alignment horizontal="center" vertical="center"/>
    </xf>
    <xf numFmtId="2" fontId="0" fillId="0" borderId="91" xfId="0" applyNumberFormat="1" applyFill="1" applyBorder="1" applyAlignment="1">
      <alignment horizontal="center" vertical="center"/>
    </xf>
    <xf numFmtId="0" fontId="47" fillId="27" borderId="102" xfId="0" applyFont="1" applyFill="1" applyBorder="1" applyAlignment="1">
      <alignment horizontal="center" vertical="center"/>
    </xf>
    <xf numFmtId="0" fontId="47" fillId="27" borderId="14" xfId="0" applyFont="1" applyFill="1" applyBorder="1" applyAlignment="1">
      <alignment horizontal="center" vertical="center"/>
    </xf>
    <xf numFmtId="169" fontId="48" fillId="34" borderId="26" xfId="0" applyNumberFormat="1" applyFont="1" applyFill="1" applyBorder="1" applyAlignment="1">
      <alignment horizontal="center" vertical="center" wrapText="1"/>
    </xf>
    <xf numFmtId="169" fontId="48" fillId="34" borderId="48" xfId="0" applyNumberFormat="1" applyFont="1" applyFill="1" applyBorder="1" applyAlignment="1">
      <alignment horizontal="center" vertical="center" wrapText="1"/>
    </xf>
    <xf numFmtId="169" fontId="48" fillId="34" borderId="21" xfId="0" applyNumberFormat="1" applyFont="1" applyFill="1" applyBorder="1" applyAlignment="1">
      <alignment horizontal="center" vertical="center" wrapText="1"/>
    </xf>
    <xf numFmtId="169" fontId="48" fillId="34" borderId="49" xfId="0" applyNumberFormat="1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99" xfId="0" applyNumberFormat="1" applyFont="1" applyFill="1" applyBorder="1" applyAlignment="1">
      <alignment horizontal="center" vertical="center"/>
    </xf>
    <xf numFmtId="2" fontId="48" fillId="34" borderId="45" xfId="0" applyNumberFormat="1" applyFont="1" applyFill="1" applyBorder="1" applyAlignment="1">
      <alignment horizontal="center" vertical="center"/>
    </xf>
    <xf numFmtId="2" fontId="48" fillId="34" borderId="100" xfId="0" applyNumberFormat="1" applyFont="1" applyFill="1" applyBorder="1" applyAlignment="1">
      <alignment horizontal="center" vertical="center"/>
    </xf>
    <xf numFmtId="2" fontId="48" fillId="34" borderId="25" xfId="0" applyNumberFormat="1" applyFont="1" applyFill="1" applyBorder="1" applyAlignment="1">
      <alignment horizontal="center" vertical="center"/>
    </xf>
    <xf numFmtId="2" fontId="48" fillId="34" borderId="98" xfId="0" applyNumberFormat="1" applyFont="1" applyFill="1" applyBorder="1" applyAlignment="1">
      <alignment horizontal="center" vertical="center"/>
    </xf>
    <xf numFmtId="9" fontId="6" fillId="30" borderId="4" xfId="1" applyFont="1" applyFill="1" applyBorder="1" applyAlignment="1">
      <alignment horizontal="center" vertical="center"/>
    </xf>
    <xf numFmtId="9" fontId="6" fillId="30" borderId="77" xfId="1" applyFont="1" applyFill="1" applyBorder="1" applyAlignment="1">
      <alignment horizontal="center" vertical="center"/>
    </xf>
    <xf numFmtId="0" fontId="40" fillId="2" borderId="0" xfId="0" applyFont="1" applyFill="1" applyAlignment="1">
      <alignment horizontal="left"/>
    </xf>
    <xf numFmtId="169" fontId="3" fillId="29" borderId="83" xfId="0" applyNumberFormat="1" applyFont="1" applyFill="1" applyBorder="1" applyAlignment="1">
      <alignment horizontal="center" vertical="center"/>
    </xf>
    <xf numFmtId="169" fontId="3" fillId="29" borderId="54" xfId="0" applyNumberFormat="1" applyFont="1" applyFill="1" applyBorder="1" applyAlignment="1">
      <alignment horizontal="center" vertical="center"/>
    </xf>
    <xf numFmtId="164" fontId="6" fillId="30" borderId="82" xfId="0" applyNumberFormat="1" applyFont="1" applyFill="1" applyBorder="1" applyAlignment="1">
      <alignment horizontal="center" vertical="center"/>
    </xf>
    <xf numFmtId="164" fontId="6" fillId="30" borderId="85" xfId="0" applyNumberFormat="1" applyFont="1" applyFill="1" applyBorder="1" applyAlignment="1">
      <alignment horizontal="center" vertical="center"/>
    </xf>
    <xf numFmtId="164" fontId="6" fillId="30" borderId="4" xfId="0" applyNumberFormat="1" applyFont="1" applyFill="1" applyBorder="1" applyAlignment="1">
      <alignment horizontal="center" vertical="center"/>
    </xf>
    <xf numFmtId="164" fontId="6" fillId="30" borderId="77" xfId="0" applyNumberFormat="1" applyFont="1" applyFill="1" applyBorder="1" applyAlignment="1">
      <alignment horizontal="center" vertical="center"/>
    </xf>
    <xf numFmtId="164" fontId="6" fillId="30" borderId="29" xfId="0" applyNumberFormat="1" applyFont="1" applyFill="1" applyBorder="1" applyAlignment="1">
      <alignment horizontal="center" vertical="center"/>
    </xf>
    <xf numFmtId="164" fontId="6" fillId="30" borderId="90" xfId="0" applyNumberFormat="1" applyFont="1" applyFill="1" applyBorder="1" applyAlignment="1">
      <alignment horizontal="center" vertical="center"/>
    </xf>
    <xf numFmtId="164" fontId="6" fillId="30" borderId="4" xfId="0" applyNumberFormat="1" applyFont="1" applyFill="1" applyBorder="1" applyAlignment="1">
      <alignment horizontal="center" vertical="center" wrapText="1"/>
    </xf>
    <xf numFmtId="164" fontId="6" fillId="30" borderId="77" xfId="0" applyNumberFormat="1" applyFont="1" applyFill="1" applyBorder="1" applyAlignment="1">
      <alignment horizontal="center" vertical="center" wrapText="1"/>
    </xf>
    <xf numFmtId="0" fontId="62" fillId="29" borderId="91" xfId="0" applyFont="1" applyFill="1" applyBorder="1" applyAlignment="1">
      <alignment horizontal="center" vertical="center" textRotation="90" wrapText="1"/>
    </xf>
    <xf numFmtId="0" fontId="62" fillId="29" borderId="24" xfId="0" applyFont="1" applyFill="1" applyBorder="1" applyAlignment="1">
      <alignment horizontal="center" vertical="center" textRotation="90" wrapText="1"/>
    </xf>
    <xf numFmtId="0" fontId="62" fillId="29" borderId="19" xfId="0" applyFont="1" applyFill="1" applyBorder="1" applyAlignment="1">
      <alignment horizontal="center" vertical="center" textRotation="90" wrapText="1"/>
    </xf>
    <xf numFmtId="10" fontId="6" fillId="30" borderId="89" xfId="0" applyNumberFormat="1" applyFont="1" applyFill="1" applyBorder="1" applyAlignment="1">
      <alignment horizontal="center" vertical="center"/>
    </xf>
    <xf numFmtId="10" fontId="6" fillId="30" borderId="54" xfId="0" applyNumberFormat="1" applyFont="1" applyFill="1" applyBorder="1" applyAlignment="1">
      <alignment horizontal="center" vertical="center"/>
    </xf>
    <xf numFmtId="0" fontId="1" fillId="29" borderId="0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164" fontId="6" fillId="33" borderId="96" xfId="0" applyNumberFormat="1" applyFont="1" applyFill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164" fontId="6" fillId="33" borderId="91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10" fontId="6" fillId="33" borderId="89" xfId="0" applyNumberFormat="1" applyFont="1" applyFill="1" applyBorder="1" applyAlignment="1">
      <alignment horizontal="center" vertical="center"/>
    </xf>
    <xf numFmtId="10" fontId="6" fillId="33" borderId="66" xfId="0" applyNumberFormat="1" applyFont="1" applyFill="1" applyBorder="1" applyAlignment="1">
      <alignment horizontal="center" vertical="center"/>
    </xf>
    <xf numFmtId="164" fontId="6" fillId="30" borderId="96" xfId="0" applyNumberFormat="1" applyFont="1" applyFill="1" applyBorder="1" applyAlignment="1">
      <alignment horizontal="center" vertical="center"/>
    </xf>
    <xf numFmtId="164" fontId="6" fillId="30" borderId="25" xfId="0" applyNumberFormat="1" applyFont="1" applyFill="1" applyBorder="1" applyAlignment="1">
      <alignment horizontal="center" vertical="center"/>
    </xf>
    <xf numFmtId="164" fontId="6" fillId="30" borderId="91" xfId="0" applyNumberFormat="1" applyFont="1" applyFill="1" applyBorder="1" applyAlignment="1">
      <alignment horizontal="center" vertical="center"/>
    </xf>
    <xf numFmtId="164" fontId="6" fillId="30" borderId="19" xfId="0" applyNumberFormat="1" applyFont="1" applyFill="1" applyBorder="1" applyAlignment="1">
      <alignment horizontal="center" vertical="center"/>
    </xf>
    <xf numFmtId="2" fontId="6" fillId="30" borderId="91" xfId="0" applyNumberFormat="1" applyFont="1" applyFill="1" applyBorder="1" applyAlignment="1">
      <alignment horizontal="center" vertical="center"/>
    </xf>
    <xf numFmtId="2" fontId="6" fillId="30" borderId="1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9" borderId="71" xfId="0" applyFont="1" applyFill="1" applyBorder="1" applyAlignment="1">
      <alignment horizontal="center" vertical="center" wrapText="1"/>
    </xf>
    <xf numFmtId="2" fontId="33" fillId="32" borderId="92" xfId="0" applyNumberFormat="1" applyFont="1" applyFill="1" applyBorder="1" applyAlignment="1">
      <alignment horizontal="center" vertical="center"/>
    </xf>
    <xf numFmtId="2" fontId="33" fillId="32" borderId="71" xfId="0" applyNumberFormat="1" applyFont="1" applyFill="1" applyBorder="1" applyAlignment="1">
      <alignment horizontal="center" vertical="center"/>
    </xf>
    <xf numFmtId="2" fontId="33" fillId="32" borderId="89" xfId="0" applyNumberFormat="1" applyFont="1" applyFill="1" applyBorder="1" applyAlignment="1">
      <alignment horizontal="center" vertical="center"/>
    </xf>
    <xf numFmtId="167" fontId="33" fillId="32" borderId="21" xfId="0" applyNumberFormat="1" applyFont="1" applyFill="1" applyBorder="1" applyAlignment="1">
      <alignment horizontal="center" vertical="center"/>
    </xf>
    <xf numFmtId="167" fontId="33" fillId="32" borderId="20" xfId="0" applyNumberFormat="1" applyFont="1" applyFill="1" applyBorder="1" applyAlignment="1">
      <alignment horizontal="center" vertical="center"/>
    </xf>
    <xf numFmtId="167" fontId="33" fillId="32" borderId="54" xfId="0" applyNumberFormat="1" applyFont="1" applyFill="1" applyBorder="1" applyAlignment="1">
      <alignment horizontal="center" vertical="center"/>
    </xf>
    <xf numFmtId="0" fontId="39" fillId="29" borderId="91" xfId="27278" applyFont="1" applyFill="1" applyBorder="1" applyAlignment="1">
      <alignment horizontal="center" vertical="center" wrapText="1"/>
    </xf>
    <xf numFmtId="0" fontId="39" fillId="29" borderId="24" xfId="27278" applyFont="1" applyFill="1" applyBorder="1" applyAlignment="1">
      <alignment horizontal="center" vertical="center" wrapText="1"/>
    </xf>
    <xf numFmtId="0" fontId="39" fillId="29" borderId="71" xfId="27278" applyFont="1" applyFill="1" applyBorder="1" applyAlignment="1">
      <alignment horizontal="center" vertical="center" wrapText="1"/>
    </xf>
    <xf numFmtId="0" fontId="39" fillId="29" borderId="0" xfId="27278" applyFont="1" applyFill="1" applyBorder="1" applyAlignment="1">
      <alignment horizontal="center" vertical="center" wrapText="1"/>
    </xf>
    <xf numFmtId="0" fontId="39" fillId="29" borderId="90" xfId="41711" applyFont="1" applyFill="1" applyBorder="1" applyAlignment="1">
      <alignment horizontal="center" vertical="center" wrapText="1"/>
    </xf>
    <xf numFmtId="0" fontId="39" fillId="29" borderId="92" xfId="41711" applyFont="1" applyFill="1" applyBorder="1" applyAlignment="1">
      <alignment horizontal="center" vertical="center" wrapText="1"/>
    </xf>
    <xf numFmtId="0" fontId="6" fillId="32" borderId="92" xfId="0" applyFont="1" applyFill="1" applyBorder="1" applyAlignment="1">
      <alignment horizontal="center" vertical="center"/>
    </xf>
    <xf numFmtId="0" fontId="6" fillId="32" borderId="71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6" fillId="27" borderId="92" xfId="0" applyFont="1" applyFill="1" applyBorder="1" applyAlignment="1">
      <alignment horizontal="center" vertical="center"/>
    </xf>
    <xf numFmtId="0" fontId="6" fillId="27" borderId="71" xfId="0" applyFont="1" applyFill="1" applyBorder="1" applyAlignment="1">
      <alignment horizontal="center" vertical="center"/>
    </xf>
    <xf numFmtId="0" fontId="6" fillId="27" borderId="89" xfId="0" applyFont="1" applyFill="1" applyBorder="1" applyAlignment="1">
      <alignment horizontal="center" vertical="center"/>
    </xf>
    <xf numFmtId="0" fontId="6" fillId="29" borderId="89" xfId="0" applyFont="1" applyFill="1" applyBorder="1" applyAlignment="1">
      <alignment horizontal="center" vertical="center"/>
    </xf>
    <xf numFmtId="0" fontId="6" fillId="29" borderId="91" xfId="0" applyFont="1" applyFill="1" applyBorder="1" applyAlignment="1">
      <alignment horizontal="center" vertical="center"/>
    </xf>
    <xf numFmtId="0" fontId="6" fillId="29" borderId="97" xfId="0" applyFont="1" applyFill="1" applyBorder="1" applyAlignment="1">
      <alignment horizontal="center" vertical="center"/>
    </xf>
    <xf numFmtId="0" fontId="6" fillId="25" borderId="96" xfId="0" applyFont="1" applyFill="1" applyBorder="1" applyAlignment="1">
      <alignment horizontal="center" vertical="center"/>
    </xf>
    <xf numFmtId="0" fontId="6" fillId="25" borderId="91" xfId="0" applyFont="1" applyFill="1" applyBorder="1" applyAlignment="1">
      <alignment horizontal="center" vertical="center"/>
    </xf>
    <xf numFmtId="0" fontId="58" fillId="39" borderId="77" xfId="0" applyFont="1" applyFill="1" applyBorder="1" applyAlignment="1">
      <alignment horizontal="center" vertical="center" textRotation="90"/>
    </xf>
    <xf numFmtId="173" fontId="57" fillId="29" borderId="77" xfId="0" applyNumberFormat="1" applyFont="1" applyFill="1" applyBorder="1" applyAlignment="1">
      <alignment horizontal="center" vertical="center"/>
    </xf>
    <xf numFmtId="2" fontId="57" fillId="29" borderId="77" xfId="0" applyNumberFormat="1" applyFont="1" applyFill="1" applyBorder="1" applyAlignment="1">
      <alignment horizontal="center" vertical="center"/>
    </xf>
    <xf numFmtId="166" fontId="57" fillId="2" borderId="77" xfId="0" applyNumberFormat="1" applyFont="1" applyFill="1" applyBorder="1" applyAlignment="1">
      <alignment horizontal="center" vertical="center"/>
    </xf>
    <xf numFmtId="164" fontId="57" fillId="29" borderId="77" xfId="0" applyNumberFormat="1" applyFont="1" applyFill="1" applyBorder="1" applyAlignment="1">
      <alignment horizontal="center" vertical="center"/>
    </xf>
    <xf numFmtId="2" fontId="33" fillId="38" borderId="0" xfId="0" applyNumberFormat="1" applyFont="1" applyFill="1" applyBorder="1" applyAlignment="1">
      <alignment horizontal="center" vertical="center"/>
    </xf>
    <xf numFmtId="167" fontId="33" fillId="38" borderId="0" xfId="0" applyNumberFormat="1" applyFont="1" applyFill="1" applyBorder="1" applyAlignment="1">
      <alignment horizontal="center" vertical="center"/>
    </xf>
    <xf numFmtId="0" fontId="34" fillId="29" borderId="77" xfId="27278" applyFont="1" applyFill="1" applyBorder="1" applyAlignment="1">
      <alignment horizontal="center" vertical="center" wrapText="1"/>
    </xf>
    <xf numFmtId="0" fontId="34" fillId="29" borderId="77" xfId="41711" applyFont="1" applyFill="1" applyBorder="1" applyAlignment="1">
      <alignment horizontal="center" vertical="center" wrapText="1"/>
    </xf>
    <xf numFmtId="0" fontId="34" fillId="30" borderId="79" xfId="0" applyFont="1" applyFill="1" applyBorder="1" applyAlignment="1">
      <alignment horizontal="center" vertical="center"/>
    </xf>
    <xf numFmtId="0" fontId="34" fillId="30" borderId="77" xfId="0" applyFont="1" applyFill="1" applyBorder="1" applyAlignment="1">
      <alignment horizontal="center" vertical="center"/>
    </xf>
    <xf numFmtId="0" fontId="34" fillId="30" borderId="90" xfId="0" applyFont="1" applyFill="1" applyBorder="1" applyAlignment="1">
      <alignment horizontal="center" vertical="center"/>
    </xf>
    <xf numFmtId="0" fontId="34" fillId="27" borderId="77" xfId="0" applyFont="1" applyFill="1" applyBorder="1" applyAlignment="1">
      <alignment horizontal="center" vertical="center"/>
    </xf>
    <xf numFmtId="0" fontId="34" fillId="39" borderId="77" xfId="0" applyFont="1" applyFill="1" applyBorder="1" applyAlignment="1">
      <alignment horizontal="center" vertical="center"/>
    </xf>
    <xf numFmtId="0" fontId="34" fillId="29" borderId="77" xfId="0" applyFont="1" applyFill="1" applyBorder="1" applyAlignment="1">
      <alignment horizontal="center" vertical="center"/>
    </xf>
    <xf numFmtId="9" fontId="57" fillId="30" borderId="77" xfId="1" applyFont="1" applyFill="1" applyBorder="1" applyAlignment="1">
      <alignment horizontal="center" vertical="center"/>
    </xf>
    <xf numFmtId="2" fontId="57" fillId="2" borderId="77" xfId="0" applyNumberFormat="1" applyFont="1" applyFill="1" applyBorder="1" applyAlignment="1">
      <alignment horizontal="center" vertical="center"/>
    </xf>
    <xf numFmtId="9" fontId="57" fillId="30" borderId="77" xfId="1" applyNumberFormat="1" applyFont="1" applyFill="1" applyBorder="1" applyAlignment="1">
      <alignment horizontal="center" vertical="center"/>
    </xf>
    <xf numFmtId="0" fontId="57" fillId="29" borderId="77" xfId="0" applyFont="1" applyFill="1" applyBorder="1" applyAlignment="1">
      <alignment horizontal="center" vertical="center"/>
    </xf>
    <xf numFmtId="0" fontId="57" fillId="2" borderId="77" xfId="0" applyFont="1" applyFill="1" applyBorder="1" applyAlignment="1">
      <alignment horizontal="center" vertical="center"/>
    </xf>
    <xf numFmtId="0" fontId="53" fillId="2" borderId="77" xfId="0" applyFont="1" applyFill="1" applyBorder="1" applyAlignment="1">
      <alignment horizontal="center"/>
    </xf>
    <xf numFmtId="169" fontId="53" fillId="2" borderId="77" xfId="0" applyNumberFormat="1" applyFont="1" applyFill="1" applyBorder="1" applyAlignment="1">
      <alignment horizontal="center"/>
    </xf>
    <xf numFmtId="169" fontId="53" fillId="2" borderId="79" xfId="0" applyNumberFormat="1" applyFont="1" applyFill="1" applyBorder="1" applyAlignment="1">
      <alignment horizontal="center"/>
    </xf>
    <xf numFmtId="0" fontId="53" fillId="2" borderId="79" xfId="0" applyFont="1" applyFill="1" applyBorder="1" applyAlignment="1">
      <alignment horizontal="center"/>
    </xf>
    <xf numFmtId="169" fontId="21" fillId="39" borderId="77" xfId="0" applyNumberFormat="1" applyFont="1" applyFill="1" applyBorder="1" applyAlignment="1">
      <alignment horizontal="center" vertical="center"/>
    </xf>
    <xf numFmtId="1" fontId="57" fillId="39" borderId="77" xfId="0" applyNumberFormat="1" applyFont="1" applyFill="1" applyBorder="1" applyAlignment="1">
      <alignment horizontal="center" vertical="center"/>
    </xf>
    <xf numFmtId="164" fontId="57" fillId="39" borderId="77" xfId="0" applyNumberFormat="1" applyFont="1" applyFill="1" applyBorder="1" applyAlignment="1">
      <alignment horizontal="center" vertical="center"/>
    </xf>
    <xf numFmtId="9" fontId="57" fillId="39" borderId="77" xfId="1" applyNumberFormat="1" applyFont="1" applyFill="1" applyBorder="1" applyAlignment="1">
      <alignment horizontal="center" vertical="center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2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27" borderId="90" xfId="0" applyFont="1" applyFill="1" applyBorder="1" applyAlignment="1">
      <alignment horizontal="center"/>
    </xf>
    <xf numFmtId="0" fontId="3" fillId="27" borderId="79" xfId="0" applyFont="1" applyFill="1" applyBorder="1" applyAlignment="1">
      <alignment horizontal="center"/>
    </xf>
    <xf numFmtId="0" fontId="3" fillId="42" borderId="77" xfId="0" applyFont="1" applyFill="1" applyBorder="1" applyAlignment="1">
      <alignment horizontal="center"/>
    </xf>
    <xf numFmtId="0" fontId="0" fillId="27" borderId="90" xfId="0" applyFill="1" applyBorder="1" applyAlignment="1">
      <alignment horizontal="center"/>
    </xf>
    <xf numFmtId="0" fontId="0" fillId="27" borderId="79" xfId="0" applyFill="1" applyBorder="1" applyAlignment="1">
      <alignment horizontal="center"/>
    </xf>
    <xf numFmtId="0" fontId="0" fillId="27" borderId="84" xfId="0" applyFill="1" applyBorder="1" applyAlignment="1">
      <alignment horizontal="center"/>
    </xf>
    <xf numFmtId="0" fontId="3" fillId="27" borderId="84" xfId="0" applyFont="1" applyFill="1" applyBorder="1" applyAlignment="1">
      <alignment horizontal="center"/>
    </xf>
    <xf numFmtId="0" fontId="54" fillId="2" borderId="77" xfId="0" applyFont="1" applyFill="1" applyBorder="1" applyAlignment="1">
      <alignment horizontal="left" vertical="top" wrapText="1"/>
    </xf>
    <xf numFmtId="0" fontId="43" fillId="32" borderId="92" xfId="0" applyFont="1" applyFill="1" applyBorder="1" applyAlignment="1">
      <alignment horizontal="center" vertical="center" wrapText="1"/>
    </xf>
    <xf numFmtId="0" fontId="43" fillId="32" borderId="71" xfId="0" applyFont="1" applyFill="1" applyBorder="1" applyAlignment="1">
      <alignment horizontal="center" vertical="center" wrapText="1"/>
    </xf>
    <xf numFmtId="0" fontId="43" fillId="32" borderId="89" xfId="0" applyFont="1" applyFill="1" applyBorder="1" applyAlignment="1">
      <alignment horizontal="center" vertical="center" wrapText="1"/>
    </xf>
    <xf numFmtId="0" fontId="43" fillId="2" borderId="92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0" fontId="43" fillId="2" borderId="77" xfId="0" applyFont="1" applyFill="1" applyBorder="1" applyAlignment="1">
      <alignment horizontal="center" vertical="center"/>
    </xf>
    <xf numFmtId="0" fontId="43" fillId="2" borderId="91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3" fillId="32" borderId="21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3" fillId="32" borderId="54" xfId="0" applyFont="1" applyFill="1" applyBorder="1" applyAlignment="1">
      <alignment horizontal="center" vertical="center" wrapText="1"/>
    </xf>
    <xf numFmtId="175" fontId="43" fillId="29" borderId="77" xfId="42096" applyNumberFormat="1" applyFont="1" applyFill="1" applyBorder="1" applyAlignment="1">
      <alignment vertical="center"/>
    </xf>
    <xf numFmtId="166" fontId="43" fillId="30" borderId="77" xfId="0" applyNumberFormat="1" applyFont="1" applyFill="1" applyBorder="1" applyAlignment="1">
      <alignment horizontal="center" vertical="center"/>
    </xf>
    <xf numFmtId="0" fontId="43" fillId="30" borderId="77" xfId="0" applyFont="1" applyFill="1" applyBorder="1" applyAlignment="1">
      <alignment horizontal="center" vertical="center"/>
    </xf>
    <xf numFmtId="43" fontId="43" fillId="29" borderId="90" xfId="42096" applyNumberFormat="1" applyFont="1" applyFill="1" applyBorder="1" applyAlignment="1">
      <alignment horizontal="center" vertical="center"/>
    </xf>
    <xf numFmtId="43" fontId="43" fillId="29" borderId="77" xfId="42096" applyNumberFormat="1" applyFont="1" applyFill="1" applyBorder="1" applyAlignment="1">
      <alignment horizontal="center" vertical="center"/>
    </xf>
    <xf numFmtId="1" fontId="43" fillId="29" borderId="71" xfId="0" applyNumberFormat="1" applyFont="1" applyFill="1" applyBorder="1" applyAlignment="1">
      <alignment horizontal="center" vertical="center"/>
    </xf>
    <xf numFmtId="1" fontId="43" fillId="29" borderId="20" xfId="0" applyNumberFormat="1" applyFont="1" applyFill="1" applyBorder="1" applyAlignment="1">
      <alignment horizontal="center" vertical="center"/>
    </xf>
    <xf numFmtId="170" fontId="43" fillId="29" borderId="91" xfId="0" applyNumberFormat="1" applyFont="1" applyFill="1" applyBorder="1" applyAlignment="1">
      <alignment horizontal="center" vertical="center" wrapText="1"/>
    </xf>
    <xf numFmtId="170" fontId="43" fillId="29" borderId="19" xfId="0" applyNumberFormat="1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/>
    </xf>
    <xf numFmtId="164" fontId="43" fillId="2" borderId="66" xfId="0" applyNumberFormat="1" applyFont="1" applyFill="1" applyBorder="1" applyAlignment="1">
      <alignment horizontal="center" vertical="center"/>
    </xf>
    <xf numFmtId="0" fontId="43" fillId="2" borderId="66" xfId="0" applyFont="1" applyFill="1" applyBorder="1" applyAlignment="1">
      <alignment horizontal="center" vertical="center"/>
    </xf>
    <xf numFmtId="164" fontId="43" fillId="2" borderId="89" xfId="0" applyNumberFormat="1" applyFont="1" applyFill="1" applyBorder="1" applyAlignment="1">
      <alignment horizontal="center" vertical="center"/>
    </xf>
    <xf numFmtId="0" fontId="43" fillId="2" borderId="89" xfId="0" applyFont="1" applyFill="1" applyBorder="1" applyAlignment="1">
      <alignment horizontal="center" vertical="center"/>
    </xf>
    <xf numFmtId="0" fontId="43" fillId="2" borderId="54" xfId="0" applyFont="1" applyFill="1" applyBorder="1" applyAlignment="1">
      <alignment horizontal="center" vertical="center"/>
    </xf>
    <xf numFmtId="0" fontId="43" fillId="30" borderId="92" xfId="0" applyFont="1" applyFill="1" applyBorder="1" applyAlignment="1">
      <alignment horizontal="center" vertical="center"/>
    </xf>
    <xf numFmtId="0" fontId="43" fillId="30" borderId="71" xfId="0" applyFont="1" applyFill="1" applyBorder="1" applyAlignment="1">
      <alignment horizontal="center" vertical="center"/>
    </xf>
    <xf numFmtId="0" fontId="43" fillId="30" borderId="89" xfId="0" applyFont="1" applyFill="1" applyBorder="1" applyAlignment="1">
      <alignment horizontal="center" vertical="center"/>
    </xf>
    <xf numFmtId="0" fontId="43" fillId="30" borderId="21" xfId="0" applyFont="1" applyFill="1" applyBorder="1" applyAlignment="1">
      <alignment horizontal="center" vertical="center"/>
    </xf>
    <xf numFmtId="0" fontId="43" fillId="30" borderId="20" xfId="0" applyFont="1" applyFill="1" applyBorder="1" applyAlignment="1">
      <alignment horizontal="center" vertical="center"/>
    </xf>
    <xf numFmtId="0" fontId="43" fillId="30" borderId="54" xfId="0" applyFont="1" applyFill="1" applyBorder="1" applyAlignment="1">
      <alignment horizontal="center" vertical="center"/>
    </xf>
    <xf numFmtId="0" fontId="43" fillId="32" borderId="26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66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54" xfId="0" applyFont="1" applyFill="1" applyBorder="1" applyAlignment="1">
      <alignment horizontal="center" vertical="center" wrapText="1"/>
    </xf>
    <xf numFmtId="164" fontId="43" fillId="2" borderId="77" xfId="0" applyNumberFormat="1" applyFont="1" applyFill="1" applyBorder="1" applyAlignment="1">
      <alignment horizontal="center" vertical="center" wrapText="1"/>
    </xf>
    <xf numFmtId="0" fontId="44" fillId="27" borderId="90" xfId="0" applyFont="1" applyFill="1" applyBorder="1" applyAlignment="1">
      <alignment horizontal="center" vertical="center"/>
    </xf>
    <xf numFmtId="0" fontId="44" fillId="27" borderId="84" xfId="0" applyFont="1" applyFill="1" applyBorder="1" applyAlignment="1">
      <alignment horizontal="center" vertical="center"/>
    </xf>
    <xf numFmtId="0" fontId="44" fillId="27" borderId="79" xfId="0" applyFont="1" applyFill="1" applyBorder="1" applyAlignment="1">
      <alignment horizontal="center" vertical="center"/>
    </xf>
    <xf numFmtId="175" fontId="43" fillId="29" borderId="84" xfId="42096" applyNumberFormat="1" applyFont="1" applyFill="1" applyBorder="1" applyAlignment="1">
      <alignment vertical="center"/>
    </xf>
    <xf numFmtId="0" fontId="43" fillId="29" borderId="92" xfId="0" applyFont="1" applyFill="1" applyBorder="1" applyAlignment="1">
      <alignment horizontal="center" vertical="center"/>
    </xf>
    <xf numFmtId="0" fontId="43" fillId="29" borderId="71" xfId="0" applyFont="1" applyFill="1" applyBorder="1" applyAlignment="1">
      <alignment horizontal="center" vertical="center"/>
    </xf>
    <xf numFmtId="0" fontId="43" fillId="29" borderId="89" xfId="0" applyFont="1" applyFill="1" applyBorder="1" applyAlignment="1">
      <alignment horizontal="center" vertical="center"/>
    </xf>
    <xf numFmtId="0" fontId="43" fillId="29" borderId="21" xfId="0" applyFont="1" applyFill="1" applyBorder="1" applyAlignment="1">
      <alignment horizontal="center" vertical="center"/>
    </xf>
    <xf numFmtId="0" fontId="43" fillId="29" borderId="20" xfId="0" applyFont="1" applyFill="1" applyBorder="1" applyAlignment="1">
      <alignment horizontal="center" vertical="center"/>
    </xf>
    <xf numFmtId="0" fontId="43" fillId="29" borderId="54" xfId="0" applyFont="1" applyFill="1" applyBorder="1" applyAlignment="1">
      <alignment horizontal="center" vertical="center"/>
    </xf>
    <xf numFmtId="0" fontId="43" fillId="2" borderId="92" xfId="0" applyFont="1" applyFill="1" applyBorder="1" applyAlignment="1">
      <alignment horizontal="center" vertical="center" wrapText="1"/>
    </xf>
    <xf numFmtId="0" fontId="43" fillId="2" borderId="86" xfId="0" applyFont="1" applyFill="1" applyBorder="1" applyAlignment="1">
      <alignment horizontal="center" vertical="center" wrapText="1"/>
    </xf>
    <xf numFmtId="0" fontId="43" fillId="2" borderId="89" xfId="0" applyFont="1" applyFill="1" applyBorder="1" applyAlignment="1">
      <alignment horizontal="center" vertical="center" wrapText="1"/>
    </xf>
    <xf numFmtId="0" fontId="43" fillId="32" borderId="86" xfId="0" applyFont="1" applyFill="1" applyBorder="1" applyAlignment="1">
      <alignment horizontal="center" vertical="center" wrapText="1"/>
    </xf>
    <xf numFmtId="174" fontId="43" fillId="2" borderId="77" xfId="0" applyNumberFormat="1" applyFont="1" applyFill="1" applyBorder="1" applyAlignment="1">
      <alignment horizontal="center" vertical="center" wrapText="1"/>
    </xf>
    <xf numFmtId="174" fontId="43" fillId="2" borderId="91" xfId="0" applyNumberFormat="1" applyFont="1" applyFill="1" applyBorder="1" applyAlignment="1">
      <alignment horizontal="center" vertical="center" wrapText="1"/>
    </xf>
    <xf numFmtId="0" fontId="49" fillId="35" borderId="1" xfId="0" applyFont="1" applyFill="1" applyBorder="1" applyAlignment="1">
      <alignment horizontal="center" vertical="center"/>
    </xf>
    <xf numFmtId="0" fontId="49" fillId="35" borderId="2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1" fontId="43" fillId="30" borderId="77" xfId="0" applyNumberFormat="1" applyFont="1" applyFill="1" applyBorder="1" applyAlignment="1">
      <alignment horizontal="center" vertical="center"/>
    </xf>
    <xf numFmtId="0" fontId="50" fillId="29" borderId="77" xfId="0" applyFont="1" applyFill="1" applyBorder="1" applyAlignment="1">
      <alignment horizontal="center" vertical="center" wrapText="1"/>
    </xf>
    <xf numFmtId="0" fontId="49" fillId="29" borderId="78" xfId="0" applyFont="1" applyFill="1" applyBorder="1" applyAlignment="1">
      <alignment horizontal="center" vertical="center" wrapText="1"/>
    </xf>
    <xf numFmtId="0" fontId="49" fillId="29" borderId="84" xfId="0" applyFont="1" applyFill="1" applyBorder="1" applyAlignment="1">
      <alignment horizontal="center" vertical="center" wrapText="1"/>
    </xf>
    <xf numFmtId="0" fontId="43" fillId="30" borderId="90" xfId="0" applyFont="1" applyFill="1" applyBorder="1" applyAlignment="1">
      <alignment horizontal="center" vertical="center"/>
    </xf>
    <xf numFmtId="0" fontId="43" fillId="30" borderId="79" xfId="0" applyFont="1" applyFill="1" applyBorder="1" applyAlignment="1">
      <alignment horizontal="center" vertical="center"/>
    </xf>
    <xf numFmtId="0" fontId="50" fillId="29" borderId="90" xfId="0" applyFont="1" applyFill="1" applyBorder="1" applyAlignment="1">
      <alignment horizontal="center" vertical="center" wrapText="1"/>
    </xf>
    <xf numFmtId="0" fontId="50" fillId="29" borderId="84" xfId="0" applyFont="1" applyFill="1" applyBorder="1" applyAlignment="1">
      <alignment horizontal="center" vertical="center" wrapText="1"/>
    </xf>
    <xf numFmtId="0" fontId="50" fillId="29" borderId="79" xfId="0" applyFont="1" applyFill="1" applyBorder="1" applyAlignment="1">
      <alignment horizontal="center" vertical="center" wrapText="1"/>
    </xf>
    <xf numFmtId="0" fontId="43" fillId="30" borderId="90" xfId="0" applyFont="1" applyFill="1" applyBorder="1" applyAlignment="1">
      <alignment horizontal="center" vertical="center" wrapText="1"/>
    </xf>
    <xf numFmtId="0" fontId="43" fillId="30" borderId="84" xfId="0" applyFont="1" applyFill="1" applyBorder="1" applyAlignment="1">
      <alignment horizontal="center" vertical="center" wrapText="1"/>
    </xf>
    <xf numFmtId="0" fontId="43" fillId="30" borderId="79" xfId="0" applyFont="1" applyFill="1" applyBorder="1" applyAlignment="1">
      <alignment horizontal="center" vertical="center" wrapText="1"/>
    </xf>
    <xf numFmtId="164" fontId="43" fillId="2" borderId="91" xfId="0" applyNumberFormat="1" applyFont="1" applyFill="1" applyBorder="1" applyAlignment="1">
      <alignment horizontal="center" vertical="center" wrapText="1"/>
    </xf>
    <xf numFmtId="0" fontId="50" fillId="37" borderId="77" xfId="0" applyFont="1" applyFill="1" applyBorder="1" applyAlignment="1">
      <alignment horizontal="center" vertical="center"/>
    </xf>
    <xf numFmtId="0" fontId="50" fillId="29" borderId="77" xfId="0" applyFont="1" applyFill="1" applyBorder="1" applyAlignment="1">
      <alignment horizontal="center" vertical="center"/>
    </xf>
    <xf numFmtId="0" fontId="0" fillId="26" borderId="0" xfId="0" applyNumberFormat="1" applyFill="1"/>
    <xf numFmtId="0" fontId="6" fillId="30" borderId="0" xfId="0" applyNumberFormat="1" applyFont="1" applyFill="1"/>
  </cellXfs>
  <cellStyles count="42097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3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4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5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6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7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8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9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20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21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2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3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4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5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6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7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8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9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30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31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3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4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5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6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8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9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40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41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2"/>
    <cellStyle name="Excel Built-in Normal" xfId="5734"/>
    <cellStyle name="Hipervínculo 2" xfId="41743"/>
    <cellStyle name="Hipervínculo 2 2" xfId="41744"/>
    <cellStyle name="Hipervínculo 3" xfId="41745"/>
    <cellStyle name="Hipervínculo 3 2" xfId="41746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7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8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9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50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51"/>
    <cellStyle name="Normal 10 20" xfId="41752"/>
    <cellStyle name="Normal 10 3" xfId="6076"/>
    <cellStyle name="Normal 10 3 2" xfId="41753"/>
    <cellStyle name="Normal 10 4" xfId="6077"/>
    <cellStyle name="Normal 10 4 2" xfId="41754"/>
    <cellStyle name="Normal 10 5" xfId="6078"/>
    <cellStyle name="Normal 10 5 2" xfId="41755"/>
    <cellStyle name="Normal 10 6" xfId="6079"/>
    <cellStyle name="Normal 10 6 2" xfId="41756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7"/>
    <cellStyle name="Normal 11 5" xfId="6172"/>
    <cellStyle name="Normal 11 5 2" xfId="41758"/>
    <cellStyle name="Normal 11 6" xfId="6173"/>
    <cellStyle name="Normal 11 6 2" xfId="41759"/>
    <cellStyle name="Normal 11 7" xfId="41760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61"/>
    <cellStyle name="Normal 13 3" xfId="41762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3"/>
    <cellStyle name="Normal 14 2" xfId="6218"/>
    <cellStyle name="Normal 14 2 2" xfId="41764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5"/>
    <cellStyle name="Normal 15 2" xfId="6300"/>
    <cellStyle name="Normal 15 2 2" xfId="41766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7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9"/>
    <cellStyle name="Normal 2 11 2 3" xfId="6928"/>
    <cellStyle name="Normal 2 11 2 3 2" xfId="41770"/>
    <cellStyle name="Normal 2 11 2 4" xfId="6929"/>
    <cellStyle name="Normal 2 11 2 4 2" xfId="41771"/>
    <cellStyle name="Normal 2 11 2 5" xfId="6930"/>
    <cellStyle name="Normal 2 11 2 5 2" xfId="41772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3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4"/>
    <cellStyle name="Normal 2 16" xfId="7876"/>
    <cellStyle name="Normal 2 16 2" xfId="41775"/>
    <cellStyle name="Normal 2 17" xfId="7877"/>
    <cellStyle name="Normal 2 17 2" xfId="41776"/>
    <cellStyle name="Normal 2 18" xfId="7878"/>
    <cellStyle name="Normal 2 18 2" xfId="41777"/>
    <cellStyle name="Normal 2 19" xfId="7879"/>
    <cellStyle name="Normal 2 2" xfId="7880"/>
    <cellStyle name="Normal 2 2 10" xfId="7881"/>
    <cellStyle name="Normal 2 2 10 2" xfId="41778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9"/>
    <cellStyle name="Normal 2 2 11 2 2 3" xfId="7918"/>
    <cellStyle name="Normal 2 2 11 2 2 3 2" xfId="41780"/>
    <cellStyle name="Normal 2 2 11 2 2 4" xfId="7919"/>
    <cellStyle name="Normal 2 2 11 2 2 4 2" xfId="41781"/>
    <cellStyle name="Normal 2 2 11 2 2 5" xfId="7920"/>
    <cellStyle name="Normal 2 2 11 2 2 5 2" xfId="41782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3"/>
    <cellStyle name="Normal 2 2 11 3" xfId="8225"/>
    <cellStyle name="Normal 2 2 11 3 2" xfId="41784"/>
    <cellStyle name="Normal 2 2 11 4" xfId="8226"/>
    <cellStyle name="Normal 2 2 11 4 2" xfId="41785"/>
    <cellStyle name="Normal 2 2 11 5" xfId="8227"/>
    <cellStyle name="Normal 2 2 11 5 2" xfId="41786"/>
    <cellStyle name="Normal 2 2 11 6" xfId="8228"/>
    <cellStyle name="Normal 2 2 11 6 2" xfId="41787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8"/>
    <cellStyle name="Normal 2 2 13" xfId="8292"/>
    <cellStyle name="Normal 2 2 13 2" xfId="41789"/>
    <cellStyle name="Normal 2 2 14" xfId="8293"/>
    <cellStyle name="Normal 2 2 14 2" xfId="41790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91"/>
    <cellStyle name="Normal 2 2 15 3" xfId="8311"/>
    <cellStyle name="Normal 2 2 15 3 2" xfId="41792"/>
    <cellStyle name="Normal 2 2 15 4" xfId="8312"/>
    <cellStyle name="Normal 2 2 15 4 2" xfId="41793"/>
    <cellStyle name="Normal 2 2 15 5" xfId="8313"/>
    <cellStyle name="Normal 2 2 15 5 2" xfId="41794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5"/>
    <cellStyle name="Normal 2 2 2 14" xfId="9181"/>
    <cellStyle name="Normal 2 2 2 14 2" xfId="41796"/>
    <cellStyle name="Normal 2 2 2 15" xfId="9182"/>
    <cellStyle name="Normal 2 2 2 15 2" xfId="41797"/>
    <cellStyle name="Normal 2 2 2 16" xfId="9183"/>
    <cellStyle name="Normal 2 2 2 16 2" xfId="41798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9"/>
    <cellStyle name="Normal 2 2 2 2 11" xfId="9266"/>
    <cellStyle name="Normal 2 2 2 2 11 2" xfId="41800"/>
    <cellStyle name="Normal 2 2 2 2 12" xfId="9267"/>
    <cellStyle name="Normal 2 2 2 2 12 2" xfId="41801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2"/>
    <cellStyle name="Normal 2 2 2 2 13 3" xfId="9285"/>
    <cellStyle name="Normal 2 2 2 2 13 3 2" xfId="41803"/>
    <cellStyle name="Normal 2 2 2 2 13 4" xfId="9286"/>
    <cellStyle name="Normal 2 2 2 2 13 4 2" xfId="41804"/>
    <cellStyle name="Normal 2 2 2 2 13 5" xfId="9287"/>
    <cellStyle name="Normal 2 2 2 2 13 5 2" xfId="41805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6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7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8"/>
    <cellStyle name="Normal 2 2 2 2 2 2 2 2 2 3" xfId="9706"/>
    <cellStyle name="Normal 2 2 2 2 2 2 2 2 2 3 2" xfId="41809"/>
    <cellStyle name="Normal 2 2 2 2 2 2 2 2 2 4" xfId="9707"/>
    <cellStyle name="Normal 2 2 2 2 2 2 2 2 2 4 2" xfId="41810"/>
    <cellStyle name="Normal 2 2 2 2 2 2 2 2 2 5" xfId="9708"/>
    <cellStyle name="Normal 2 2 2 2 2 2 2 2 2 5 2" xfId="41811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2"/>
    <cellStyle name="Normal 2 2 2 2 2 2 2 3" xfId="10013"/>
    <cellStyle name="Normal 2 2 2 2 2 2 2 3 2" xfId="41813"/>
    <cellStyle name="Normal 2 2 2 2 2 2 2 4" xfId="10014"/>
    <cellStyle name="Normal 2 2 2 2 2 2 2 4 2" xfId="41814"/>
    <cellStyle name="Normal 2 2 2 2 2 2 2 5" xfId="10015"/>
    <cellStyle name="Normal 2 2 2 2 2 2 2 5 2" xfId="41815"/>
    <cellStyle name="Normal 2 2 2 2 2 2 2 6" xfId="10016"/>
    <cellStyle name="Normal 2 2 2 2 2 2 2 6 2" xfId="418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7"/>
    <cellStyle name="Normal 2 2 2 2 2 2 4" xfId="10080"/>
    <cellStyle name="Normal 2 2 2 2 2 2 4 2" xfId="41818"/>
    <cellStyle name="Normal 2 2 2 2 2 2 5" xfId="10081"/>
    <cellStyle name="Normal 2 2 2 2 2 2 5 2" xfId="41819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20"/>
    <cellStyle name="Normal 2 2 2 2 2 2 6 3" xfId="10099"/>
    <cellStyle name="Normal 2 2 2 2 2 2 6 3 2" xfId="41821"/>
    <cellStyle name="Normal 2 2 2 2 2 2 6 4" xfId="10100"/>
    <cellStyle name="Normal 2 2 2 2 2 2 6 4 2" xfId="41822"/>
    <cellStyle name="Normal 2 2 2 2 2 2 6 5" xfId="10101"/>
    <cellStyle name="Normal 2 2 2 2 2 2 6 5 2" xfId="41823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4"/>
    <cellStyle name="Normal 2 2 2 2 2 3 2 3" xfId="10747"/>
    <cellStyle name="Normal 2 2 2 2 2 3 2 3 2" xfId="41825"/>
    <cellStyle name="Normal 2 2 2 2 2 3 2 4" xfId="10748"/>
    <cellStyle name="Normal 2 2 2 2 2 3 2 4 2" xfId="41826"/>
    <cellStyle name="Normal 2 2 2 2 2 3 2 5" xfId="10749"/>
    <cellStyle name="Normal 2 2 2 2 2 3 2 5 2" xfId="41827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8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9"/>
    <cellStyle name="Normal 2 2 2 2 2 7" xfId="11615"/>
    <cellStyle name="Normal 2 2 2 2 2 7 2" xfId="41830"/>
    <cellStyle name="Normal 2 2 2 2 2 8" xfId="11616"/>
    <cellStyle name="Normal 2 2 2 2 2 8 2" xfId="41831"/>
    <cellStyle name="Normal 2 2 2 2 2 9" xfId="11617"/>
    <cellStyle name="Normal 2 2 2 2 2 9 2" xfId="41832"/>
    <cellStyle name="Normal 2 2 2 2 3" xfId="11618"/>
    <cellStyle name="Normal 2 2 2 2 3 2" xfId="41833"/>
    <cellStyle name="Normal 2 2 2 2 4" xfId="11619"/>
    <cellStyle name="Normal 2 2 2 2 4 2" xfId="41834"/>
    <cellStyle name="Normal 2 2 2 2 5" xfId="11620"/>
    <cellStyle name="Normal 2 2 2 2 5 2" xfId="41835"/>
    <cellStyle name="Normal 2 2 2 2 6" xfId="11621"/>
    <cellStyle name="Normal 2 2 2 2 6 2" xfId="41836"/>
    <cellStyle name="Normal 2 2 2 2 7" xfId="11622"/>
    <cellStyle name="Normal 2 2 2 2 7 2" xfId="41837"/>
    <cellStyle name="Normal 2 2 2 2 8" xfId="11623"/>
    <cellStyle name="Normal 2 2 2 2 8 2" xfId="41838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9"/>
    <cellStyle name="Normal 2 2 2 2 9 2 2 3" xfId="11660"/>
    <cellStyle name="Normal 2 2 2 2 9 2 2 3 2" xfId="41840"/>
    <cellStyle name="Normal 2 2 2 2 9 2 2 4" xfId="11661"/>
    <cellStyle name="Normal 2 2 2 2 9 2 2 4 2" xfId="41841"/>
    <cellStyle name="Normal 2 2 2 2 9 2 2 5" xfId="11662"/>
    <cellStyle name="Normal 2 2 2 2 9 2 2 5 2" xfId="4184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3"/>
    <cellStyle name="Normal 2 2 2 2 9 3" xfId="11967"/>
    <cellStyle name="Normal 2 2 2 2 9 3 2" xfId="41844"/>
    <cellStyle name="Normal 2 2 2 2 9 4" xfId="11968"/>
    <cellStyle name="Normal 2 2 2 2 9 4 2" xfId="41845"/>
    <cellStyle name="Normal 2 2 2 2 9 5" xfId="11969"/>
    <cellStyle name="Normal 2 2 2 2 9 5 2" xfId="41846"/>
    <cellStyle name="Normal 2 2 2 2 9 6" xfId="11970"/>
    <cellStyle name="Normal 2 2 2 2 9 6 2" xfId="41847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8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9"/>
    <cellStyle name="Normal 2 2 2 3 2 2 2 3" xfId="12449"/>
    <cellStyle name="Normal 2 2 2 3 2 2 2 3 2" xfId="41850"/>
    <cellStyle name="Normal 2 2 2 3 2 2 2 4" xfId="12450"/>
    <cellStyle name="Normal 2 2 2 3 2 2 2 4 2" xfId="41851"/>
    <cellStyle name="Normal 2 2 2 3 2 2 2 5" xfId="12451"/>
    <cellStyle name="Normal 2 2 2 3 2 2 2 5 2" xfId="41852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3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4"/>
    <cellStyle name="Normal 2 2 2 3 2 7" xfId="13400"/>
    <cellStyle name="Normal 2 2 2 3 2 7 2" xfId="41855"/>
    <cellStyle name="Normal 2 2 2 3 2 8" xfId="13401"/>
    <cellStyle name="Normal 2 2 2 3 2 8 2" xfId="41856"/>
    <cellStyle name="Normal 2 2 2 3 2 9" xfId="13402"/>
    <cellStyle name="Normal 2 2 2 3 2 9 2" xfId="41857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8"/>
    <cellStyle name="Normal 2 2 2 3 3 2 2 3" xfId="13439"/>
    <cellStyle name="Normal 2 2 2 3 3 2 2 3 2" xfId="41859"/>
    <cellStyle name="Normal 2 2 2 3 3 2 2 4" xfId="13440"/>
    <cellStyle name="Normal 2 2 2 3 3 2 2 4 2" xfId="41860"/>
    <cellStyle name="Normal 2 2 2 3 3 2 2 5" xfId="13441"/>
    <cellStyle name="Normal 2 2 2 3 3 2 2 5 2" xfId="4186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2"/>
    <cellStyle name="Normal 2 2 2 3 3 3" xfId="13746"/>
    <cellStyle name="Normal 2 2 2 3 3 3 2" xfId="41863"/>
    <cellStyle name="Normal 2 2 2 3 3 4" xfId="13747"/>
    <cellStyle name="Normal 2 2 2 3 3 4 2" xfId="41864"/>
    <cellStyle name="Normal 2 2 2 3 3 5" xfId="13748"/>
    <cellStyle name="Normal 2 2 2 3 3 5 2" xfId="41865"/>
    <cellStyle name="Normal 2 2 2 3 3 6" xfId="13749"/>
    <cellStyle name="Normal 2 2 2 3 3 6 2" xfId="41866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7"/>
    <cellStyle name="Normal 2 2 2 3 5" xfId="13813"/>
    <cellStyle name="Normal 2 2 2 3 5 2" xfId="41868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9"/>
    <cellStyle name="Normal 2 2 2 3 6 3" xfId="13831"/>
    <cellStyle name="Normal 2 2 2 3 6 3 2" xfId="41870"/>
    <cellStyle name="Normal 2 2 2 3 6 4" xfId="13832"/>
    <cellStyle name="Normal 2 2 2 3 6 4 2" xfId="41871"/>
    <cellStyle name="Normal 2 2 2 3 6 5" xfId="13833"/>
    <cellStyle name="Normal 2 2 2 3 6 5 2" xfId="41872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3"/>
    <cellStyle name="Normal 2 2 2 9 2 3" xfId="14876"/>
    <cellStyle name="Normal 2 2 2 9 2 3 2" xfId="41874"/>
    <cellStyle name="Normal 2 2 2 9 2 4" xfId="14877"/>
    <cellStyle name="Normal 2 2 2 9 2 4 2" xfId="41875"/>
    <cellStyle name="Normal 2 2 2 9 2 5" xfId="14878"/>
    <cellStyle name="Normal 2 2 2 9 2 5 2" xfId="41876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7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8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9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80"/>
    <cellStyle name="Normal 2 2 4 2 2 2 2 3" xfId="15390"/>
    <cellStyle name="Normal 2 2 4 2 2 2 2 3 2" xfId="41881"/>
    <cellStyle name="Normal 2 2 4 2 2 2 2 4" xfId="15391"/>
    <cellStyle name="Normal 2 2 4 2 2 2 2 4 2" xfId="41882"/>
    <cellStyle name="Normal 2 2 4 2 2 2 2 5" xfId="15392"/>
    <cellStyle name="Normal 2 2 4 2 2 2 2 5 2" xfId="41883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4"/>
    <cellStyle name="Normal 2 2 4 2 2 3" xfId="15697"/>
    <cellStyle name="Normal 2 2 4 2 2 3 2" xfId="41885"/>
    <cellStyle name="Normal 2 2 4 2 2 4" xfId="15698"/>
    <cellStyle name="Normal 2 2 4 2 2 4 2" xfId="41886"/>
    <cellStyle name="Normal 2 2 4 2 2 5" xfId="15699"/>
    <cellStyle name="Normal 2 2 4 2 2 5 2" xfId="41887"/>
    <cellStyle name="Normal 2 2 4 2 2 6" xfId="15700"/>
    <cellStyle name="Normal 2 2 4 2 2 6 2" xfId="41888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9"/>
    <cellStyle name="Normal 2 2 4 2 4" xfId="15764"/>
    <cellStyle name="Normal 2 2 4 2 4 2" xfId="41890"/>
    <cellStyle name="Normal 2 2 4 2 5" xfId="15765"/>
    <cellStyle name="Normal 2 2 4 2 5 2" xfId="41891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2"/>
    <cellStyle name="Normal 2 2 4 2 6 3" xfId="15783"/>
    <cellStyle name="Normal 2 2 4 2 6 3 2" xfId="41893"/>
    <cellStyle name="Normal 2 2 4 2 6 4" xfId="15784"/>
    <cellStyle name="Normal 2 2 4 2 6 4 2" xfId="41894"/>
    <cellStyle name="Normal 2 2 4 2 6 5" xfId="15785"/>
    <cellStyle name="Normal 2 2 4 2 6 5 2" xfId="4189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6"/>
    <cellStyle name="Normal 2 2 4 3 2 3" xfId="16431"/>
    <cellStyle name="Normal 2 2 4 3 2 3 2" xfId="41897"/>
    <cellStyle name="Normal 2 2 4 3 2 4" xfId="16432"/>
    <cellStyle name="Normal 2 2 4 3 2 4 2" xfId="41898"/>
    <cellStyle name="Normal 2 2 4 3 2 5" xfId="16433"/>
    <cellStyle name="Normal 2 2 4 3 2 5 2" xfId="41899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900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901"/>
    <cellStyle name="Normal 2 2 4 7" xfId="17299"/>
    <cellStyle name="Normal 2 2 4 7 2" xfId="41902"/>
    <cellStyle name="Normal 2 2 4 8" xfId="17300"/>
    <cellStyle name="Normal 2 2 4 8 2" xfId="41903"/>
    <cellStyle name="Normal 2 2 4 9" xfId="17301"/>
    <cellStyle name="Normal 2 2 4 9 2" xfId="41904"/>
    <cellStyle name="Normal 2 2 5" xfId="17302"/>
    <cellStyle name="Normal 2 2 5 2" xfId="41905"/>
    <cellStyle name="Normal 2 2 6" xfId="17303"/>
    <cellStyle name="Normal 2 2 6 2" xfId="41906"/>
    <cellStyle name="Normal 2 2 7" xfId="17304"/>
    <cellStyle name="Normal 2 2 7 2" xfId="41907"/>
    <cellStyle name="Normal 2 2 8" xfId="17305"/>
    <cellStyle name="Normal 2 2 8 2" xfId="41908"/>
    <cellStyle name="Normal 2 2 9" xfId="17306"/>
    <cellStyle name="Normal 2 2 9 2" xfId="41909"/>
    <cellStyle name="Normal 2 20" xfId="17307"/>
    <cellStyle name="Normal 2 20 2" xfId="41910"/>
    <cellStyle name="Normal 2 21" xfId="17308"/>
    <cellStyle name="Normal 2 22" xfId="17309"/>
    <cellStyle name="Normal 2 22 2" xfId="41911"/>
    <cellStyle name="Normal 2 23" xfId="41710"/>
    <cellStyle name="Normal 2 3" xfId="17310"/>
    <cellStyle name="Normal 2 3 10" xfId="17311"/>
    <cellStyle name="Normal 2 3 10 2" xfId="41912"/>
    <cellStyle name="Normal 2 3 11" xfId="17312"/>
    <cellStyle name="Normal 2 3 11 2" xfId="41913"/>
    <cellStyle name="Normal 2 3 12" xfId="17313"/>
    <cellStyle name="Normal 2 3 12 2" xfId="41914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5"/>
    <cellStyle name="Normal 2 3 13 3" xfId="17331"/>
    <cellStyle name="Normal 2 3 13 3 2" xfId="41916"/>
    <cellStyle name="Normal 2 3 13 4" xfId="17332"/>
    <cellStyle name="Normal 2 3 13 4 2" xfId="41917"/>
    <cellStyle name="Normal 2 3 13 5" xfId="17333"/>
    <cellStyle name="Normal 2 3 13 5 2" xfId="41918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9"/>
    <cellStyle name="Normal 2 3 2 14" xfId="18203"/>
    <cellStyle name="Normal 2 3 2 14 2" xfId="41920"/>
    <cellStyle name="Normal 2 3 2 15" xfId="18204"/>
    <cellStyle name="Normal 2 3 2 15 2" xfId="41921"/>
    <cellStyle name="Normal 2 3 2 16" xfId="18205"/>
    <cellStyle name="Normal 2 3 2 16 2" xfId="41922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3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4"/>
    <cellStyle name="Normal 2 3 2 2 2 2 2 3" xfId="18704"/>
    <cellStyle name="Normal 2 3 2 2 2 2 2 3 2" xfId="41925"/>
    <cellStyle name="Normal 2 3 2 2 2 2 2 4" xfId="18705"/>
    <cellStyle name="Normal 2 3 2 2 2 2 2 4 2" xfId="41926"/>
    <cellStyle name="Normal 2 3 2 2 2 2 2 5" xfId="18706"/>
    <cellStyle name="Normal 2 3 2 2 2 2 2 5 2" xfId="41927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8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9"/>
    <cellStyle name="Normal 2 3 2 2 2 7" xfId="19655"/>
    <cellStyle name="Normal 2 3 2 2 2 7 2" xfId="41930"/>
    <cellStyle name="Normal 2 3 2 2 2 8" xfId="19656"/>
    <cellStyle name="Normal 2 3 2 2 2 8 2" xfId="41931"/>
    <cellStyle name="Normal 2 3 2 2 2 9" xfId="19657"/>
    <cellStyle name="Normal 2 3 2 2 2 9 2" xfId="41932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3"/>
    <cellStyle name="Normal 2 3 2 2 3 2 2 3" xfId="19694"/>
    <cellStyle name="Normal 2 3 2 2 3 2 2 3 2" xfId="41934"/>
    <cellStyle name="Normal 2 3 2 2 3 2 2 4" xfId="19695"/>
    <cellStyle name="Normal 2 3 2 2 3 2 2 4 2" xfId="41935"/>
    <cellStyle name="Normal 2 3 2 2 3 2 2 5" xfId="19696"/>
    <cellStyle name="Normal 2 3 2 2 3 2 2 5 2" xfId="4193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7"/>
    <cellStyle name="Normal 2 3 2 2 3 3" xfId="20001"/>
    <cellStyle name="Normal 2 3 2 2 3 3 2" xfId="41938"/>
    <cellStyle name="Normal 2 3 2 2 3 4" xfId="20002"/>
    <cellStyle name="Normal 2 3 2 2 3 4 2" xfId="41939"/>
    <cellStyle name="Normal 2 3 2 2 3 5" xfId="20003"/>
    <cellStyle name="Normal 2 3 2 2 3 5 2" xfId="41940"/>
    <cellStyle name="Normal 2 3 2 2 3 6" xfId="20004"/>
    <cellStyle name="Normal 2 3 2 2 3 6 2" xfId="41941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2"/>
    <cellStyle name="Normal 2 3 2 2 5" xfId="20068"/>
    <cellStyle name="Normal 2 3 2 2 5 2" xfId="41943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4"/>
    <cellStyle name="Normal 2 3 2 2 6 3" xfId="20086"/>
    <cellStyle name="Normal 2 3 2 2 6 3 2" xfId="41945"/>
    <cellStyle name="Normal 2 3 2 2 6 4" xfId="20087"/>
    <cellStyle name="Normal 2 3 2 2 6 4 2" xfId="41946"/>
    <cellStyle name="Normal 2 3 2 2 6 5" xfId="20088"/>
    <cellStyle name="Normal 2 3 2 2 6 5 2" xfId="41947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8"/>
    <cellStyle name="Normal 2 3 2 9 2 3" xfId="21221"/>
    <cellStyle name="Normal 2 3 2 9 2 3 2" xfId="41949"/>
    <cellStyle name="Normal 2 3 2 9 2 4" xfId="21222"/>
    <cellStyle name="Normal 2 3 2 9 2 4 2" xfId="41950"/>
    <cellStyle name="Normal 2 3 2 9 2 5" xfId="21223"/>
    <cellStyle name="Normal 2 3 2 9 2 5 2" xfId="41951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2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3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4"/>
    <cellStyle name="Normal 2 3 3 2 2 2 2 3" xfId="21736"/>
    <cellStyle name="Normal 2 3 3 2 2 2 2 3 2" xfId="41955"/>
    <cellStyle name="Normal 2 3 3 2 2 2 2 4" xfId="21737"/>
    <cellStyle name="Normal 2 3 3 2 2 2 2 4 2" xfId="41956"/>
    <cellStyle name="Normal 2 3 3 2 2 2 2 5" xfId="21738"/>
    <cellStyle name="Normal 2 3 3 2 2 2 2 5 2" xfId="41957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8"/>
    <cellStyle name="Normal 2 3 3 2 2 3" xfId="22043"/>
    <cellStyle name="Normal 2 3 3 2 2 3 2" xfId="41959"/>
    <cellStyle name="Normal 2 3 3 2 2 4" xfId="22044"/>
    <cellStyle name="Normal 2 3 3 2 2 4 2" xfId="41960"/>
    <cellStyle name="Normal 2 3 3 2 2 5" xfId="22045"/>
    <cellStyle name="Normal 2 3 3 2 2 5 2" xfId="41961"/>
    <cellStyle name="Normal 2 3 3 2 2 6" xfId="22046"/>
    <cellStyle name="Normal 2 3 3 2 2 6 2" xfId="41962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3"/>
    <cellStyle name="Normal 2 3 3 2 4" xfId="22110"/>
    <cellStyle name="Normal 2 3 3 2 4 2" xfId="41964"/>
    <cellStyle name="Normal 2 3 3 2 5" xfId="22111"/>
    <cellStyle name="Normal 2 3 3 2 5 2" xfId="41965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6"/>
    <cellStyle name="Normal 2 3 3 2 6 3" xfId="22129"/>
    <cellStyle name="Normal 2 3 3 2 6 3 2" xfId="41967"/>
    <cellStyle name="Normal 2 3 3 2 6 4" xfId="22130"/>
    <cellStyle name="Normal 2 3 3 2 6 4 2" xfId="41968"/>
    <cellStyle name="Normal 2 3 3 2 6 5" xfId="22131"/>
    <cellStyle name="Normal 2 3 3 2 6 5 2" xfId="41969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70"/>
    <cellStyle name="Normal 2 3 3 3 2 3" xfId="22774"/>
    <cellStyle name="Normal 2 3 3 3 2 3 2" xfId="41971"/>
    <cellStyle name="Normal 2 3 3 3 2 4" xfId="22775"/>
    <cellStyle name="Normal 2 3 3 3 2 4 2" xfId="41972"/>
    <cellStyle name="Normal 2 3 3 3 2 5" xfId="22776"/>
    <cellStyle name="Normal 2 3 3 3 2 5 2" xfId="41973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4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5"/>
    <cellStyle name="Normal 2 3 3 7" xfId="23642"/>
    <cellStyle name="Normal 2 3 3 7 2" xfId="41976"/>
    <cellStyle name="Normal 2 3 3 8" xfId="23643"/>
    <cellStyle name="Normal 2 3 3 8 2" xfId="41977"/>
    <cellStyle name="Normal 2 3 3 9" xfId="23644"/>
    <cellStyle name="Normal 2 3 3 9 2" xfId="41978"/>
    <cellStyle name="Normal 2 3 4" xfId="23645"/>
    <cellStyle name="Normal 2 3 4 2" xfId="41979"/>
    <cellStyle name="Normal 2 3 5" xfId="23646"/>
    <cellStyle name="Normal 2 3 5 2" xfId="41980"/>
    <cellStyle name="Normal 2 3 6" xfId="23647"/>
    <cellStyle name="Normal 2 3 6 2" xfId="41981"/>
    <cellStyle name="Normal 2 3 7" xfId="23648"/>
    <cellStyle name="Normal 2 3 7 2" xfId="41982"/>
    <cellStyle name="Normal 2 3 8" xfId="23649"/>
    <cellStyle name="Normal 2 3 8 2" xfId="41983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4"/>
    <cellStyle name="Normal 2 3 9 2 2 3" xfId="23686"/>
    <cellStyle name="Normal 2 3 9 2 2 3 2" xfId="41985"/>
    <cellStyle name="Normal 2 3 9 2 2 4" xfId="23687"/>
    <cellStyle name="Normal 2 3 9 2 2 4 2" xfId="41986"/>
    <cellStyle name="Normal 2 3 9 2 2 5" xfId="23688"/>
    <cellStyle name="Normal 2 3 9 2 2 5 2" xfId="41987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8"/>
    <cellStyle name="Normal 2 3 9 3" xfId="23993"/>
    <cellStyle name="Normal 2 3 9 3 2" xfId="41989"/>
    <cellStyle name="Normal 2 3 9 4" xfId="23994"/>
    <cellStyle name="Normal 2 3 9 4 2" xfId="41990"/>
    <cellStyle name="Normal 2 3 9 5" xfId="23995"/>
    <cellStyle name="Normal 2 3 9 5 2" xfId="41991"/>
    <cellStyle name="Normal 2 3 9 6" xfId="23996"/>
    <cellStyle name="Normal 2 3 9 6 2" xfId="41992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3"/>
    <cellStyle name="Normal 2 4 2 2 2 3" xfId="24489"/>
    <cellStyle name="Normal 2 4 2 2 2 3 2" xfId="41994"/>
    <cellStyle name="Normal 2 4 2 2 2 4" xfId="24490"/>
    <cellStyle name="Normal 2 4 2 2 2 4 2" xfId="41995"/>
    <cellStyle name="Normal 2 4 2 2 2 5" xfId="24491"/>
    <cellStyle name="Normal 2 4 2 2 2 5 2" xfId="41996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7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8"/>
    <cellStyle name="Normal 2 4 2 7" xfId="25437"/>
    <cellStyle name="Normal 2 4 2 7 2" xfId="41999"/>
    <cellStyle name="Normal 2 4 2 8" xfId="25438"/>
    <cellStyle name="Normal 2 4 2 8 2" xfId="42000"/>
    <cellStyle name="Normal 2 4 2 9" xfId="25439"/>
    <cellStyle name="Normal 2 4 2 9 2" xfId="42001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2"/>
    <cellStyle name="Normal 2 4 3 2 2 3" xfId="25478"/>
    <cellStyle name="Normal 2 4 3 2 2 3 2" xfId="42003"/>
    <cellStyle name="Normal 2 4 3 2 2 4" xfId="25479"/>
    <cellStyle name="Normal 2 4 3 2 2 4 2" xfId="42004"/>
    <cellStyle name="Normal 2 4 3 2 2 5" xfId="25480"/>
    <cellStyle name="Normal 2 4 3 2 2 5 2" xfId="42005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6"/>
    <cellStyle name="Normal 2 4 3 3" xfId="25785"/>
    <cellStyle name="Normal 2 4 3 3 2" xfId="42007"/>
    <cellStyle name="Normal 2 4 3 4" xfId="25786"/>
    <cellStyle name="Normal 2 4 3 4 2" xfId="42008"/>
    <cellStyle name="Normal 2 4 3 5" xfId="25787"/>
    <cellStyle name="Normal 2 4 3 5 2" xfId="42009"/>
    <cellStyle name="Normal 2 4 3 6" xfId="25788"/>
    <cellStyle name="Normal 2 4 3 6 2" xfId="42010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11"/>
    <cellStyle name="Normal 2 4 5" xfId="25852"/>
    <cellStyle name="Normal 2 4 5 2" xfId="4201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3"/>
    <cellStyle name="Normal 2 4 6 3" xfId="25870"/>
    <cellStyle name="Normal 2 4 6 3 2" xfId="42014"/>
    <cellStyle name="Normal 2 4 6 4" xfId="25871"/>
    <cellStyle name="Normal 2 4 6 4 2" xfId="42015"/>
    <cellStyle name="Normal 2 4 6 5" xfId="25872"/>
    <cellStyle name="Normal 2 4 6 5 2" xfId="42016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9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2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21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2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3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5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6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7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8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9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30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31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2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3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4"/>
    <cellStyle name="Normal 3 4" xfId="27293"/>
    <cellStyle name="Normal 3 4 2" xfId="42035"/>
    <cellStyle name="Normal 3 5" xfId="27294"/>
    <cellStyle name="Normal 3 5 2" xfId="42036"/>
    <cellStyle name="Normal 3 6" xfId="27295"/>
    <cellStyle name="Normal 3 6 2" xfId="42037"/>
    <cellStyle name="Normal 3 7" xfId="27296"/>
    <cellStyle name="Normal 3 7 2" xfId="42038"/>
    <cellStyle name="Normal 3 8" xfId="27297"/>
    <cellStyle name="Normal 3 8 2" xfId="42039"/>
    <cellStyle name="Normal 3 9" xfId="42040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41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2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3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4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6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7"/>
    <cellStyle name="Normal 33 2" xfId="27544"/>
    <cellStyle name="Normal 33 2 10" xfId="27545"/>
    <cellStyle name="Normal 33 2 10 2" xfId="27546"/>
    <cellStyle name="Normal 33 2 11" xfId="27547"/>
    <cellStyle name="Normal 33 2 12" xfId="42048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9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50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51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2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3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171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4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6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7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8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9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60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1"/>
    <cellStyle name="Normal 56" xfId="42062"/>
    <cellStyle name="Normal 57" xfId="42063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4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5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6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7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8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9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70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1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1712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2DE"/>
      <color rgb="FFFF5050"/>
      <color rgb="FFFF7C8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472249</xdr:colOff>
      <xdr:row>2</xdr:row>
      <xdr:rowOff>243243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596199" cy="500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32571</xdr:colOff>
      <xdr:row>1</xdr:row>
      <xdr:rowOff>24578</xdr:rowOff>
    </xdr:from>
    <xdr:to>
      <xdr:col>2</xdr:col>
      <xdr:colOff>970248</xdr:colOff>
      <xdr:row>2</xdr:row>
      <xdr:rowOff>101517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531" y="215078"/>
          <a:ext cx="1615857" cy="518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211815</xdr:colOff>
      <xdr:row>1</xdr:row>
      <xdr:rowOff>70872</xdr:rowOff>
    </xdr:from>
    <xdr:to>
      <xdr:col>2</xdr:col>
      <xdr:colOff>688730</xdr:colOff>
      <xdr:row>2</xdr:row>
      <xdr:rowOff>292546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969" y="246718"/>
          <a:ext cx="1825069" cy="602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365760</xdr:colOff>
      <xdr:row>0</xdr:row>
      <xdr:rowOff>0</xdr:rowOff>
    </xdr:from>
    <xdr:to>
      <xdr:col>3</xdr:col>
      <xdr:colOff>371686</xdr:colOff>
      <xdr:row>0</xdr:row>
      <xdr:rowOff>342900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5680" y="0"/>
          <a:ext cx="1607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60"/>
  <sheetViews>
    <sheetView tabSelected="1" zoomScale="80" zoomScaleNormal="80" workbookViewId="0">
      <selection activeCell="C15" sqref="C15:I15"/>
    </sheetView>
  </sheetViews>
  <sheetFormatPr baseColWidth="10" defaultRowHeight="14.4"/>
  <cols>
    <col min="1" max="1" width="7.5546875" style="175" customWidth="1"/>
    <col min="2" max="2" width="21.33203125" customWidth="1"/>
    <col min="3" max="3" width="23.5546875" customWidth="1"/>
    <col min="4" max="4" width="15.44140625" customWidth="1"/>
    <col min="5" max="5" width="14.5546875" customWidth="1"/>
    <col min="6" max="6" width="12.88671875" customWidth="1"/>
    <col min="8" max="8" width="10.5546875" customWidth="1"/>
    <col min="9" max="9" width="11.6640625" customWidth="1"/>
    <col min="10" max="17" width="11.5546875" style="175"/>
    <col min="18" max="27" width="11.44140625" style="175"/>
  </cols>
  <sheetData>
    <row r="1" spans="2:27" s="175" customFormat="1" ht="15" thickBot="1"/>
    <row r="2" spans="2:27" ht="16.2" customHeight="1">
      <c r="B2" s="538" t="s">
        <v>217</v>
      </c>
      <c r="C2" s="539"/>
      <c r="D2" s="539"/>
      <c r="E2" s="539"/>
      <c r="F2" s="539"/>
      <c r="G2" s="539"/>
      <c r="H2" s="539"/>
      <c r="I2" s="540"/>
    </row>
    <row r="3" spans="2:27" ht="15.6" customHeight="1">
      <c r="B3" s="541" t="s">
        <v>121</v>
      </c>
      <c r="C3" s="542"/>
      <c r="D3" s="542"/>
      <c r="E3" s="542"/>
      <c r="F3" s="542"/>
      <c r="G3" s="542"/>
      <c r="H3" s="542"/>
      <c r="I3" s="543"/>
    </row>
    <row r="4" spans="2:27" ht="15" thickBot="1">
      <c r="B4" s="535">
        <v>43691</v>
      </c>
      <c r="C4" s="536"/>
      <c r="D4" s="536"/>
      <c r="E4" s="536"/>
      <c r="F4" s="536"/>
      <c r="G4" s="536"/>
      <c r="H4" s="536"/>
      <c r="I4" s="537"/>
    </row>
    <row r="5" spans="2:27" s="180" customFormat="1" ht="15" thickBot="1">
      <c r="B5" s="176"/>
      <c r="C5" s="176"/>
      <c r="D5" s="176"/>
      <c r="E5" s="176"/>
      <c r="F5" s="176"/>
      <c r="G5" s="176"/>
      <c r="H5" s="176"/>
      <c r="I5" s="176"/>
    </row>
    <row r="6" spans="2:27" ht="31.8" thickBot="1">
      <c r="B6" s="190" t="s">
        <v>53</v>
      </c>
      <c r="C6" s="191" t="s">
        <v>54</v>
      </c>
      <c r="D6" s="192" t="s">
        <v>14</v>
      </c>
      <c r="E6" s="193" t="s">
        <v>3</v>
      </c>
      <c r="F6" s="193" t="s">
        <v>4</v>
      </c>
      <c r="G6" s="193" t="s">
        <v>5</v>
      </c>
      <c r="H6" s="193" t="s">
        <v>6</v>
      </c>
      <c r="I6" s="194" t="s">
        <v>23</v>
      </c>
    </row>
    <row r="7" spans="2:27">
      <c r="B7" s="550" t="s">
        <v>58</v>
      </c>
      <c r="C7" s="181" t="s">
        <v>32</v>
      </c>
      <c r="D7" s="53">
        <f>'Resumen periodo'!E5+'Resumen periodo'!E6</f>
        <v>5</v>
      </c>
      <c r="E7" s="54">
        <f>'Resumen periodo'!F5+'Resumen periodo'!F6</f>
        <v>0</v>
      </c>
      <c r="F7" s="54">
        <f t="shared" ref="F7:F8" si="0">D7+E7</f>
        <v>5</v>
      </c>
      <c r="G7" s="54">
        <f>'Resumen periodo'!H5+'Resumen periodo'!H6</f>
        <v>0</v>
      </c>
      <c r="H7" s="54">
        <f t="shared" ref="H7:H15" si="1">F7-G7</f>
        <v>5</v>
      </c>
      <c r="I7" s="60">
        <f t="shared" ref="I7:I15" si="2">G7/F7</f>
        <v>0</v>
      </c>
    </row>
    <row r="8" spans="2:27">
      <c r="B8" s="551"/>
      <c r="C8" s="182" t="s">
        <v>33</v>
      </c>
      <c r="D8" s="51">
        <f>'Resumen periodo'!E7+'Resumen periodo'!E8</f>
        <v>60</v>
      </c>
      <c r="E8" s="2">
        <f>'Resumen periodo'!F7+'Resumen periodo'!F8</f>
        <v>0</v>
      </c>
      <c r="F8" s="2">
        <f t="shared" si="0"/>
        <v>60</v>
      </c>
      <c r="G8" s="2">
        <f>'Resumen periodo'!H7+'Resumen periodo'!H8</f>
        <v>0</v>
      </c>
      <c r="H8" s="2">
        <f t="shared" si="1"/>
        <v>60</v>
      </c>
      <c r="I8" s="61">
        <f t="shared" si="2"/>
        <v>0</v>
      </c>
    </row>
    <row r="9" spans="2:27">
      <c r="B9" s="551"/>
      <c r="C9" s="182" t="s">
        <v>34</v>
      </c>
      <c r="D9" s="51">
        <f>'Resumen periodo'!E9+'Resumen periodo'!E10</f>
        <v>670</v>
      </c>
      <c r="E9" s="465">
        <f>'Resumen periodo'!F9+'Resumen periodo'!F10</f>
        <v>-68.942999999999998</v>
      </c>
      <c r="F9" s="2">
        <f>D9+E9</f>
        <v>601.05700000000002</v>
      </c>
      <c r="G9" s="8">
        <f>'Resumen periodo'!H9+'Resumen periodo'!H10</f>
        <v>283.73099999999999</v>
      </c>
      <c r="H9" s="2">
        <f t="shared" si="1"/>
        <v>317.32600000000002</v>
      </c>
      <c r="I9" s="61">
        <f t="shared" si="2"/>
        <v>0.47205339926163409</v>
      </c>
    </row>
    <row r="10" spans="2:27" ht="15" thickBot="1">
      <c r="B10" s="551"/>
      <c r="C10" s="183" t="s">
        <v>20</v>
      </c>
      <c r="D10" s="52">
        <f>'Resumen periodo'!E11</f>
        <v>15</v>
      </c>
      <c r="E10" s="4">
        <f>'Resumen periodo'!F11</f>
        <v>0</v>
      </c>
      <c r="F10" s="4">
        <f>D10+E10</f>
        <v>15</v>
      </c>
      <c r="G10" s="114">
        <f>+'Pesca Invest_FA'!E22</f>
        <v>0</v>
      </c>
      <c r="H10" s="4">
        <f t="shared" si="1"/>
        <v>15</v>
      </c>
      <c r="I10" s="62">
        <f t="shared" si="2"/>
        <v>0</v>
      </c>
    </row>
    <row r="11" spans="2:27" ht="15" thickBot="1">
      <c r="B11" s="551"/>
      <c r="C11" s="184" t="s">
        <v>123</v>
      </c>
      <c r="D11" s="170">
        <f>SUM(D7:D10)</f>
        <v>750</v>
      </c>
      <c r="E11" s="464">
        <f>SUM(E7:E10)</f>
        <v>-68.942999999999998</v>
      </c>
      <c r="F11" s="171">
        <f>D11+E11</f>
        <v>681.05700000000002</v>
      </c>
      <c r="G11" s="170">
        <f>SUM(G7:G10)</f>
        <v>283.73099999999999</v>
      </c>
      <c r="H11" s="171">
        <f t="shared" ref="H11" si="3">F11-G11</f>
        <v>397.32600000000002</v>
      </c>
      <c r="I11" s="172">
        <f t="shared" ref="I11" si="4">G11/F11</f>
        <v>0.41660389659015323</v>
      </c>
    </row>
    <row r="12" spans="2:27">
      <c r="B12" s="551"/>
      <c r="C12" s="185" t="s">
        <v>47</v>
      </c>
      <c r="D12" s="56">
        <f>+'Resumen periodo'!E12+'Resumen periodo'!E13</f>
        <v>31.003096900000003</v>
      </c>
      <c r="E12" s="56">
        <f>+'Resumen periodo'!F12+'Resumen periodo'!F13</f>
        <v>0</v>
      </c>
      <c r="F12" s="54">
        <f>D12+E12</f>
        <v>31.003096900000003</v>
      </c>
      <c r="G12" s="54">
        <f>+'Resumen periodo'!H12+'Resumen periodo'!H13</f>
        <v>0</v>
      </c>
      <c r="H12" s="57">
        <f t="shared" si="1"/>
        <v>31.003096900000003</v>
      </c>
      <c r="I12" s="63">
        <f t="shared" si="2"/>
        <v>0</v>
      </c>
    </row>
    <row r="13" spans="2:27" ht="15" thickBot="1">
      <c r="B13" s="551"/>
      <c r="C13" s="186" t="s">
        <v>48</v>
      </c>
      <c r="D13" s="58">
        <f>+'Resumen periodo'!E14+'Resumen periodo'!E15</f>
        <v>25.002497499999997</v>
      </c>
      <c r="E13" s="58">
        <f>+'Resumen periodo'!F14+'Resumen periodo'!F15</f>
        <v>68.942999999999998</v>
      </c>
      <c r="F13" s="3">
        <f t="shared" ref="F13" si="5">D13+E13</f>
        <v>93.945497499999988</v>
      </c>
      <c r="G13" s="67">
        <f>+'Resumen periodo'!H14+'Resumen periodo'!H15</f>
        <v>17.863</v>
      </c>
      <c r="H13" s="59">
        <f t="shared" si="1"/>
        <v>76.082497499999988</v>
      </c>
      <c r="I13" s="64">
        <f t="shared" si="2"/>
        <v>0.19014216194874056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</row>
    <row r="14" spans="2:27" ht="15" thickBot="1">
      <c r="B14" s="551"/>
      <c r="C14" s="184" t="s">
        <v>122</v>
      </c>
      <c r="D14" s="170">
        <f>SUM(D12:D13)</f>
        <v>56.0055944</v>
      </c>
      <c r="E14" s="170">
        <f>SUM(E12:E13)</f>
        <v>68.942999999999998</v>
      </c>
      <c r="F14" s="173">
        <f>D14+E14</f>
        <v>124.94859439999999</v>
      </c>
      <c r="G14" s="170">
        <f>SUM(G12:G13)</f>
        <v>17.863</v>
      </c>
      <c r="H14" s="173">
        <f t="shared" si="1"/>
        <v>107.08559439999999</v>
      </c>
      <c r="I14" s="174">
        <f t="shared" si="2"/>
        <v>0.14296279270509346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</row>
    <row r="15" spans="2:27" ht="15" thickBot="1">
      <c r="B15" s="552"/>
      <c r="C15" s="477" t="s">
        <v>115</v>
      </c>
      <c r="D15" s="474">
        <v>16</v>
      </c>
      <c r="E15" s="474">
        <v>0</v>
      </c>
      <c r="F15" s="475">
        <f>D15+E15</f>
        <v>16</v>
      </c>
      <c r="G15" s="474">
        <f>+'Pesca Invest_FA'!E11</f>
        <v>8.5229999999999997</v>
      </c>
      <c r="H15" s="475">
        <f t="shared" si="1"/>
        <v>7.4770000000000003</v>
      </c>
      <c r="I15" s="476">
        <f t="shared" si="2"/>
        <v>0.53268749999999998</v>
      </c>
      <c r="J15" s="178"/>
    </row>
    <row r="16" spans="2:27" ht="23.4" customHeight="1" thickBot="1">
      <c r="B16" s="553" t="s">
        <v>59</v>
      </c>
      <c r="C16" s="554"/>
      <c r="D16" s="187">
        <f>+D11+D14+D15</f>
        <v>822.00559439999995</v>
      </c>
      <c r="E16" s="188">
        <f>SUM(E7:E15)</f>
        <v>0</v>
      </c>
      <c r="F16" s="188">
        <f>+D16+E16</f>
        <v>822.00559439999995</v>
      </c>
      <c r="G16" s="188">
        <f>+G15+G14+G11</f>
        <v>310.11700000000002</v>
      </c>
      <c r="H16" s="188">
        <f>+F16-G16</f>
        <v>511.88859439999993</v>
      </c>
      <c r="I16" s="189">
        <f>+G16/F16</f>
        <v>0.37726872190737493</v>
      </c>
    </row>
    <row r="17" spans="1:27" s="180" customFormat="1" ht="15" thickBot="1">
      <c r="B17" s="179"/>
      <c r="C17" s="179"/>
      <c r="D17" s="179"/>
      <c r="E17" s="179"/>
      <c r="F17" s="179"/>
      <c r="G17" s="179"/>
      <c r="H17" s="179"/>
      <c r="I17" s="179"/>
    </row>
    <row r="18" spans="1:27" s="1" customFormat="1" ht="17.399999999999999" customHeight="1">
      <c r="A18" s="175"/>
      <c r="B18" s="544" t="s">
        <v>66</v>
      </c>
      <c r="C18" s="545"/>
      <c r="D18" s="545"/>
      <c r="E18" s="545"/>
      <c r="F18" s="545"/>
      <c r="G18" s="545"/>
      <c r="H18" s="545"/>
      <c r="I18" s="546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7" s="1" customFormat="1" hidden="1">
      <c r="A19" s="175"/>
      <c r="B19" s="547"/>
      <c r="C19" s="548"/>
      <c r="D19" s="548"/>
      <c r="E19" s="548"/>
      <c r="F19" s="548"/>
      <c r="G19" s="548"/>
      <c r="H19" s="548"/>
      <c r="I19" s="549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</row>
    <row r="20" spans="1:27" s="1" customFormat="1" ht="17.399999999999999" customHeight="1" thickBot="1">
      <c r="A20" s="175"/>
      <c r="B20" s="532">
        <f>+B4</f>
        <v>43691</v>
      </c>
      <c r="C20" s="533"/>
      <c r="D20" s="533"/>
      <c r="E20" s="533"/>
      <c r="F20" s="533"/>
      <c r="G20" s="533"/>
      <c r="H20" s="533"/>
      <c r="I20" s="53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</row>
    <row r="21" spans="1:27" s="180" customFormat="1" ht="15" thickBot="1">
      <c r="B21" s="179"/>
      <c r="C21" s="179"/>
      <c r="D21" s="179"/>
      <c r="E21" s="179"/>
      <c r="F21" s="179"/>
      <c r="G21" s="179"/>
      <c r="H21" s="179"/>
      <c r="I21" s="179"/>
    </row>
    <row r="22" spans="1:27" s="1" customFormat="1" ht="31.8" thickBot="1">
      <c r="A22" s="175"/>
      <c r="B22" s="495" t="s">
        <v>53</v>
      </c>
      <c r="C22" s="496" t="s">
        <v>54</v>
      </c>
      <c r="D22" s="497" t="s">
        <v>63</v>
      </c>
      <c r="E22" s="498" t="s">
        <v>3</v>
      </c>
      <c r="F22" s="498" t="s">
        <v>4</v>
      </c>
      <c r="G22" s="498" t="s">
        <v>5</v>
      </c>
      <c r="H22" s="498" t="s">
        <v>6</v>
      </c>
      <c r="I22" s="499" t="s">
        <v>23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</row>
    <row r="23" spans="1:27" s="1" customFormat="1" ht="14.4" customHeight="1">
      <c r="A23" s="175"/>
      <c r="B23" s="555" t="s">
        <v>97</v>
      </c>
      <c r="C23" s="489" t="s">
        <v>56</v>
      </c>
      <c r="D23" s="53">
        <f>+'Resumen periodo'!E23+'Resumen periodo'!E24</f>
        <v>1094.5002101</v>
      </c>
      <c r="E23" s="54">
        <f>+'Resumen periodo'!F23+'Resumen periodo'!F24</f>
        <v>0</v>
      </c>
      <c r="F23" s="54">
        <f>D23+E23</f>
        <v>1094.5002101</v>
      </c>
      <c r="G23" s="54">
        <f>+'Resumen periodo'!H23+'Resumen periodo'!H24</f>
        <v>673.39699999999993</v>
      </c>
      <c r="H23" s="57">
        <f t="shared" ref="H23:H26" si="6">F23-G23</f>
        <v>421.10321010000007</v>
      </c>
      <c r="I23" s="63">
        <f t="shared" ref="I23:I26" si="7">G23/F23</f>
        <v>0.61525524964355593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</row>
    <row r="24" spans="1:27" s="1" customFormat="1">
      <c r="A24" s="175"/>
      <c r="B24" s="556"/>
      <c r="C24" s="490" t="s">
        <v>57</v>
      </c>
      <c r="D24" s="487">
        <f>+'Resumen periodo'!E25+'Resumen periodo'!E26</f>
        <v>3544.1906803420011</v>
      </c>
      <c r="E24" s="483">
        <f>+'Resumen periodo'!F25+'Resumen periodo'!F26</f>
        <v>0</v>
      </c>
      <c r="F24" s="483">
        <f t="shared" ref="F24:F26" si="8">D24+E24</f>
        <v>3544.1906803420011</v>
      </c>
      <c r="G24" s="483">
        <f>+'Resumen periodo'!H25+'Resumen periodo'!H26</f>
        <v>2596.2880000000014</v>
      </c>
      <c r="H24" s="484">
        <f t="shared" si="6"/>
        <v>947.90268034199971</v>
      </c>
      <c r="I24" s="485">
        <f t="shared" si="7"/>
        <v>0.73254749367758887</v>
      </c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7" s="1" customFormat="1">
      <c r="A25" s="175"/>
      <c r="B25" s="556"/>
      <c r="C25" s="490" t="s">
        <v>20</v>
      </c>
      <c r="D25" s="487">
        <f>+'Resumen periodo'!E27</f>
        <v>50</v>
      </c>
      <c r="E25" s="483">
        <f>+'Resumen periodo'!F27</f>
        <v>0</v>
      </c>
      <c r="F25" s="483">
        <f t="shared" si="8"/>
        <v>50</v>
      </c>
      <c r="G25" s="486">
        <f>+'Pesca Invest_FA'!G22:J22</f>
        <v>0.02</v>
      </c>
      <c r="H25" s="484">
        <f>F25-G25</f>
        <v>49.98</v>
      </c>
      <c r="I25" s="485">
        <f t="shared" si="7"/>
        <v>4.0000000000000002E-4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</row>
    <row r="26" spans="1:27" s="1" customFormat="1" ht="15" thickBot="1">
      <c r="A26" s="175"/>
      <c r="B26" s="556"/>
      <c r="C26" s="491" t="s">
        <v>55</v>
      </c>
      <c r="D26" s="488">
        <v>86</v>
      </c>
      <c r="E26" s="479">
        <v>0</v>
      </c>
      <c r="F26" s="478">
        <f t="shared" si="8"/>
        <v>86</v>
      </c>
      <c r="G26" s="480">
        <f>+'Pesca Invest_FA'!G11:J11</f>
        <v>1.9020000000000001</v>
      </c>
      <c r="H26" s="481">
        <f t="shared" si="6"/>
        <v>84.097999999999999</v>
      </c>
      <c r="I26" s="482">
        <f t="shared" si="7"/>
        <v>2.2116279069767444E-2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7" s="1" customFormat="1" ht="24.6" customHeight="1" thickBot="1">
      <c r="A27" s="175"/>
      <c r="B27" s="530" t="s">
        <v>190</v>
      </c>
      <c r="C27" s="531"/>
      <c r="D27" s="492">
        <f>SUM(D23:D26)</f>
        <v>4774.6908904420015</v>
      </c>
      <c r="E27" s="493">
        <f>SUM(E20:E26)</f>
        <v>0</v>
      </c>
      <c r="F27" s="493">
        <f>+D27+E27</f>
        <v>4774.6908904420015</v>
      </c>
      <c r="G27" s="493">
        <f>SUM(G23:G26)</f>
        <v>3271.6070000000013</v>
      </c>
      <c r="H27" s="493">
        <f>+F27-G27</f>
        <v>1503.0838904420002</v>
      </c>
      <c r="I27" s="494">
        <f>+G27/F27</f>
        <v>0.68519765468988147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</row>
    <row r="28" spans="1:27" s="1" customFormat="1" ht="14.2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29" spans="1:27" s="1" customFormat="1" ht="0.9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1:27" s="1" customForma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</row>
    <row r="31" spans="1:27" s="1" customForma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</row>
    <row r="32" spans="1:27" s="1" customFormat="1" ht="13.9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</row>
    <row r="33" spans="1:27" s="1" customForma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</row>
    <row r="34" spans="1:27" s="1" customForma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</row>
    <row r="35" spans="1:27" s="1" customForma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</row>
    <row r="36" spans="1:27" s="1" customForma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</row>
    <row r="37" spans="1:27" s="1" customForma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</row>
    <row r="38" spans="1:27" s="1" customForma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</row>
    <row r="39" spans="1:27" s="1" customForma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</row>
    <row r="40" spans="1:27" s="1" customForma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</row>
    <row r="41" spans="1:27" s="1" customForma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</row>
    <row r="42" spans="1:27" s="1" customForma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</row>
    <row r="43" spans="1:27" s="1" customForma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</row>
    <row r="44" spans="1:27" s="1" customForma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</row>
    <row r="45" spans="1:27" s="1" customForma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1:27" s="1" customForma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</row>
    <row r="47" spans="1:27" s="1" customForma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</row>
    <row r="48" spans="1:27" s="1" customForma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</row>
    <row r="49" spans="1:27" s="1" customForma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</row>
    <row r="50" spans="1:27" s="1" customForma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</row>
    <row r="51" spans="1:27" s="1" customForma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</row>
    <row r="52" spans="1:27" s="1" customForma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1:27" s="1" customForma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</row>
    <row r="54" spans="1:27" s="1" customForma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</row>
    <row r="55" spans="1:27" s="1" customForma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</row>
    <row r="56" spans="1:27" s="1" customForma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</row>
    <row r="57" spans="1:27" s="1" customForma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</row>
    <row r="58" spans="1:27" s="1" customForma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</row>
    <row r="59" spans="1:27" s="1" customForma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</row>
    <row r="60" spans="1:27" s="1" customForma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</row>
    <row r="61" spans="1:27" s="1" customForma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</row>
    <row r="62" spans="1:27" s="1" customForma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</row>
    <row r="63" spans="1:27" s="1" customForma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1:27" s="1" customForma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1:27" s="1" customForma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</row>
    <row r="66" spans="1:27" s="1" customForma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</row>
    <row r="67" spans="1:27" s="1" customForma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</row>
    <row r="68" spans="1:27" s="1" customForma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</row>
    <row r="69" spans="1:27" s="1" customForma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</row>
    <row r="70" spans="1:27" s="1" customForma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</row>
    <row r="71" spans="1:27" s="1" customForma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</row>
    <row r="72" spans="1:27" s="1" customForma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</row>
    <row r="73" spans="1:27" s="1" customForma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</row>
    <row r="74" spans="1:27" s="1" customForma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</row>
    <row r="75" spans="1:27" s="1" customForma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</row>
    <row r="76" spans="1:27" s="1" customForma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</row>
    <row r="77" spans="1:27" s="1" customForma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</row>
    <row r="78" spans="1:27" s="1" customForma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</row>
    <row r="79" spans="1:27" s="1" customForma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</row>
    <row r="80" spans="1:27" s="1" customForma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</row>
    <row r="81" spans="1:27" s="1" customForma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</row>
    <row r="82" spans="1:27" s="1" customForma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</row>
    <row r="83" spans="1:27" s="1" customForma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</row>
    <row r="84" spans="1:27" s="1" customForma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</row>
    <row r="85" spans="1:27" s="1" customForma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</row>
    <row r="86" spans="1:27" s="1" customForma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</row>
    <row r="87" spans="1:27" s="1" customForma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</row>
    <row r="88" spans="1:27" s="1" customForma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s="1" customForma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</row>
    <row r="90" spans="1:27" s="1" customForma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</row>
    <row r="91" spans="1:27" s="1" customForma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</row>
    <row r="92" spans="1:27" s="1" customForma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</row>
    <row r="93" spans="1:27" s="1" customForma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</row>
    <row r="94" spans="1:27" s="1" customForma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</row>
    <row r="95" spans="1:27" s="1" customForma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</row>
    <row r="96" spans="1:27" s="1" customForma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</row>
    <row r="97" spans="1:27" s="1" customForma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</row>
    <row r="98" spans="1:27" s="1" customForma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</row>
    <row r="99" spans="1:27" s="1" customForma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</row>
    <row r="100" spans="1:27" s="1" customForma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</row>
    <row r="101" spans="1:27" s="1" customForma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</row>
    <row r="102" spans="1:27" s="1" customForma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</row>
    <row r="103" spans="1:27" s="1" customForma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</row>
    <row r="104" spans="1:27" s="1" customForma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</row>
    <row r="105" spans="1:27" s="1" customForma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</row>
    <row r="106" spans="1:27" s="1" customForma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</row>
    <row r="107" spans="1:27" s="1" customForma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</row>
    <row r="108" spans="1:27" s="1" customForma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</row>
    <row r="109" spans="1:27" s="1" customForma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</row>
    <row r="110" spans="1:27" s="1" customForma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</row>
    <row r="111" spans="1:27" s="1" customForma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s="1" customForma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</row>
    <row r="113" spans="1:27" s="1" customForma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</row>
    <row r="114" spans="1:27" s="1" customForma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</row>
    <row r="115" spans="1:27" s="1" customForma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</row>
    <row r="116" spans="1:27" s="1" customForma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</row>
    <row r="117" spans="1:27" s="1" customForma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</row>
    <row r="118" spans="1:27" s="1" customForma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</row>
    <row r="119" spans="1:27" s="1" customForma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</row>
    <row r="120" spans="1:27" s="1" customForma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</row>
    <row r="121" spans="1:27" s="1" customForma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</row>
    <row r="122" spans="1:27" s="1" customForma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</row>
    <row r="123" spans="1:27" s="1" customForma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</row>
    <row r="124" spans="1:27" s="1" customForma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</row>
    <row r="125" spans="1:27" s="1" customForma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</row>
    <row r="126" spans="1:27" s="1" customForma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</row>
    <row r="127" spans="1:27" s="1" customForma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</row>
    <row r="128" spans="1:27" s="1" customForma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</row>
    <row r="129" spans="1:27" s="1" customForma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</row>
    <row r="130" spans="1:27" s="1" customForma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</row>
    <row r="131" spans="1:27" s="1" customForma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</row>
    <row r="132" spans="1:27" s="1" customForma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</row>
    <row r="133" spans="1:27" s="1" customForma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</row>
    <row r="134" spans="1:27" s="1" customForma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</row>
    <row r="135" spans="1:27" s="1" customForma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</row>
    <row r="136" spans="1:27" s="1" customForma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</row>
    <row r="137" spans="1:27" s="1" customForma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</row>
    <row r="138" spans="1:27" s="1" customForma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</row>
    <row r="139" spans="1:27" s="1" customForma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</row>
    <row r="140" spans="1:27" s="1" customForma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</row>
    <row r="141" spans="1:27" s="1" customForma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</row>
    <row r="142" spans="1:27" s="1" customForma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</row>
    <row r="143" spans="1:27" s="1" customForma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</row>
    <row r="144" spans="1:27" s="1" customForma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</row>
    <row r="145" spans="1:27" s="1" customForma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</row>
    <row r="146" spans="1:27" s="1" customForma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</row>
    <row r="147" spans="1:27" s="1" customForma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</row>
    <row r="148" spans="1:27" s="1" customForma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</row>
    <row r="149" spans="1:27" s="1" customForma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</row>
    <row r="150" spans="1:27" s="1" customForma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</row>
    <row r="151" spans="1:27" s="1" customForma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</row>
    <row r="152" spans="1:27" s="1" customForma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</row>
    <row r="153" spans="1:27" s="1" customForma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</row>
    <row r="154" spans="1:27" s="1" customForma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</row>
    <row r="155" spans="1:27" s="1" customForma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</row>
    <row r="156" spans="1:27" s="1" customForma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</row>
    <row r="157" spans="1:27" s="1" customForma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</row>
    <row r="158" spans="1:27" s="1" customForma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</row>
    <row r="159" spans="1:27" s="1" customForma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</row>
    <row r="160" spans="1:27" s="1" customForma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</row>
  </sheetData>
  <mergeCells count="10">
    <mergeCell ref="B27:C27"/>
    <mergeCell ref="B20:I20"/>
    <mergeCell ref="B4:I4"/>
    <mergeCell ref="B2:I2"/>
    <mergeCell ref="B3:I3"/>
    <mergeCell ref="B18:I18"/>
    <mergeCell ref="B19:I19"/>
    <mergeCell ref="B7:B15"/>
    <mergeCell ref="B16:C16"/>
    <mergeCell ref="B23:B26"/>
  </mergeCells>
  <pageMargins left="0.7" right="0.7" top="0.75" bottom="0.75" header="0.3" footer="0.3"/>
  <pageSetup paperSize="177" scale="71" orientation="portrait" r:id="rId1"/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12"/>
  <sheetViews>
    <sheetView topLeftCell="A2" zoomScale="70" zoomScaleNormal="70" workbookViewId="0">
      <selection activeCell="L27" sqref="L27"/>
    </sheetView>
  </sheetViews>
  <sheetFormatPr baseColWidth="10" defaultColWidth="11.5546875" defaultRowHeight="14.4"/>
  <cols>
    <col min="1" max="1" width="5.88671875" style="247" customWidth="1"/>
    <col min="2" max="2" width="24.44140625" style="247" customWidth="1"/>
    <col min="3" max="3" width="24.109375" style="247" customWidth="1"/>
    <col min="4" max="4" width="18.5546875" style="247" customWidth="1"/>
    <col min="5" max="5" width="16.109375" style="247" customWidth="1"/>
    <col min="6" max="6" width="15.44140625" style="385" customWidth="1"/>
    <col min="7" max="7" width="13.88671875" style="247" customWidth="1"/>
    <col min="8" max="8" width="15.109375" style="247" customWidth="1"/>
    <col min="9" max="9" width="13.44140625" style="247" customWidth="1"/>
    <col min="10" max="10" width="15.109375" style="247" customWidth="1"/>
    <col min="11" max="306" width="11.44140625" style="247" customWidth="1"/>
    <col min="307" max="16384" width="11.5546875" style="247"/>
  </cols>
  <sheetData>
    <row r="1" spans="1:10" s="23" customFormat="1" ht="15" hidden="1" thickBot="1">
      <c r="A1" s="247"/>
      <c r="E1" s="24"/>
      <c r="F1" s="25"/>
    </row>
    <row r="2" spans="1:10" ht="18.600000000000001" customHeight="1">
      <c r="B2" s="544" t="s">
        <v>116</v>
      </c>
      <c r="C2" s="545"/>
      <c r="D2" s="545"/>
      <c r="E2" s="545"/>
      <c r="F2" s="545"/>
      <c r="G2" s="545"/>
      <c r="H2" s="545"/>
      <c r="I2" s="545"/>
      <c r="J2" s="546"/>
    </row>
    <row r="3" spans="1:10" ht="15.6" customHeight="1">
      <c r="B3" s="583">
        <f>+'Resumen anual'!B4:I4</f>
        <v>43691</v>
      </c>
      <c r="C3" s="584"/>
      <c r="D3" s="584"/>
      <c r="E3" s="584"/>
      <c r="F3" s="584"/>
      <c r="G3" s="584"/>
      <c r="H3" s="584"/>
      <c r="I3" s="584"/>
      <c r="J3" s="585"/>
    </row>
    <row r="4" spans="1:10" ht="35.4" customHeight="1">
      <c r="B4" s="39" t="s">
        <v>13</v>
      </c>
      <c r="C4" s="91" t="s">
        <v>0</v>
      </c>
      <c r="D4" s="91" t="s">
        <v>1</v>
      </c>
      <c r="E4" s="92" t="s">
        <v>2</v>
      </c>
      <c r="F4" s="93" t="s">
        <v>3</v>
      </c>
      <c r="G4" s="91" t="s">
        <v>4</v>
      </c>
      <c r="H4" s="91" t="s">
        <v>5</v>
      </c>
      <c r="I4" s="91" t="s">
        <v>6</v>
      </c>
      <c r="J4" s="94" t="s">
        <v>17</v>
      </c>
    </row>
    <row r="5" spans="1:10" ht="21" customHeight="1">
      <c r="B5" s="572" t="s">
        <v>67</v>
      </c>
      <c r="C5" s="559" t="s">
        <v>32</v>
      </c>
      <c r="D5" s="95" t="s">
        <v>31</v>
      </c>
      <c r="E5" s="26">
        <f>'Control Cuota Artesanal XV-IV'!E7</f>
        <v>4</v>
      </c>
      <c r="F5" s="35">
        <f>'Control Cuota Artesanal XV-IV'!F7</f>
        <v>0</v>
      </c>
      <c r="G5" s="29">
        <f>E5</f>
        <v>4</v>
      </c>
      <c r="H5" s="28">
        <f>'Control Cuota Artesanal XV-IV'!H7</f>
        <v>0</v>
      </c>
      <c r="I5" s="396">
        <f t="shared" ref="I5:I13" si="0">G5-H5</f>
        <v>4</v>
      </c>
      <c r="J5" s="37">
        <f t="shared" ref="J5:J11" si="1">H5/G5</f>
        <v>0</v>
      </c>
    </row>
    <row r="6" spans="1:10" ht="21" customHeight="1">
      <c r="B6" s="572"/>
      <c r="C6" s="580"/>
      <c r="D6" s="33" t="s">
        <v>30</v>
      </c>
      <c r="E6" s="30">
        <f>'Control Cuota Artesanal XV-IV'!E8</f>
        <v>1</v>
      </c>
      <c r="F6" s="36">
        <f>'Control Cuota Artesanal XV-IV'!F8</f>
        <v>0</v>
      </c>
      <c r="G6" s="32">
        <f>E6+I5</f>
        <v>5</v>
      </c>
      <c r="H6" s="31">
        <f>'Control Cuota Artesanal XV-IV'!H8</f>
        <v>0</v>
      </c>
      <c r="I6" s="32">
        <f t="shared" si="0"/>
        <v>5</v>
      </c>
      <c r="J6" s="38">
        <f t="shared" si="1"/>
        <v>0</v>
      </c>
    </row>
    <row r="7" spans="1:10" ht="21" customHeight="1">
      <c r="B7" s="572"/>
      <c r="C7" s="580" t="s">
        <v>51</v>
      </c>
      <c r="D7" s="95" t="s">
        <v>31</v>
      </c>
      <c r="E7" s="96">
        <f>'Control Cuota Artesanal XV-IV'!E9</f>
        <v>54</v>
      </c>
      <c r="F7" s="97">
        <f>'Control Cuota Artesanal XV-IV'!F9</f>
        <v>0</v>
      </c>
      <c r="G7" s="98">
        <f>E7</f>
        <v>54</v>
      </c>
      <c r="H7" s="99">
        <f>'Control Cuota Artesanal XV-IV'!H9</f>
        <v>0</v>
      </c>
      <c r="I7" s="396">
        <f t="shared" si="0"/>
        <v>54</v>
      </c>
      <c r="J7" s="100">
        <f t="shared" si="1"/>
        <v>0</v>
      </c>
    </row>
    <row r="8" spans="1:10" ht="21" customHeight="1">
      <c r="B8" s="572"/>
      <c r="C8" s="581"/>
      <c r="D8" s="34" t="s">
        <v>30</v>
      </c>
      <c r="E8" s="26">
        <f>'Control Cuota Artesanal XV-IV'!E10</f>
        <v>6</v>
      </c>
      <c r="F8" s="35">
        <f>'Control Cuota Artesanal XV-IV'!F10</f>
        <v>0</v>
      </c>
      <c r="G8" s="32">
        <f>E8+I7</f>
        <v>60</v>
      </c>
      <c r="H8" s="28">
        <f>'Control Cuota Artesanal XV-IV'!H10</f>
        <v>0</v>
      </c>
      <c r="I8" s="29">
        <f t="shared" si="0"/>
        <v>60</v>
      </c>
      <c r="J8" s="37">
        <f t="shared" si="1"/>
        <v>0</v>
      </c>
    </row>
    <row r="9" spans="1:10" ht="21" customHeight="1">
      <c r="B9" s="572"/>
      <c r="C9" s="580" t="s">
        <v>52</v>
      </c>
      <c r="D9" s="95" t="s">
        <v>31</v>
      </c>
      <c r="E9" s="96">
        <f>'Control Cuota Artesanal XV-IV'!E15+'Control Cuota Artesanal XV-IV'!E17+'Control Cuota Artesanal XV-IV'!E11+'Control Cuota Artesanal XV-IV'!E13+'Control Cuota Artesanal XV-IV'!E19</f>
        <v>603</v>
      </c>
      <c r="F9" s="97">
        <f>'Control Cuota Artesanal XV-IV'!F15+'Control Cuota Artesanal XV-IV'!F17+'Control Cuota Artesanal XV-IV'!F11+'Control Cuota Artesanal XV-IV'!F13+'Control Cuota Artesanal XV-IV'!F19</f>
        <v>-68.942999999999998</v>
      </c>
      <c r="G9" s="98">
        <f>E9+F9</f>
        <v>534.05700000000002</v>
      </c>
      <c r="H9" s="99">
        <f>'Control Cuota Artesanal XV-IV'!H15+'Control Cuota Artesanal XV-IV'!H17+'Control Cuota Artesanal XV-IV'!H11+'Control Cuota Artesanal XV-IV'!H13+'Control Cuota Artesanal XV-IV'!H19</f>
        <v>283.73099999999999</v>
      </c>
      <c r="I9" s="396">
        <f t="shared" si="0"/>
        <v>250.32600000000002</v>
      </c>
      <c r="J9" s="100">
        <f t="shared" si="1"/>
        <v>0.53127475157146142</v>
      </c>
    </row>
    <row r="10" spans="1:10" ht="21" customHeight="1">
      <c r="B10" s="572"/>
      <c r="C10" s="582"/>
      <c r="D10" s="33" t="s">
        <v>30</v>
      </c>
      <c r="E10" s="26">
        <f>'Control Cuota Artesanal XV-IV'!E16+'Control Cuota Artesanal XV-IV'!E18+'Control Cuota Artesanal XV-IV'!E12+'Control Cuota Artesanal XV-IV'!E14+'Control Cuota Artesanal XV-IV'!E20</f>
        <v>67.000000000000014</v>
      </c>
      <c r="F10" s="35">
        <f>'Control Cuota Artesanal XV-IV'!F16+'Control Cuota Artesanal XV-IV'!F18+'Control Cuota Artesanal XV-IV'!F12+'Control Cuota Artesanal XV-IV'!F14+'Control Cuota Artesanal XV-IV'!F20</f>
        <v>0</v>
      </c>
      <c r="G10" s="32">
        <f>E10+F10+I9</f>
        <v>317.32600000000002</v>
      </c>
      <c r="H10" s="28">
        <f>'Control Cuota Artesanal XV-IV'!H16+'Control Cuota Artesanal XV-IV'!H18+'Control Cuota Artesanal XV-IV'!H12+'Control Cuota Artesanal XV-IV'!H14+'Control Cuota Artesanal XV-IV'!H20</f>
        <v>0</v>
      </c>
      <c r="I10" s="29">
        <f t="shared" si="0"/>
        <v>317.32600000000002</v>
      </c>
      <c r="J10" s="37">
        <f t="shared" si="1"/>
        <v>0</v>
      </c>
    </row>
    <row r="11" spans="1:10" ht="21" customHeight="1">
      <c r="B11" s="572"/>
      <c r="C11" s="101" t="s">
        <v>35</v>
      </c>
      <c r="D11" s="80" t="s">
        <v>88</v>
      </c>
      <c r="E11" s="96">
        <v>15</v>
      </c>
      <c r="F11" s="102">
        <v>0</v>
      </c>
      <c r="G11" s="98">
        <f>E11</f>
        <v>15</v>
      </c>
      <c r="H11" s="99">
        <v>0</v>
      </c>
      <c r="I11" s="396">
        <f t="shared" si="0"/>
        <v>15</v>
      </c>
      <c r="J11" s="100">
        <f t="shared" si="1"/>
        <v>0</v>
      </c>
    </row>
    <row r="12" spans="1:10" ht="21" customHeight="1">
      <c r="B12" s="572"/>
      <c r="C12" s="559" t="s">
        <v>47</v>
      </c>
      <c r="D12" s="95" t="s">
        <v>31</v>
      </c>
      <c r="E12" s="96">
        <f>+'Control Cuota LTP XV-IV'!E23</f>
        <v>27.002697300000001</v>
      </c>
      <c r="F12" s="97">
        <f>+'Control Cuota LTP XV-IV'!F23</f>
        <v>0</v>
      </c>
      <c r="G12" s="98">
        <f>E12+F12</f>
        <v>27.002697300000001</v>
      </c>
      <c r="H12" s="99">
        <f>+'Control Cuota LTP XV-IV'!H23</f>
        <v>0</v>
      </c>
      <c r="I12" s="396">
        <f>G12-H12</f>
        <v>27.002697300000001</v>
      </c>
      <c r="J12" s="103">
        <f>H12/G12</f>
        <v>0</v>
      </c>
    </row>
    <row r="13" spans="1:10" ht="21" customHeight="1">
      <c r="B13" s="572"/>
      <c r="C13" s="559"/>
      <c r="D13" s="33" t="s">
        <v>30</v>
      </c>
      <c r="E13" s="26">
        <f>+'Control Cuota LTP XV-IV'!E24</f>
        <v>4.0003995999999997</v>
      </c>
      <c r="F13" s="35">
        <f>+'Control Cuota LTP XV-IV'!F24</f>
        <v>0</v>
      </c>
      <c r="G13" s="32">
        <f>E13+F13</f>
        <v>4.0003995999999997</v>
      </c>
      <c r="H13" s="28">
        <f>+'Control Cuota LTP XV-IV'!H24</f>
        <v>0</v>
      </c>
      <c r="I13" s="29">
        <f t="shared" si="0"/>
        <v>4.0003995999999997</v>
      </c>
      <c r="J13" s="49">
        <f t="shared" ref="J13:J17" si="2">H13/G13</f>
        <v>0</v>
      </c>
    </row>
    <row r="14" spans="1:10" ht="21" customHeight="1">
      <c r="B14" s="572"/>
      <c r="C14" s="560" t="s">
        <v>48</v>
      </c>
      <c r="D14" s="95" t="s">
        <v>31</v>
      </c>
      <c r="E14" s="97">
        <f>+'Control Cuota LTP XV-IV'!K23</f>
        <v>22.002197799999998</v>
      </c>
      <c r="F14" s="97">
        <f>+'Control Cuota LTP XV-IV'!L23</f>
        <v>68.942999999999998</v>
      </c>
      <c r="G14" s="102">
        <f t="shared" ref="G14:G15" si="3">E14+F14</f>
        <v>90.945197799999988</v>
      </c>
      <c r="H14" s="395">
        <f>+'Control Cuota LTP XV-IV'!N23</f>
        <v>17.863</v>
      </c>
      <c r="I14" s="397">
        <f t="shared" ref="I14" si="4">G14-H12:H14</f>
        <v>73.082197799999989</v>
      </c>
      <c r="J14" s="103">
        <f t="shared" si="2"/>
        <v>0.19641498871972327</v>
      </c>
    </row>
    <row r="15" spans="1:10" ht="18.600000000000001" customHeight="1">
      <c r="B15" s="572"/>
      <c r="C15" s="561"/>
      <c r="D15" s="33" t="s">
        <v>30</v>
      </c>
      <c r="E15" s="97">
        <f>+'Control Cuota LTP XV-IV'!K24</f>
        <v>3.0002997000000002</v>
      </c>
      <c r="F15" s="97">
        <f>+'Control Cuota LTP XV-IV'!L24</f>
        <v>0</v>
      </c>
      <c r="G15" s="102">
        <f t="shared" si="3"/>
        <v>3.0002997000000002</v>
      </c>
      <c r="H15" s="395">
        <f>+'Control Cuota LTP XV-IV'!N24</f>
        <v>0</v>
      </c>
      <c r="I15" s="398">
        <f t="shared" ref="I15" si="5">G15-H15</f>
        <v>3.0002997000000002</v>
      </c>
      <c r="J15" s="50">
        <f t="shared" si="2"/>
        <v>0</v>
      </c>
    </row>
    <row r="16" spans="1:10" ht="21" hidden="1" customHeight="1">
      <c r="B16" s="573"/>
      <c r="C16" s="119" t="s">
        <v>103</v>
      </c>
      <c r="D16" s="80" t="s">
        <v>88</v>
      </c>
      <c r="E16" s="81">
        <v>16</v>
      </c>
      <c r="F16" s="81"/>
      <c r="G16" s="40">
        <f>E16+F16</f>
        <v>16</v>
      </c>
      <c r="H16" s="27">
        <v>0</v>
      </c>
      <c r="I16" s="26">
        <f>G16-H16</f>
        <v>16</v>
      </c>
      <c r="J16" s="49">
        <f t="shared" ref="J16" si="6">H16/G16</f>
        <v>0</v>
      </c>
    </row>
    <row r="17" spans="2:10" ht="21" customHeight="1" thickBot="1">
      <c r="B17" s="574"/>
      <c r="C17" s="568" t="s">
        <v>87</v>
      </c>
      <c r="D17" s="569"/>
      <c r="E17" s="87">
        <f>SUM(E5:E15)</f>
        <v>806.00559440000006</v>
      </c>
      <c r="F17" s="88">
        <f>SUM(F5:F16)</f>
        <v>0</v>
      </c>
      <c r="G17" s="89">
        <f>+E17+F17</f>
        <v>806.00559440000006</v>
      </c>
      <c r="H17" s="88">
        <f>SUM(H5:H16)</f>
        <v>301.59399999999999</v>
      </c>
      <c r="I17" s="89">
        <f>+G17-H17</f>
        <v>504.41159440000007</v>
      </c>
      <c r="J17" s="90">
        <f t="shared" si="2"/>
        <v>0.37418350703199532</v>
      </c>
    </row>
    <row r="18" spans="2:10" ht="21" customHeight="1" thickBot="1">
      <c r="F18" s="247"/>
    </row>
    <row r="19" spans="2:10" ht="16.95" customHeight="1">
      <c r="B19" s="562" t="s">
        <v>65</v>
      </c>
      <c r="C19" s="563"/>
      <c r="D19" s="563"/>
      <c r="E19" s="563"/>
      <c r="F19" s="563"/>
      <c r="G19" s="563"/>
      <c r="H19" s="563"/>
      <c r="I19" s="563"/>
      <c r="J19" s="564"/>
    </row>
    <row r="20" spans="2:10" ht="17.399999999999999" hidden="1" customHeight="1">
      <c r="B20" s="565"/>
      <c r="C20" s="566"/>
      <c r="D20" s="566"/>
      <c r="E20" s="566"/>
      <c r="F20" s="566"/>
      <c r="G20" s="566"/>
      <c r="H20" s="566"/>
      <c r="I20" s="566"/>
      <c r="J20" s="567"/>
    </row>
    <row r="21" spans="2:10" ht="18.600000000000001" customHeight="1">
      <c r="B21" s="577">
        <f>+'Resumen anual'!B4</f>
        <v>43691</v>
      </c>
      <c r="C21" s="578"/>
      <c r="D21" s="578"/>
      <c r="E21" s="578"/>
      <c r="F21" s="578"/>
      <c r="G21" s="578"/>
      <c r="H21" s="578"/>
      <c r="I21" s="578"/>
      <c r="J21" s="579"/>
    </row>
    <row r="22" spans="2:10" ht="32.4" customHeight="1">
      <c r="B22" s="104" t="s">
        <v>13</v>
      </c>
      <c r="C22" s="91" t="s">
        <v>0</v>
      </c>
      <c r="D22" s="105" t="s">
        <v>1</v>
      </c>
      <c r="E22" s="92" t="s">
        <v>64</v>
      </c>
      <c r="F22" s="93" t="s">
        <v>3</v>
      </c>
      <c r="G22" s="91" t="s">
        <v>4</v>
      </c>
      <c r="H22" s="106" t="s">
        <v>5</v>
      </c>
      <c r="I22" s="91" t="s">
        <v>6</v>
      </c>
      <c r="J22" s="107" t="s">
        <v>17</v>
      </c>
    </row>
    <row r="23" spans="2:10" ht="21" customHeight="1">
      <c r="B23" s="570" t="s">
        <v>68</v>
      </c>
      <c r="C23" s="575" t="s">
        <v>49</v>
      </c>
      <c r="D23" s="95" t="s">
        <v>31</v>
      </c>
      <c r="E23" s="42">
        <f>+'Control Cuota_PEP_V-VIII'!E35</f>
        <v>985.05018909</v>
      </c>
      <c r="F23" s="42">
        <f>+'Control Cuota_PEP_V-VIII'!F35</f>
        <v>0</v>
      </c>
      <c r="G23" s="108">
        <f>E23+F23</f>
        <v>985.05018909</v>
      </c>
      <c r="H23" s="46">
        <f>+'Control Cuota_PEP_V-VIII'!H35</f>
        <v>673.39699999999993</v>
      </c>
      <c r="I23" s="47">
        <f t="shared" ref="I23:I26" si="7">G23-H23</f>
        <v>311.65318909000007</v>
      </c>
      <c r="J23" s="41">
        <f t="shared" ref="J23:J29" si="8">H23/G23</f>
        <v>0.68361694404839546</v>
      </c>
    </row>
    <row r="24" spans="2:10" ht="21" customHeight="1">
      <c r="B24" s="570"/>
      <c r="C24" s="557"/>
      <c r="D24" s="34" t="s">
        <v>30</v>
      </c>
      <c r="E24" s="42">
        <f>+'Control Cuota_PEP_V-VIII'!E36</f>
        <v>109.45002100999999</v>
      </c>
      <c r="F24" s="42">
        <f>+'Control Cuota_PEP_V-VIII'!F36</f>
        <v>0</v>
      </c>
      <c r="G24" s="315">
        <f>E24+F24</f>
        <v>109.45002100999999</v>
      </c>
      <c r="H24" s="46">
        <f>+'Control Cuota_PEP_V-VIII'!H36</f>
        <v>0</v>
      </c>
      <c r="I24" s="47">
        <f t="shared" si="7"/>
        <v>109.45002100999999</v>
      </c>
      <c r="J24" s="41">
        <f t="shared" si="8"/>
        <v>0</v>
      </c>
    </row>
    <row r="25" spans="2:10" ht="21" customHeight="1">
      <c r="B25" s="570"/>
      <c r="C25" s="557" t="s">
        <v>50</v>
      </c>
      <c r="D25" s="316" t="s">
        <v>31</v>
      </c>
      <c r="E25" s="315">
        <f>+'Control Cuota_PEP_V-VIII'!K35</f>
        <v>3189.970612346001</v>
      </c>
      <c r="F25" s="315">
        <f>+'Control Cuota_PEP_V-VIII'!L35</f>
        <v>0</v>
      </c>
      <c r="G25" s="315">
        <f>E25+F25</f>
        <v>3189.970612346001</v>
      </c>
      <c r="H25" s="317">
        <f>+'Control Cuota_PEP_V-VIII'!N35</f>
        <v>2596.2880000000014</v>
      </c>
      <c r="I25" s="318">
        <f t="shared" si="7"/>
        <v>593.68261234599959</v>
      </c>
      <c r="J25" s="319">
        <f t="shared" si="8"/>
        <v>0.81389088349331618</v>
      </c>
    </row>
    <row r="26" spans="2:10" ht="21" customHeight="1">
      <c r="B26" s="570"/>
      <c r="C26" s="558"/>
      <c r="D26" s="33" t="s">
        <v>30</v>
      </c>
      <c r="E26" s="43">
        <f>+'Control Cuota_PEP_V-VIII'!K36</f>
        <v>354.22006799600001</v>
      </c>
      <c r="F26" s="43">
        <f>+'Control Cuota_PEP_V-VIII'!L36</f>
        <v>0</v>
      </c>
      <c r="G26" s="84">
        <f>E26+F26</f>
        <v>354.22006799600001</v>
      </c>
      <c r="H26" s="44">
        <f>+'Control Cuota_PEP_V-VIII'!N36</f>
        <v>0</v>
      </c>
      <c r="I26" s="48">
        <f t="shared" si="7"/>
        <v>354.22006799600001</v>
      </c>
      <c r="J26" s="45">
        <f t="shared" si="8"/>
        <v>0</v>
      </c>
    </row>
    <row r="27" spans="2:10" ht="21" customHeight="1">
      <c r="B27" s="570"/>
      <c r="C27" s="110" t="s">
        <v>90</v>
      </c>
      <c r="D27" s="83" t="s">
        <v>88</v>
      </c>
      <c r="E27" s="84">
        <v>50</v>
      </c>
      <c r="F27" s="84">
        <v>0</v>
      </c>
      <c r="G27" s="84">
        <f>+E27+F27</f>
        <v>50</v>
      </c>
      <c r="H27" s="109">
        <v>0.71000000000000008</v>
      </c>
      <c r="I27" s="85">
        <f t="shared" ref="I27:I28" si="9">G27-H27</f>
        <v>49.29</v>
      </c>
      <c r="J27" s="86">
        <f t="shared" ref="J27:J28" si="10">H27/G27</f>
        <v>1.4200000000000001E-2</v>
      </c>
    </row>
    <row r="28" spans="2:10" ht="21" customHeight="1">
      <c r="B28" s="570"/>
      <c r="C28" s="115" t="s">
        <v>104</v>
      </c>
      <c r="D28" s="83" t="s">
        <v>88</v>
      </c>
      <c r="E28" s="118">
        <v>86</v>
      </c>
      <c r="F28" s="55">
        <v>0</v>
      </c>
      <c r="G28" s="55">
        <f t="shared" ref="G28" si="11">E28+F28</f>
        <v>86</v>
      </c>
      <c r="H28" s="118">
        <v>0</v>
      </c>
      <c r="I28" s="116">
        <f t="shared" si="9"/>
        <v>86</v>
      </c>
      <c r="J28" s="117">
        <f t="shared" si="10"/>
        <v>0</v>
      </c>
    </row>
    <row r="29" spans="2:10" ht="21" customHeight="1" thickBot="1">
      <c r="B29" s="571"/>
      <c r="C29" s="568" t="s">
        <v>89</v>
      </c>
      <c r="D29" s="576"/>
      <c r="E29" s="89">
        <f>SUM(E22:E28)</f>
        <v>4774.6908904420006</v>
      </c>
      <c r="F29" s="89">
        <f>SUM(F23:F28)</f>
        <v>0</v>
      </c>
      <c r="G29" s="89">
        <f>+E29+F29</f>
        <v>4774.6908904420006</v>
      </c>
      <c r="H29" s="88">
        <f>SUM(H23:H28)</f>
        <v>3270.3950000000013</v>
      </c>
      <c r="I29" s="89">
        <f>+G29-H29</f>
        <v>1504.2958904419993</v>
      </c>
      <c r="J29" s="90">
        <f t="shared" si="8"/>
        <v>0.68494381626812617</v>
      </c>
    </row>
    <row r="30" spans="2:10" ht="21" customHeight="1"/>
    <row r="31" spans="2:10" ht="21" customHeight="1">
      <c r="E31" s="390"/>
      <c r="H31" s="391"/>
    </row>
    <row r="32" spans="2:10" ht="21" customHeight="1">
      <c r="E32" s="385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mergeCells count="16">
    <mergeCell ref="B2:J2"/>
    <mergeCell ref="C5:C6"/>
    <mergeCell ref="C7:C8"/>
    <mergeCell ref="C9:C10"/>
    <mergeCell ref="B3:J3"/>
    <mergeCell ref="C25:C26"/>
    <mergeCell ref="C12:C13"/>
    <mergeCell ref="C14:C15"/>
    <mergeCell ref="B19:J19"/>
    <mergeCell ref="B20:J20"/>
    <mergeCell ref="C17:D17"/>
    <mergeCell ref="B23:B29"/>
    <mergeCell ref="B5:B17"/>
    <mergeCell ref="C23:C24"/>
    <mergeCell ref="C29:D29"/>
    <mergeCell ref="B21:J21"/>
  </mergeCells>
  <conditionalFormatting sqref="H5:H11 H14:H16">
    <cfRule type="dataBar" priority="3">
      <dataBar>
        <cfvo type="min" val="0"/>
        <cfvo type="max" val="0"/>
        <color rgb="FFFF555A"/>
      </dataBar>
    </cfRule>
  </conditionalFormatting>
  <conditionalFormatting sqref="H23:H28">
    <cfRule type="dataBar" priority="2">
      <dataBar>
        <cfvo type="min" val="0"/>
        <cfvo type="max" val="0"/>
        <color rgb="FFFF555A"/>
      </dataBar>
    </cfRule>
  </conditionalFormatting>
  <conditionalFormatting sqref="H12:H13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r:id="rId1"/>
  <ignoredErrors>
    <ignoredError sqref="G6:G7" formula="1"/>
    <ignoredError sqref="G17 J12:J15 J29 I30 I23:J26" evalError="1"/>
    <ignoredError sqref="I14:I15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R37"/>
  <sheetViews>
    <sheetView topLeftCell="A7" zoomScale="78" zoomScaleNormal="78" workbookViewId="0">
      <selection activeCell="F40" sqref="F40"/>
    </sheetView>
  </sheetViews>
  <sheetFormatPr baseColWidth="10" defaultColWidth="11.5546875" defaultRowHeight="14.4"/>
  <cols>
    <col min="1" max="1" width="4.44140625" style="247" customWidth="1"/>
    <col min="2" max="2" width="16.6640625" style="247" customWidth="1"/>
    <col min="3" max="3" width="19.33203125" style="247" customWidth="1"/>
    <col min="4" max="4" width="11.5546875" style="247"/>
    <col min="5" max="5" width="10.109375" style="247" customWidth="1"/>
    <col min="6" max="6" width="11.109375" style="247" customWidth="1"/>
    <col min="7" max="7" width="11.5546875" style="247"/>
    <col min="8" max="8" width="10.5546875" style="247" customWidth="1"/>
    <col min="9" max="9" width="11.5546875" style="247"/>
    <col min="10" max="10" width="11.6640625" style="247" customWidth="1"/>
    <col min="11" max="11" width="11.33203125" style="247" customWidth="1"/>
    <col min="12" max="12" width="4.109375" style="247" customWidth="1"/>
    <col min="13" max="13" width="12.44140625" style="247" customWidth="1"/>
    <col min="14" max="14" width="13.109375" style="247" customWidth="1"/>
    <col min="15" max="116" width="11.44140625" style="247" customWidth="1"/>
    <col min="117" max="16384" width="11.5546875" style="247"/>
  </cols>
  <sheetData>
    <row r="1" spans="2:18" ht="15" thickBot="1"/>
    <row r="2" spans="2:18" ht="20.399999999999999" customHeight="1">
      <c r="B2" s="607" t="s">
        <v>117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9"/>
    </row>
    <row r="3" spans="2:18" ht="20.100000000000001" customHeight="1" thickBot="1">
      <c r="B3" s="152"/>
      <c r="C3" s="613">
        <f>+'Resumen anual'!B4</f>
        <v>43691</v>
      </c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153"/>
      <c r="Q3" s="153"/>
      <c r="R3" s="154"/>
    </row>
    <row r="4" spans="2:18" ht="15" thickBot="1">
      <c r="I4" s="384"/>
    </row>
    <row r="5" spans="2:18" s="382" customFormat="1" ht="21" customHeight="1" thickBot="1">
      <c r="B5" s="600" t="s">
        <v>0</v>
      </c>
      <c r="C5" s="602" t="s">
        <v>16</v>
      </c>
      <c r="D5" s="604" t="s">
        <v>19</v>
      </c>
      <c r="E5" s="605"/>
      <c r="F5" s="605"/>
      <c r="G5" s="605"/>
      <c r="H5" s="605"/>
      <c r="I5" s="605"/>
      <c r="J5" s="605"/>
      <c r="K5" s="606"/>
      <c r="M5" s="610" t="s">
        <v>18</v>
      </c>
      <c r="N5" s="611"/>
      <c r="O5" s="611"/>
      <c r="P5" s="611"/>
      <c r="Q5" s="611"/>
      <c r="R5" s="612"/>
    </row>
    <row r="6" spans="2:18" s="382" customFormat="1" ht="29.4" thickBot="1">
      <c r="B6" s="601"/>
      <c r="C6" s="603"/>
      <c r="D6" s="155" t="s">
        <v>1</v>
      </c>
      <c r="E6" s="156" t="s">
        <v>2</v>
      </c>
      <c r="F6" s="156" t="s">
        <v>21</v>
      </c>
      <c r="G6" s="156" t="s">
        <v>4</v>
      </c>
      <c r="H6" s="156" t="s">
        <v>5</v>
      </c>
      <c r="I6" s="156" t="s">
        <v>6</v>
      </c>
      <c r="J6" s="156" t="s">
        <v>17</v>
      </c>
      <c r="K6" s="157" t="s">
        <v>8</v>
      </c>
      <c r="M6" s="158" t="s">
        <v>2</v>
      </c>
      <c r="N6" s="159" t="s">
        <v>3</v>
      </c>
      <c r="O6" s="159" t="s">
        <v>4</v>
      </c>
      <c r="P6" s="160" t="s">
        <v>5</v>
      </c>
      <c r="Q6" s="159" t="s">
        <v>6</v>
      </c>
      <c r="R6" s="161" t="s">
        <v>7</v>
      </c>
    </row>
    <row r="7" spans="2:18" ht="15" customHeight="1">
      <c r="B7" s="550" t="s">
        <v>9</v>
      </c>
      <c r="C7" s="594" t="s">
        <v>86</v>
      </c>
      <c r="D7" s="134" t="s">
        <v>12</v>
      </c>
      <c r="E7" s="135">
        <v>4</v>
      </c>
      <c r="F7" s="5"/>
      <c r="G7" s="135">
        <f>E7+F7</f>
        <v>4</v>
      </c>
      <c r="H7" s="5"/>
      <c r="I7" s="135">
        <f t="shared" ref="I7:I14" si="0">G7-H7</f>
        <v>4</v>
      </c>
      <c r="J7" s="148">
        <f t="shared" ref="J7:J15" si="1">(H7/G7)</f>
        <v>0</v>
      </c>
      <c r="K7" s="143" t="s">
        <v>101</v>
      </c>
      <c r="M7" s="596">
        <f>E7+E8</f>
        <v>5</v>
      </c>
      <c r="N7" s="590">
        <f>F7+F8</f>
        <v>0</v>
      </c>
      <c r="O7" s="590">
        <f>M7+N7</f>
        <v>5</v>
      </c>
      <c r="P7" s="590">
        <f>H7+H8</f>
        <v>0</v>
      </c>
      <c r="Q7" s="590">
        <f>O7-P7</f>
        <v>5</v>
      </c>
      <c r="R7" s="592">
        <f>P7/O7</f>
        <v>0</v>
      </c>
    </row>
    <row r="8" spans="2:18" ht="15" thickBot="1">
      <c r="B8" s="552"/>
      <c r="C8" s="595"/>
      <c r="D8" s="136" t="s">
        <v>10</v>
      </c>
      <c r="E8" s="137">
        <v>1</v>
      </c>
      <c r="F8" s="6"/>
      <c r="G8" s="137">
        <f>E8+F8+I7</f>
        <v>5</v>
      </c>
      <c r="H8" s="6"/>
      <c r="I8" s="137">
        <f t="shared" si="0"/>
        <v>5</v>
      </c>
      <c r="J8" s="149">
        <f t="shared" si="1"/>
        <v>0</v>
      </c>
      <c r="K8" s="144" t="s">
        <v>101</v>
      </c>
      <c r="M8" s="597"/>
      <c r="N8" s="591"/>
      <c r="O8" s="591"/>
      <c r="P8" s="591"/>
      <c r="Q8" s="591"/>
      <c r="R8" s="593"/>
    </row>
    <row r="9" spans="2:18" ht="15" customHeight="1">
      <c r="B9" s="550" t="s">
        <v>11</v>
      </c>
      <c r="C9" s="598" t="s">
        <v>86</v>
      </c>
      <c r="D9" s="134" t="s">
        <v>12</v>
      </c>
      <c r="E9" s="135">
        <v>54</v>
      </c>
      <c r="F9" s="7"/>
      <c r="G9" s="140">
        <f>E9+F9</f>
        <v>54</v>
      </c>
      <c r="H9" s="5"/>
      <c r="I9" s="141">
        <f t="shared" si="0"/>
        <v>54</v>
      </c>
      <c r="J9" s="148">
        <f t="shared" si="1"/>
        <v>0</v>
      </c>
      <c r="K9" s="199" t="s">
        <v>101</v>
      </c>
      <c r="M9" s="596">
        <f>E9+E10</f>
        <v>60</v>
      </c>
      <c r="N9" s="590">
        <f>F9+F10</f>
        <v>0</v>
      </c>
      <c r="O9" s="590">
        <f>M9+N9</f>
        <v>60</v>
      </c>
      <c r="P9" s="590">
        <f>H9+H10</f>
        <v>0</v>
      </c>
      <c r="Q9" s="590">
        <f>O9-P9</f>
        <v>60</v>
      </c>
      <c r="R9" s="592">
        <f>P9/O9</f>
        <v>0</v>
      </c>
    </row>
    <row r="10" spans="2:18" ht="15" thickBot="1">
      <c r="B10" s="551"/>
      <c r="C10" s="599"/>
      <c r="D10" s="162" t="s">
        <v>10</v>
      </c>
      <c r="E10" s="163">
        <v>6</v>
      </c>
      <c r="F10" s="126"/>
      <c r="G10" s="164">
        <f>E10+F10+I9</f>
        <v>60</v>
      </c>
      <c r="H10" s="165"/>
      <c r="I10" s="166">
        <f t="shared" si="0"/>
        <v>60</v>
      </c>
      <c r="J10" s="167">
        <f t="shared" si="1"/>
        <v>0</v>
      </c>
      <c r="K10" s="146" t="s">
        <v>101</v>
      </c>
      <c r="M10" s="597"/>
      <c r="N10" s="591"/>
      <c r="O10" s="591"/>
      <c r="P10" s="591"/>
      <c r="Q10" s="591"/>
      <c r="R10" s="593"/>
    </row>
    <row r="11" spans="2:18" ht="15" customHeight="1">
      <c r="B11" s="550" t="s">
        <v>15</v>
      </c>
      <c r="C11" s="618" t="s">
        <v>111</v>
      </c>
      <c r="D11" s="134" t="s">
        <v>12</v>
      </c>
      <c r="E11" s="135">
        <v>127.84</v>
      </c>
      <c r="F11" s="120"/>
      <c r="G11" s="140">
        <f>E11+F11</f>
        <v>127.84</v>
      </c>
      <c r="H11" s="432">
        <f>+D33</f>
        <v>110.899</v>
      </c>
      <c r="I11" s="141">
        <f t="shared" si="0"/>
        <v>16.941000000000003</v>
      </c>
      <c r="J11" s="148">
        <f t="shared" si="1"/>
        <v>0.86748279098873593</v>
      </c>
      <c r="K11" s="151" t="s">
        <v>101</v>
      </c>
      <c r="M11" s="616">
        <f>E11+E12</f>
        <v>142.04</v>
      </c>
      <c r="N11" s="617">
        <f>F11+F12</f>
        <v>0</v>
      </c>
      <c r="O11" s="617">
        <f>M11+N11</f>
        <v>142.04</v>
      </c>
      <c r="P11" s="617">
        <f>H11+H12</f>
        <v>110.899</v>
      </c>
      <c r="Q11" s="617">
        <f>O11-P11</f>
        <v>31.140999999999991</v>
      </c>
      <c r="R11" s="620">
        <f>P11/O11</f>
        <v>0.78075894114333999</v>
      </c>
    </row>
    <row r="12" spans="2:18">
      <c r="B12" s="551"/>
      <c r="C12" s="619"/>
      <c r="D12" s="139" t="s">
        <v>10</v>
      </c>
      <c r="E12" s="138">
        <v>14.2</v>
      </c>
      <c r="F12" s="65"/>
      <c r="G12" s="168">
        <f>E12+I11+F12</f>
        <v>31.141000000000002</v>
      </c>
      <c r="H12" s="200"/>
      <c r="I12" s="142">
        <f t="shared" si="0"/>
        <v>31.141000000000002</v>
      </c>
      <c r="J12" s="150">
        <f t="shared" si="1"/>
        <v>0</v>
      </c>
      <c r="K12" s="145" t="s">
        <v>101</v>
      </c>
      <c r="M12" s="616"/>
      <c r="N12" s="617"/>
      <c r="O12" s="617"/>
      <c r="P12" s="617"/>
      <c r="Q12" s="617"/>
      <c r="R12" s="621"/>
    </row>
    <row r="13" spans="2:18">
      <c r="B13" s="551"/>
      <c r="C13" s="614" t="s">
        <v>114</v>
      </c>
      <c r="D13" s="139" t="s">
        <v>12</v>
      </c>
      <c r="E13" s="138">
        <v>120.6</v>
      </c>
      <c r="F13" s="65"/>
      <c r="G13" s="168">
        <f>E13+F13</f>
        <v>120.6</v>
      </c>
      <c r="H13" s="200">
        <f>+D34</f>
        <v>20.796999999999997</v>
      </c>
      <c r="I13" s="142">
        <f t="shared" si="0"/>
        <v>99.802999999999997</v>
      </c>
      <c r="J13" s="150">
        <f t="shared" si="1"/>
        <v>0.17244610281923714</v>
      </c>
      <c r="K13" s="145" t="s">
        <v>101</v>
      </c>
      <c r="M13" s="616">
        <f>E13+E14</f>
        <v>134</v>
      </c>
      <c r="N13" s="617">
        <f>F13+F14</f>
        <v>0</v>
      </c>
      <c r="O13" s="617">
        <f>M13+N13</f>
        <v>134</v>
      </c>
      <c r="P13" s="617">
        <f>H13+H14</f>
        <v>20.796999999999997</v>
      </c>
      <c r="Q13" s="617">
        <f>O13-P13</f>
        <v>113.203</v>
      </c>
      <c r="R13" s="623">
        <f>P13/O13</f>
        <v>0.15520149253731341</v>
      </c>
    </row>
    <row r="14" spans="2:18">
      <c r="B14" s="551"/>
      <c r="C14" s="625"/>
      <c r="D14" s="162" t="s">
        <v>10</v>
      </c>
      <c r="E14" s="433">
        <v>13.4</v>
      </c>
      <c r="F14" s="434"/>
      <c r="G14" s="164">
        <f>E14+F14+I13</f>
        <v>113.203</v>
      </c>
      <c r="H14" s="200"/>
      <c r="I14" s="166">
        <f t="shared" si="0"/>
        <v>113.203</v>
      </c>
      <c r="J14" s="435">
        <f t="shared" si="1"/>
        <v>0</v>
      </c>
      <c r="K14" s="436" t="s">
        <v>101</v>
      </c>
      <c r="M14" s="626"/>
      <c r="N14" s="627"/>
      <c r="O14" s="627"/>
      <c r="P14" s="627"/>
      <c r="Q14" s="627"/>
      <c r="R14" s="624"/>
    </row>
    <row r="15" spans="2:18">
      <c r="B15" s="551"/>
      <c r="C15" s="614" t="s">
        <v>113</v>
      </c>
      <c r="D15" s="139" t="s">
        <v>12</v>
      </c>
      <c r="E15" s="138">
        <v>177.28</v>
      </c>
      <c r="F15" s="213">
        <v>-68.942999999999998</v>
      </c>
      <c r="G15" s="168">
        <f>E15+F15</f>
        <v>108.337</v>
      </c>
      <c r="H15" s="200">
        <f>+D35</f>
        <v>105.913</v>
      </c>
      <c r="I15" s="142">
        <f t="shared" ref="I15:I20" si="2">G15-H15</f>
        <v>2.4240000000000066</v>
      </c>
      <c r="J15" s="425">
        <f t="shared" si="1"/>
        <v>0.97762537267969385</v>
      </c>
      <c r="K15" s="145" t="s">
        <v>101</v>
      </c>
      <c r="M15" s="616">
        <f>E15+E16</f>
        <v>196.98</v>
      </c>
      <c r="N15" s="617">
        <f>F15+F16</f>
        <v>-68.942999999999998</v>
      </c>
      <c r="O15" s="617">
        <f>M15+N15</f>
        <v>128.03699999999998</v>
      </c>
      <c r="P15" s="617">
        <f>H15+H16</f>
        <v>105.913</v>
      </c>
      <c r="Q15" s="617">
        <f>O15-P15</f>
        <v>22.123999999999981</v>
      </c>
      <c r="R15" s="620">
        <f>P15/O15</f>
        <v>0.82720619820833052</v>
      </c>
    </row>
    <row r="16" spans="2:18">
      <c r="B16" s="551"/>
      <c r="C16" s="615"/>
      <c r="D16" s="139" t="s">
        <v>10</v>
      </c>
      <c r="E16" s="138">
        <v>19.7</v>
      </c>
      <c r="F16" s="121"/>
      <c r="G16" s="168">
        <f>E16+F16+I15</f>
        <v>22.124000000000006</v>
      </c>
      <c r="H16" s="200"/>
      <c r="I16" s="142">
        <f t="shared" si="2"/>
        <v>22.124000000000006</v>
      </c>
      <c r="J16" s="150">
        <f t="shared" ref="J16:J20" si="3">(H16/G16)</f>
        <v>0</v>
      </c>
      <c r="K16" s="145" t="s">
        <v>101</v>
      </c>
      <c r="M16" s="616"/>
      <c r="N16" s="617"/>
      <c r="O16" s="617"/>
      <c r="P16" s="617"/>
      <c r="Q16" s="617"/>
      <c r="R16" s="621"/>
    </row>
    <row r="17" spans="2:18" ht="14.4" customHeight="1">
      <c r="B17" s="551"/>
      <c r="C17" s="614" t="s">
        <v>112</v>
      </c>
      <c r="D17" s="139" t="s">
        <v>12</v>
      </c>
      <c r="E17" s="138">
        <v>165.22</v>
      </c>
      <c r="F17" s="121"/>
      <c r="G17" s="168">
        <f>E17+F17</f>
        <v>165.22</v>
      </c>
      <c r="H17" s="200">
        <f>+D36</f>
        <v>46.121999999999993</v>
      </c>
      <c r="I17" s="142">
        <f t="shared" si="2"/>
        <v>119.09800000000001</v>
      </c>
      <c r="J17" s="150">
        <f t="shared" si="3"/>
        <v>0.2791550659726425</v>
      </c>
      <c r="K17" s="145" t="s">
        <v>101</v>
      </c>
      <c r="M17" s="616">
        <f>E17+E18</f>
        <v>183.57999999999998</v>
      </c>
      <c r="N17" s="617">
        <f>F17+F18</f>
        <v>0</v>
      </c>
      <c r="O17" s="617">
        <f>M17+N17</f>
        <v>183.57999999999998</v>
      </c>
      <c r="P17" s="617">
        <f>H17+H18</f>
        <v>46.121999999999993</v>
      </c>
      <c r="Q17" s="622">
        <f>O17-P17</f>
        <v>137.458</v>
      </c>
      <c r="R17" s="620">
        <f>P17/O17</f>
        <v>0.25123651813923081</v>
      </c>
    </row>
    <row r="18" spans="2:18">
      <c r="B18" s="551"/>
      <c r="C18" s="615"/>
      <c r="D18" s="162" t="s">
        <v>10</v>
      </c>
      <c r="E18" s="138">
        <v>18.36</v>
      </c>
      <c r="F18" s="121"/>
      <c r="G18" s="168">
        <f>E18+F18+I17</f>
        <v>137.45800000000003</v>
      </c>
      <c r="H18" s="200"/>
      <c r="I18" s="142">
        <f t="shared" si="2"/>
        <v>137.45800000000003</v>
      </c>
      <c r="J18" s="150">
        <f t="shared" si="3"/>
        <v>0</v>
      </c>
      <c r="K18" s="145" t="s">
        <v>101</v>
      </c>
      <c r="M18" s="616"/>
      <c r="N18" s="617"/>
      <c r="O18" s="617"/>
      <c r="P18" s="617"/>
      <c r="Q18" s="622"/>
      <c r="R18" s="621"/>
    </row>
    <row r="19" spans="2:18">
      <c r="B19" s="551"/>
      <c r="C19" s="628" t="s">
        <v>92</v>
      </c>
      <c r="D19" s="139" t="s">
        <v>12</v>
      </c>
      <c r="E19" s="138">
        <v>12.06</v>
      </c>
      <c r="F19" s="437"/>
      <c r="G19" s="164">
        <f>E19+F19</f>
        <v>12.06</v>
      </c>
      <c r="H19" s="200"/>
      <c r="I19" s="166">
        <f t="shared" si="2"/>
        <v>12.06</v>
      </c>
      <c r="J19" s="169">
        <f t="shared" si="3"/>
        <v>0</v>
      </c>
      <c r="K19" s="147" t="s">
        <v>101</v>
      </c>
      <c r="M19" s="616">
        <f>E19+E20</f>
        <v>13.4</v>
      </c>
      <c r="N19" s="617">
        <f>F19+F20</f>
        <v>0</v>
      </c>
      <c r="O19" s="617">
        <f>M19+N19</f>
        <v>13.4</v>
      </c>
      <c r="P19" s="617">
        <f>H19+H20</f>
        <v>0</v>
      </c>
      <c r="Q19" s="617">
        <f>O19-P19</f>
        <v>13.4</v>
      </c>
      <c r="R19" s="623">
        <f>P19/O19</f>
        <v>0</v>
      </c>
    </row>
    <row r="20" spans="2:18" ht="15" thickBot="1">
      <c r="B20" s="552"/>
      <c r="C20" s="629"/>
      <c r="D20" s="438" t="s">
        <v>10</v>
      </c>
      <c r="E20" s="439">
        <v>1.34</v>
      </c>
      <c r="F20" s="440"/>
      <c r="G20" s="441">
        <f>E20+F20+I19</f>
        <v>13.4</v>
      </c>
      <c r="H20" s="442"/>
      <c r="I20" s="443">
        <f t="shared" si="2"/>
        <v>13.4</v>
      </c>
      <c r="J20" s="444">
        <f t="shared" si="3"/>
        <v>0</v>
      </c>
      <c r="K20" s="144" t="s">
        <v>101</v>
      </c>
      <c r="M20" s="597"/>
      <c r="N20" s="591"/>
      <c r="O20" s="591"/>
      <c r="P20" s="591"/>
      <c r="Q20" s="591"/>
      <c r="R20" s="593"/>
    </row>
    <row r="21" spans="2:18" s="383" customFormat="1" ht="16.2" customHeight="1">
      <c r="B21" s="630" t="s">
        <v>120</v>
      </c>
      <c r="C21" s="631"/>
      <c r="D21" s="426" t="s">
        <v>12</v>
      </c>
      <c r="E21" s="427">
        <f>SUM(E7+E9+E15+E17+E11+E13+E19)</f>
        <v>661</v>
      </c>
      <c r="F21" s="427">
        <f>SUM(F7+F9+F15+F17+F11+F13+F19)</f>
        <v>-68.942999999999998</v>
      </c>
      <c r="G21" s="428">
        <f>+F21+E21</f>
        <v>592.05700000000002</v>
      </c>
      <c r="H21" s="427">
        <f>SUM(H7+H9+H15+H17+H11+H13+H19)</f>
        <v>283.73099999999999</v>
      </c>
      <c r="I21" s="429">
        <f>+G21-H21</f>
        <v>308.32600000000002</v>
      </c>
      <c r="J21" s="430">
        <f>H21/G21</f>
        <v>0.4792291958375629</v>
      </c>
      <c r="K21" s="431" t="s">
        <v>101</v>
      </c>
      <c r="M21" s="638">
        <f>SUM(M7:M20)</f>
        <v>734.99999999999989</v>
      </c>
      <c r="N21" s="634">
        <f>SUM(N7:N20)</f>
        <v>-68.942999999999998</v>
      </c>
      <c r="O21" s="634">
        <f>+M21+N21</f>
        <v>666.0569999999999</v>
      </c>
      <c r="P21" s="634">
        <f>SUM(P7:P20)</f>
        <v>283.73099999999999</v>
      </c>
      <c r="Q21" s="634">
        <f>+O21-P21</f>
        <v>382.32599999999991</v>
      </c>
      <c r="R21" s="636">
        <f>+P21/O21</f>
        <v>0.42598606425576196</v>
      </c>
    </row>
    <row r="22" spans="2:18" ht="20.399999999999999" customHeight="1" thickBot="1">
      <c r="B22" s="632"/>
      <c r="C22" s="633"/>
      <c r="D22" s="201" t="s">
        <v>10</v>
      </c>
      <c r="E22" s="202">
        <f>SUM(E8+E10+E16+E18+E12+E14+E20)</f>
        <v>74.000000000000014</v>
      </c>
      <c r="F22" s="202">
        <f>SUM(F8+F10+F16+F18+F12+F14+F20)</f>
        <v>0</v>
      </c>
      <c r="G22" s="203">
        <f>E22+F22+I21</f>
        <v>382.32600000000002</v>
      </c>
      <c r="H22" s="202">
        <f>SUM(H8+H10+H16+H18+H12+H14+H20)</f>
        <v>0</v>
      </c>
      <c r="I22" s="204">
        <f>+G22-H22</f>
        <v>382.32600000000002</v>
      </c>
      <c r="J22" s="205">
        <f>H22/G22</f>
        <v>0</v>
      </c>
      <c r="K22" s="206" t="s">
        <v>101</v>
      </c>
      <c r="M22" s="639"/>
      <c r="N22" s="635"/>
      <c r="O22" s="635"/>
      <c r="P22" s="635"/>
      <c r="Q22" s="635"/>
      <c r="R22" s="637"/>
    </row>
    <row r="23" spans="2:18" ht="13.5" customHeight="1" thickBot="1">
      <c r="H23" s="385"/>
    </row>
    <row r="24" spans="2:18" ht="14.4" customHeight="1">
      <c r="B24" s="159" t="s">
        <v>124</v>
      </c>
      <c r="C24" s="196"/>
      <c r="D24" s="586" t="s">
        <v>125</v>
      </c>
      <c r="E24" s="586">
        <v>15</v>
      </c>
      <c r="F24" s="586" t="s">
        <v>126</v>
      </c>
      <c r="G24" s="586">
        <f>+E24</f>
        <v>15</v>
      </c>
      <c r="H24" s="586">
        <v>0.02</v>
      </c>
      <c r="I24" s="586">
        <f>+G24-H24</f>
        <v>14.98</v>
      </c>
      <c r="J24" s="588">
        <f>+H24/G24</f>
        <v>1.3333333333333333E-3</v>
      </c>
      <c r="K24" s="586" t="s">
        <v>101</v>
      </c>
    </row>
    <row r="25" spans="2:18" ht="15" thickBot="1">
      <c r="B25" s="197"/>
      <c r="C25" s="198"/>
      <c r="D25" s="587"/>
      <c r="E25" s="587"/>
      <c r="F25" s="587"/>
      <c r="G25" s="587"/>
      <c r="H25" s="587"/>
      <c r="I25" s="587"/>
      <c r="J25" s="589"/>
      <c r="K25" s="587" t="s">
        <v>101</v>
      </c>
    </row>
    <row r="28" spans="2:18">
      <c r="B28" s="342" t="s">
        <v>127</v>
      </c>
    </row>
    <row r="29" spans="2:18">
      <c r="B29" s="342" t="s">
        <v>60</v>
      </c>
      <c r="J29" s="383"/>
    </row>
    <row r="30" spans="2:18">
      <c r="B30" s="386" t="s">
        <v>62</v>
      </c>
    </row>
    <row r="32" spans="2:18">
      <c r="F32" s="387"/>
    </row>
    <row r="33" spans="3:4">
      <c r="C33" s="335" t="s">
        <v>128</v>
      </c>
      <c r="D33" s="394">
        <v>110.899</v>
      </c>
    </row>
    <row r="34" spans="3:4">
      <c r="C34" s="335" t="s">
        <v>129</v>
      </c>
      <c r="D34" s="394">
        <v>20.796999999999997</v>
      </c>
    </row>
    <row r="35" spans="3:4">
      <c r="C35" s="335" t="s">
        <v>130</v>
      </c>
      <c r="D35" s="394">
        <v>105.913</v>
      </c>
    </row>
    <row r="36" spans="3:4">
      <c r="C36" s="335" t="s">
        <v>131</v>
      </c>
      <c r="D36" s="394">
        <v>46.121999999999993</v>
      </c>
    </row>
    <row r="37" spans="3:4">
      <c r="C37" s="388" t="s">
        <v>132</v>
      </c>
      <c r="D37" s="389">
        <f>SUM(D33:D36)</f>
        <v>283.73099999999999</v>
      </c>
    </row>
  </sheetData>
  <mergeCells count="73">
    <mergeCell ref="B21:C22"/>
    <mergeCell ref="Q21:Q22"/>
    <mergeCell ref="R21:R22"/>
    <mergeCell ref="M21:M22"/>
    <mergeCell ref="N21:N22"/>
    <mergeCell ref="O21:O22"/>
    <mergeCell ref="P21:P22"/>
    <mergeCell ref="Q19:Q20"/>
    <mergeCell ref="R19:R20"/>
    <mergeCell ref="C13:C14"/>
    <mergeCell ref="M13:M14"/>
    <mergeCell ref="N13:N14"/>
    <mergeCell ref="O13:O14"/>
    <mergeCell ref="P13:P14"/>
    <mergeCell ref="Q13:Q14"/>
    <mergeCell ref="C19:C20"/>
    <mergeCell ref="M19:M20"/>
    <mergeCell ref="N19:N20"/>
    <mergeCell ref="O19:O20"/>
    <mergeCell ref="P19:P20"/>
    <mergeCell ref="R17:R18"/>
    <mergeCell ref="R11:R12"/>
    <mergeCell ref="C17:C18"/>
    <mergeCell ref="M17:M18"/>
    <mergeCell ref="N17:N18"/>
    <mergeCell ref="O17:O18"/>
    <mergeCell ref="P17:P18"/>
    <mergeCell ref="Q17:Q18"/>
    <mergeCell ref="M11:M12"/>
    <mergeCell ref="N11:N12"/>
    <mergeCell ref="O11:O12"/>
    <mergeCell ref="P11:P12"/>
    <mergeCell ref="Q11:Q12"/>
    <mergeCell ref="R13:R14"/>
    <mergeCell ref="P15:P16"/>
    <mergeCell ref="Q15:Q16"/>
    <mergeCell ref="R15:R16"/>
    <mergeCell ref="B11:B20"/>
    <mergeCell ref="C15:C16"/>
    <mergeCell ref="M15:M16"/>
    <mergeCell ref="N15:N16"/>
    <mergeCell ref="O15:O16"/>
    <mergeCell ref="C11:C12"/>
    <mergeCell ref="B5:B6"/>
    <mergeCell ref="C5:C6"/>
    <mergeCell ref="D5:K5"/>
    <mergeCell ref="B2:R2"/>
    <mergeCell ref="M5:R5"/>
    <mergeCell ref="C3:O3"/>
    <mergeCell ref="P7:P8"/>
    <mergeCell ref="Q7:Q8"/>
    <mergeCell ref="R7:R8"/>
    <mergeCell ref="Q9:Q10"/>
    <mergeCell ref="B7:B8"/>
    <mergeCell ref="C7:C8"/>
    <mergeCell ref="M7:M8"/>
    <mergeCell ref="N7:N8"/>
    <mergeCell ref="O7:O8"/>
    <mergeCell ref="R9:R10"/>
    <mergeCell ref="P9:P10"/>
    <mergeCell ref="B9:B10"/>
    <mergeCell ref="C9:C10"/>
    <mergeCell ref="M9:M10"/>
    <mergeCell ref="N9:N10"/>
    <mergeCell ref="O9:O10"/>
    <mergeCell ref="K24:K25"/>
    <mergeCell ref="H24:H25"/>
    <mergeCell ref="I24:I25"/>
    <mergeCell ref="J24:J25"/>
    <mergeCell ref="D24:D25"/>
    <mergeCell ref="E24:E25"/>
    <mergeCell ref="F24:F25"/>
    <mergeCell ref="G24:G25"/>
  </mergeCells>
  <conditionalFormatting sqref="R11:R12 R15:R18">
    <cfRule type="cellIs" dxfId="14" priority="6" operator="greaterThan">
      <formula>0.8</formula>
    </cfRule>
  </conditionalFormatting>
  <conditionalFormatting sqref="J21:J22">
    <cfRule type="cellIs" dxfId="13" priority="3" operator="greaterThan">
      <formula>0.9</formula>
    </cfRule>
    <cfRule type="cellIs" dxfId="12" priority="4" operator="greaterThan">
      <formula>0.95</formula>
    </cfRule>
  </conditionalFormatting>
  <conditionalFormatting sqref="E21:I22">
    <cfRule type="cellIs" dxfId="11" priority="2" operator="lessThan">
      <formula>0</formula>
    </cfRule>
  </conditionalFormatting>
  <conditionalFormatting sqref="H7:H20">
    <cfRule type="dataBar" priority="1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O7:O10 O15:O18 G15:G18 G8:G12 G19:G2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5050"/>
  </sheetPr>
  <dimension ref="A2:AS44"/>
  <sheetViews>
    <sheetView topLeftCell="B13" zoomScale="70" zoomScaleNormal="70" workbookViewId="0">
      <selection activeCell="B26" sqref="A26:XFD44"/>
    </sheetView>
  </sheetViews>
  <sheetFormatPr baseColWidth="10" defaultColWidth="11.44140625" defaultRowHeight="14.4"/>
  <cols>
    <col min="1" max="1" width="9.88671875" style="336" customWidth="1"/>
    <col min="2" max="2" width="8.44140625" style="336" customWidth="1"/>
    <col min="3" max="3" width="21.33203125" style="338" customWidth="1"/>
    <col min="4" max="4" width="9.88671875" style="336" customWidth="1"/>
    <col min="5" max="5" width="10" style="336" customWidth="1"/>
    <col min="6" max="6" width="9" style="336" customWidth="1"/>
    <col min="7" max="7" width="11" style="336" customWidth="1"/>
    <col min="8" max="8" width="10.5546875" style="336" customWidth="1"/>
    <col min="9" max="9" width="9.5546875" style="336" customWidth="1"/>
    <col min="10" max="10" width="10.5546875" style="336" customWidth="1"/>
    <col min="11" max="11" width="11.44140625" style="336"/>
    <col min="12" max="12" width="13.33203125" style="336" customWidth="1"/>
    <col min="13" max="13" width="11.44140625" style="336"/>
    <col min="14" max="14" width="11.88671875" style="336" customWidth="1"/>
    <col min="15" max="15" width="11.44140625" style="336"/>
    <col min="16" max="16" width="10.109375" style="336" customWidth="1"/>
    <col min="17" max="17" width="0" style="336" hidden="1" customWidth="1"/>
    <col min="18" max="18" width="12.44140625" style="336" hidden="1" customWidth="1"/>
    <col min="19" max="21" width="0" style="336" hidden="1" customWidth="1"/>
    <col min="22" max="22" width="14.109375" style="336" hidden="1" customWidth="1"/>
    <col min="23" max="29" width="11.44140625" style="336"/>
    <col min="30" max="30" width="15" style="336" customWidth="1"/>
    <col min="31" max="32" width="11.44140625" style="336"/>
    <col min="33" max="33" width="11.44140625" style="339"/>
    <col min="34" max="55" width="11.44140625" style="336"/>
    <col min="56" max="56" width="17.44140625" style="336" bestFit="1" customWidth="1"/>
    <col min="57" max="57" width="11.44140625" style="336"/>
    <col min="58" max="58" width="20.5546875" style="336" bestFit="1" customWidth="1"/>
    <col min="59" max="16384" width="11.44140625" style="336"/>
  </cols>
  <sheetData>
    <row r="2" spans="1:33" ht="21">
      <c r="B2" s="675" t="s">
        <v>118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7"/>
    </row>
    <row r="3" spans="1:33" ht="21">
      <c r="B3" s="678">
        <f>+'Resumen anual'!B4:I4</f>
        <v>43691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80"/>
    </row>
    <row r="4" spans="1:33">
      <c r="B4" s="340"/>
      <c r="C4" s="341"/>
      <c r="D4" s="340"/>
    </row>
    <row r="5" spans="1:33" s="337" customFormat="1">
      <c r="B5" s="681" t="s">
        <v>46</v>
      </c>
      <c r="C5" s="683" t="s">
        <v>40</v>
      </c>
      <c r="D5" s="685" t="s">
        <v>91</v>
      </c>
      <c r="E5" s="687" t="s">
        <v>39</v>
      </c>
      <c r="F5" s="688"/>
      <c r="G5" s="688"/>
      <c r="H5" s="688"/>
      <c r="I5" s="688"/>
      <c r="J5" s="689"/>
      <c r="K5" s="690" t="s">
        <v>38</v>
      </c>
      <c r="L5" s="691"/>
      <c r="M5" s="691"/>
      <c r="N5" s="691"/>
      <c r="O5" s="691"/>
      <c r="P5" s="692"/>
      <c r="Q5" s="693" t="s">
        <v>41</v>
      </c>
      <c r="R5" s="694"/>
      <c r="S5" s="694"/>
      <c r="T5" s="694"/>
      <c r="U5" s="694"/>
      <c r="V5" s="695"/>
      <c r="W5" s="696" t="s">
        <v>42</v>
      </c>
      <c r="X5" s="697"/>
      <c r="Y5" s="697"/>
      <c r="Z5" s="697"/>
      <c r="AA5" s="697"/>
      <c r="AB5" s="697"/>
      <c r="AG5" s="343"/>
    </row>
    <row r="6" spans="1:33" s="337" customFormat="1" ht="57.6">
      <c r="B6" s="682"/>
      <c r="C6" s="684"/>
      <c r="D6" s="686"/>
      <c r="E6" s="370" t="s">
        <v>36</v>
      </c>
      <c r="F6" s="371" t="s">
        <v>37</v>
      </c>
      <c r="G6" s="371" t="s">
        <v>4</v>
      </c>
      <c r="H6" s="372" t="s">
        <v>5</v>
      </c>
      <c r="I6" s="372" t="s">
        <v>22</v>
      </c>
      <c r="J6" s="372" t="s">
        <v>23</v>
      </c>
      <c r="K6" s="252" t="s">
        <v>24</v>
      </c>
      <c r="L6" s="252" t="s">
        <v>37</v>
      </c>
      <c r="M6" s="252" t="s">
        <v>4</v>
      </c>
      <c r="N6" s="254" t="s">
        <v>5</v>
      </c>
      <c r="O6" s="254" t="s">
        <v>22</v>
      </c>
      <c r="P6" s="254" t="s">
        <v>23</v>
      </c>
      <c r="Q6" s="373" t="s">
        <v>26</v>
      </c>
      <c r="R6" s="374" t="s">
        <v>37</v>
      </c>
      <c r="S6" s="374" t="s">
        <v>4</v>
      </c>
      <c r="T6" s="375" t="s">
        <v>45</v>
      </c>
      <c r="U6" s="375" t="s">
        <v>6</v>
      </c>
      <c r="V6" s="376" t="s">
        <v>23</v>
      </c>
      <c r="W6" s="377" t="s">
        <v>43</v>
      </c>
      <c r="X6" s="378" t="s">
        <v>37</v>
      </c>
      <c r="Y6" s="379" t="s">
        <v>4</v>
      </c>
      <c r="Z6" s="380" t="s">
        <v>44</v>
      </c>
      <c r="AA6" s="380" t="s">
        <v>6</v>
      </c>
      <c r="AB6" s="381" t="s">
        <v>23</v>
      </c>
      <c r="AG6" s="343"/>
    </row>
    <row r="7" spans="1:33" ht="14.4" customHeight="1">
      <c r="A7" s="405"/>
      <c r="B7" s="653" t="s">
        <v>27</v>
      </c>
      <c r="C7" s="674" t="s">
        <v>28</v>
      </c>
      <c r="D7" s="351" t="s">
        <v>12</v>
      </c>
      <c r="E7" s="366">
        <f>+Movimientos_LtpPep!G9</f>
        <v>6.5141495999999997</v>
      </c>
      <c r="F7" s="126">
        <f>+Movimientos_LtpPep!J9</f>
        <v>0</v>
      </c>
      <c r="G7" s="240">
        <f>E7+F7</f>
        <v>6.5141495999999997</v>
      </c>
      <c r="H7" s="126"/>
      <c r="I7" s="240">
        <f>G7-H7</f>
        <v>6.5141495999999997</v>
      </c>
      <c r="J7" s="356">
        <f>H7/G7</f>
        <v>0</v>
      </c>
      <c r="K7" s="367">
        <f>+Movimientos_LtpPep!I9</f>
        <v>5.3078256000000001</v>
      </c>
      <c r="L7" s="126">
        <f>+Movimientos_LtpPep!K9</f>
        <v>0</v>
      </c>
      <c r="M7" s="82">
        <f>K7+L7</f>
        <v>5.3078256000000001</v>
      </c>
      <c r="N7" s="126"/>
      <c r="O7" s="82">
        <f>M7-N7</f>
        <v>5.3078256000000001</v>
      </c>
      <c r="P7" s="365">
        <f>N7/M7</f>
        <v>0</v>
      </c>
      <c r="Q7" s="66">
        <f>+E7+K7</f>
        <v>11.821975200000001</v>
      </c>
      <c r="R7" s="241">
        <f>F7+L7</f>
        <v>0</v>
      </c>
      <c r="S7" s="66">
        <f>Q7+R7</f>
        <v>11.821975200000001</v>
      </c>
      <c r="T7" s="241">
        <f>H7+N7</f>
        <v>0</v>
      </c>
      <c r="U7" s="66">
        <f>S7-T7</f>
        <v>11.821975200000001</v>
      </c>
      <c r="V7" s="242">
        <f>T7/S7</f>
        <v>0</v>
      </c>
      <c r="W7" s="666">
        <f>Q7+Q8</f>
        <v>13.510828800000001</v>
      </c>
      <c r="X7" s="668">
        <f>R7+R8</f>
        <v>0</v>
      </c>
      <c r="Y7" s="668">
        <f>W7+X7</f>
        <v>13.510828800000001</v>
      </c>
      <c r="Z7" s="668">
        <f>T7+T8</f>
        <v>0</v>
      </c>
      <c r="AA7" s="668">
        <f>Y7-Z7</f>
        <v>13.510828800000001</v>
      </c>
      <c r="AB7" s="656">
        <f>Z7/Y7</f>
        <v>0</v>
      </c>
      <c r="AC7" s="672"/>
      <c r="AD7" s="673"/>
      <c r="AE7" s="673"/>
      <c r="AF7" s="673"/>
    </row>
    <row r="8" spans="1:33">
      <c r="A8" s="368"/>
      <c r="B8" s="654"/>
      <c r="C8" s="659"/>
      <c r="D8" s="350" t="s">
        <v>10</v>
      </c>
      <c r="E8" s="353">
        <f>+Movimientos_LtpPep!G10</f>
        <v>0.96505920000000001</v>
      </c>
      <c r="F8" s="9">
        <f>+Movimientos_LtpPep!J10</f>
        <v>0</v>
      </c>
      <c r="G8" s="12">
        <f>E8+F8+I7</f>
        <v>7.4792087999999994</v>
      </c>
      <c r="H8" s="10"/>
      <c r="I8" s="12">
        <f>G8-H8</f>
        <v>7.4792087999999994</v>
      </c>
      <c r="J8" s="355">
        <f>H8/G8</f>
        <v>0</v>
      </c>
      <c r="K8" s="362">
        <f>+Movimientos_LtpPep!I10</f>
        <v>0.72379440000000006</v>
      </c>
      <c r="L8" s="9">
        <f>+Movimientos_LtpPep!K10</f>
        <v>0</v>
      </c>
      <c r="M8" s="14">
        <f>O7+K8+L8</f>
        <v>6.0316200000000002</v>
      </c>
      <c r="N8" s="10"/>
      <c r="O8" s="15">
        <f>M8-N8</f>
        <v>6.0316200000000002</v>
      </c>
      <c r="P8" s="364">
        <f>N8/M8</f>
        <v>0</v>
      </c>
      <c r="Q8" s="20">
        <f>+E8+K8</f>
        <v>1.6888536000000001</v>
      </c>
      <c r="R8" s="19">
        <f t="shared" ref="R8:R22" si="0">F8+L8</f>
        <v>0</v>
      </c>
      <c r="S8" s="20">
        <f>Q8+R8+U7</f>
        <v>13.510828800000001</v>
      </c>
      <c r="T8" s="19">
        <f t="shared" ref="T8:T22" si="1">H8+N8</f>
        <v>0</v>
      </c>
      <c r="U8" s="21">
        <f t="shared" ref="U8:U24" si="2">S8-T8</f>
        <v>13.510828800000001</v>
      </c>
      <c r="V8" s="22">
        <f t="shared" ref="V8:V24" si="3">T8/S8</f>
        <v>0</v>
      </c>
      <c r="W8" s="667"/>
      <c r="X8" s="669"/>
      <c r="Y8" s="669"/>
      <c r="Z8" s="669"/>
      <c r="AA8" s="669"/>
      <c r="AB8" s="657"/>
    </row>
    <row r="9" spans="1:33">
      <c r="A9" s="368"/>
      <c r="B9" s="654"/>
      <c r="C9" s="658" t="s">
        <v>71</v>
      </c>
      <c r="D9" s="351" t="s">
        <v>12</v>
      </c>
      <c r="E9" s="353">
        <f>+Movimientos_LtpPep!G11</f>
        <v>12.979491299999999</v>
      </c>
      <c r="F9" s="9">
        <f>+Movimientos_LtpPep!J11</f>
        <v>0</v>
      </c>
      <c r="G9" s="240">
        <f>E9+F9</f>
        <v>12.979491299999999</v>
      </c>
      <c r="H9" s="126"/>
      <c r="I9" s="240">
        <f t="shared" ref="I9:I24" si="4">G9-H9</f>
        <v>12.979491299999999</v>
      </c>
      <c r="J9" s="356">
        <f t="shared" ref="J9:J14" si="5">H9/G9</f>
        <v>0</v>
      </c>
      <c r="K9" s="362">
        <f>+Movimientos_LtpPep!I11</f>
        <v>10.575881799999999</v>
      </c>
      <c r="L9" s="16">
        <f>+Movimientos_LtpPep!K11</f>
        <v>68.942999999999998</v>
      </c>
      <c r="M9" s="82">
        <f t="shared" ref="M9" si="6">K9+L9</f>
        <v>79.518881800000003</v>
      </c>
      <c r="N9" s="126">
        <f>+D32</f>
        <v>16.215</v>
      </c>
      <c r="O9" s="82">
        <f t="shared" ref="O9:O23" si="7">M9-N9</f>
        <v>63.303881799999999</v>
      </c>
      <c r="P9" s="365">
        <f t="shared" ref="P9:P10" si="8">N9/M9</f>
        <v>0.20391383320483261</v>
      </c>
      <c r="Q9" s="66">
        <f t="shared" ref="Q9:Q22" si="9">+E9+K9</f>
        <v>23.555373099999997</v>
      </c>
      <c r="R9" s="241">
        <f t="shared" si="0"/>
        <v>68.942999999999998</v>
      </c>
      <c r="S9" s="66">
        <f t="shared" ref="S9" si="10">Q9+R9</f>
        <v>92.498373099999995</v>
      </c>
      <c r="T9" s="241">
        <f t="shared" si="1"/>
        <v>16.215</v>
      </c>
      <c r="U9" s="66">
        <f t="shared" si="2"/>
        <v>76.283373099999991</v>
      </c>
      <c r="V9" s="242">
        <f t="shared" si="3"/>
        <v>0.17530038049934091</v>
      </c>
      <c r="W9" s="666">
        <f>Q9+Q10</f>
        <v>26.920426399999997</v>
      </c>
      <c r="X9" s="668">
        <f t="shared" ref="X9" si="11">R9+R10</f>
        <v>68.942999999999998</v>
      </c>
      <c r="Y9" s="668">
        <f t="shared" ref="Y9" si="12">W9+X9</f>
        <v>95.863426399999994</v>
      </c>
      <c r="Z9" s="668">
        <f t="shared" ref="Z9" si="13">T9+T10</f>
        <v>16.215</v>
      </c>
      <c r="AA9" s="668">
        <f t="shared" ref="AA9" si="14">Y9-Z9</f>
        <v>79.648426399999991</v>
      </c>
      <c r="AB9" s="656">
        <f t="shared" ref="AB9" si="15">Z9/Y9</f>
        <v>0.16914688540696685</v>
      </c>
    </row>
    <row r="10" spans="1:33">
      <c r="A10" s="368"/>
      <c r="B10" s="654"/>
      <c r="C10" s="659"/>
      <c r="D10" s="350" t="s">
        <v>10</v>
      </c>
      <c r="E10" s="353">
        <f>+Movimientos_LtpPep!G12</f>
        <v>1.9228875999999999</v>
      </c>
      <c r="F10" s="9">
        <f>+Movimientos_LtpPep!J12</f>
        <v>0</v>
      </c>
      <c r="G10" s="12">
        <f>E10+F10+I9</f>
        <v>14.902378899999999</v>
      </c>
      <c r="H10" s="10"/>
      <c r="I10" s="12">
        <f t="shared" si="4"/>
        <v>14.902378899999999</v>
      </c>
      <c r="J10" s="355">
        <f t="shared" si="5"/>
        <v>0</v>
      </c>
      <c r="K10" s="362">
        <f>+Movimientos_LtpPep!I12</f>
        <v>1.4421656999999999</v>
      </c>
      <c r="L10" s="9">
        <f>+Movimientos_LtpPep!K12</f>
        <v>0</v>
      </c>
      <c r="M10" s="14">
        <f>O9+K10+L10</f>
        <v>64.746047500000003</v>
      </c>
      <c r="N10" s="10"/>
      <c r="O10" s="13">
        <f t="shared" si="7"/>
        <v>64.746047500000003</v>
      </c>
      <c r="P10" s="364">
        <f t="shared" si="8"/>
        <v>0</v>
      </c>
      <c r="Q10" s="20">
        <f t="shared" si="9"/>
        <v>3.3650532999999996</v>
      </c>
      <c r="R10" s="19">
        <f t="shared" si="0"/>
        <v>0</v>
      </c>
      <c r="S10" s="20">
        <f>Q10+R10+U9</f>
        <v>79.648426399999991</v>
      </c>
      <c r="T10" s="19">
        <f t="shared" si="1"/>
        <v>0</v>
      </c>
      <c r="U10" s="17">
        <f t="shared" si="2"/>
        <v>79.648426399999991</v>
      </c>
      <c r="V10" s="22">
        <f t="shared" si="3"/>
        <v>0</v>
      </c>
      <c r="W10" s="667"/>
      <c r="X10" s="669"/>
      <c r="Y10" s="669"/>
      <c r="Z10" s="669"/>
      <c r="AA10" s="669"/>
      <c r="AB10" s="657"/>
    </row>
    <row r="11" spans="1:33">
      <c r="A11" s="368"/>
      <c r="B11" s="654"/>
      <c r="C11" s="658" t="s">
        <v>70</v>
      </c>
      <c r="D11" s="351" t="s">
        <v>12</v>
      </c>
      <c r="E11" s="353">
        <f>+Movimientos_LtpPep!G13</f>
        <v>5.6833380000000009</v>
      </c>
      <c r="F11" s="9">
        <f>+Movimientos_LtpPep!J13</f>
        <v>0</v>
      </c>
      <c r="G11" s="240">
        <f t="shared" ref="G11" si="16">E11+F11</f>
        <v>5.6833380000000009</v>
      </c>
      <c r="H11" s="126"/>
      <c r="I11" s="240">
        <f t="shared" si="4"/>
        <v>5.6833380000000009</v>
      </c>
      <c r="J11" s="356">
        <f t="shared" si="5"/>
        <v>0</v>
      </c>
      <c r="K11" s="362">
        <f>+Movimientos_LtpPep!I13</f>
        <v>4.6308680000000004</v>
      </c>
      <c r="L11" s="9">
        <f>+Movimientos_LtpPep!K13</f>
        <v>0</v>
      </c>
      <c r="M11" s="82">
        <f t="shared" ref="M11" si="17">K11+L11</f>
        <v>4.6308680000000004</v>
      </c>
      <c r="N11" s="126">
        <f>+D33</f>
        <v>1.6479999999999999</v>
      </c>
      <c r="O11" s="82">
        <f t="shared" si="7"/>
        <v>2.9828680000000007</v>
      </c>
      <c r="P11" s="365">
        <f>N11/M11</f>
        <v>0.35587280829425494</v>
      </c>
      <c r="Q11" s="66">
        <f t="shared" si="9"/>
        <v>10.314206000000002</v>
      </c>
      <c r="R11" s="241">
        <f t="shared" si="0"/>
        <v>0</v>
      </c>
      <c r="S11" s="66">
        <f t="shared" ref="S11" si="18">Q11+R11</f>
        <v>10.314206000000002</v>
      </c>
      <c r="T11" s="241">
        <f t="shared" si="1"/>
        <v>1.6479999999999999</v>
      </c>
      <c r="U11" s="66">
        <f t="shared" si="2"/>
        <v>8.6662060000000025</v>
      </c>
      <c r="V11" s="242">
        <f t="shared" si="3"/>
        <v>0.15977962821374708</v>
      </c>
      <c r="W11" s="666">
        <f t="shared" ref="W11:X11" si="19">Q11+Q12</f>
        <v>11.787664000000003</v>
      </c>
      <c r="X11" s="668">
        <f t="shared" si="19"/>
        <v>0</v>
      </c>
      <c r="Y11" s="668">
        <f t="shared" ref="Y11" si="20">W11+X11</f>
        <v>11.787664000000003</v>
      </c>
      <c r="Z11" s="668">
        <f t="shared" ref="Z11" si="21">T11+T12</f>
        <v>1.6479999999999999</v>
      </c>
      <c r="AA11" s="668">
        <f t="shared" ref="AA11" si="22">Y11-Z11</f>
        <v>10.139664000000003</v>
      </c>
      <c r="AB11" s="656">
        <f t="shared" ref="AB11" si="23">Z11/Y11</f>
        <v>0.13980717468702869</v>
      </c>
    </row>
    <row r="12" spans="1:33">
      <c r="A12" s="368"/>
      <c r="B12" s="654"/>
      <c r="C12" s="659"/>
      <c r="D12" s="350" t="s">
        <v>10</v>
      </c>
      <c r="E12" s="353">
        <f>+Movimientos_LtpPep!G14</f>
        <v>0.84197600000000006</v>
      </c>
      <c r="F12" s="9">
        <f>+Movimientos_LtpPep!J14</f>
        <v>0</v>
      </c>
      <c r="G12" s="12">
        <f t="shared" ref="G12" si="24">E12+F12+I11</f>
        <v>6.5253140000000007</v>
      </c>
      <c r="H12" s="10"/>
      <c r="I12" s="12">
        <f t="shared" si="4"/>
        <v>6.5253140000000007</v>
      </c>
      <c r="J12" s="355">
        <f t="shared" si="5"/>
        <v>0</v>
      </c>
      <c r="K12" s="362">
        <f>+Movimientos_LtpPep!I14</f>
        <v>0.6314820000000001</v>
      </c>
      <c r="L12" s="9">
        <f>+Movimientos_LtpPep!K14</f>
        <v>0</v>
      </c>
      <c r="M12" s="14">
        <f>O11+K12+L12</f>
        <v>3.6143500000000008</v>
      </c>
      <c r="N12" s="10"/>
      <c r="O12" s="13">
        <f>M12-N12</f>
        <v>3.6143500000000008</v>
      </c>
      <c r="P12" s="364">
        <f t="shared" ref="P12:P14" si="25">N12/M12</f>
        <v>0</v>
      </c>
      <c r="Q12" s="20">
        <f t="shared" si="9"/>
        <v>1.4734580000000002</v>
      </c>
      <c r="R12" s="19">
        <f t="shared" si="0"/>
        <v>0</v>
      </c>
      <c r="S12" s="20">
        <f>Q12+R12+U11</f>
        <v>10.139664000000003</v>
      </c>
      <c r="T12" s="19">
        <f t="shared" si="1"/>
        <v>0</v>
      </c>
      <c r="U12" s="17">
        <f t="shared" si="2"/>
        <v>10.139664000000003</v>
      </c>
      <c r="V12" s="22">
        <f t="shared" si="3"/>
        <v>0</v>
      </c>
      <c r="W12" s="667"/>
      <c r="X12" s="669"/>
      <c r="Y12" s="669"/>
      <c r="Z12" s="669"/>
      <c r="AA12" s="669"/>
      <c r="AB12" s="657"/>
    </row>
    <row r="13" spans="1:33">
      <c r="A13" s="368"/>
      <c r="B13" s="654"/>
      <c r="C13" s="658" t="s">
        <v>29</v>
      </c>
      <c r="D13" s="351" t="s">
        <v>12</v>
      </c>
      <c r="E13" s="353">
        <f>+Movimientos_LtpPep!G15</f>
        <v>1.7636183999999999</v>
      </c>
      <c r="F13" s="9">
        <f>+Movimientos_LtpPep!J15</f>
        <v>0</v>
      </c>
      <c r="G13" s="240">
        <f t="shared" ref="G13" si="26">E13+F13</f>
        <v>1.7636183999999999</v>
      </c>
      <c r="H13" s="126"/>
      <c r="I13" s="240">
        <f t="shared" si="4"/>
        <v>1.7636183999999999</v>
      </c>
      <c r="J13" s="356">
        <f t="shared" si="5"/>
        <v>0</v>
      </c>
      <c r="K13" s="362">
        <f>+Movimientos_LtpPep!I15</f>
        <v>1.4370223999999998</v>
      </c>
      <c r="L13" s="9">
        <f>+Movimientos_LtpPep!K15</f>
        <v>0</v>
      </c>
      <c r="M13" s="82">
        <f t="shared" ref="M13" si="27">K13+L13</f>
        <v>1.4370223999999998</v>
      </c>
      <c r="N13" s="126"/>
      <c r="O13" s="82">
        <f t="shared" si="7"/>
        <v>1.4370223999999998</v>
      </c>
      <c r="P13" s="365">
        <f t="shared" si="25"/>
        <v>0</v>
      </c>
      <c r="Q13" s="66">
        <f t="shared" si="9"/>
        <v>3.2006407999999995</v>
      </c>
      <c r="R13" s="241">
        <f t="shared" si="0"/>
        <v>0</v>
      </c>
      <c r="S13" s="66">
        <f t="shared" ref="S13" si="28">Q13+R13</f>
        <v>3.2006407999999995</v>
      </c>
      <c r="T13" s="241">
        <f t="shared" si="1"/>
        <v>0</v>
      </c>
      <c r="U13" s="66">
        <f t="shared" si="2"/>
        <v>3.2006407999999995</v>
      </c>
      <c r="V13" s="242">
        <f t="shared" si="3"/>
        <v>0</v>
      </c>
      <c r="W13" s="666">
        <f t="shared" ref="W13:X13" si="29">Q13+Q14</f>
        <v>3.6578751999999994</v>
      </c>
      <c r="X13" s="668">
        <f t="shared" si="29"/>
        <v>0</v>
      </c>
      <c r="Y13" s="668">
        <f t="shared" ref="Y13" si="30">W13+X13</f>
        <v>3.6578751999999994</v>
      </c>
      <c r="Z13" s="668">
        <f t="shared" ref="Z13" si="31">T13+T14</f>
        <v>0</v>
      </c>
      <c r="AA13" s="668">
        <f t="shared" ref="AA13" si="32">Y13-Z13</f>
        <v>3.6578751999999994</v>
      </c>
      <c r="AB13" s="656">
        <f t="shared" ref="AB13" si="33">Z13/Y13</f>
        <v>0</v>
      </c>
    </row>
    <row r="14" spans="1:33">
      <c r="A14" s="368"/>
      <c r="B14" s="654"/>
      <c r="C14" s="659"/>
      <c r="D14" s="350" t="s">
        <v>10</v>
      </c>
      <c r="E14" s="353">
        <f>+Movimientos_LtpPep!G16</f>
        <v>0.26127679999999998</v>
      </c>
      <c r="F14" s="9">
        <f>+Movimientos_LtpPep!J16</f>
        <v>0</v>
      </c>
      <c r="G14" s="12">
        <f t="shared" ref="G14" si="34">E14+F14+I13</f>
        <v>2.0248952</v>
      </c>
      <c r="H14" s="10"/>
      <c r="I14" s="12">
        <f t="shared" si="4"/>
        <v>2.0248952</v>
      </c>
      <c r="J14" s="355">
        <f t="shared" si="5"/>
        <v>0</v>
      </c>
      <c r="K14" s="362">
        <f>+Movimientos_LtpPep!I16</f>
        <v>0.19595759999999998</v>
      </c>
      <c r="L14" s="9">
        <f>+Movimientos_LtpPep!K16</f>
        <v>0</v>
      </c>
      <c r="M14" s="14">
        <f t="shared" ref="M14" si="35">O13+K14+L14</f>
        <v>1.6329799999999999</v>
      </c>
      <c r="N14" s="133"/>
      <c r="O14" s="13">
        <f>M14-N14</f>
        <v>1.6329799999999999</v>
      </c>
      <c r="P14" s="364">
        <f t="shared" si="25"/>
        <v>0</v>
      </c>
      <c r="Q14" s="20">
        <f t="shared" si="9"/>
        <v>0.45723439999999993</v>
      </c>
      <c r="R14" s="19">
        <f t="shared" si="0"/>
        <v>0</v>
      </c>
      <c r="S14" s="20">
        <f>Q14+R14+U13</f>
        <v>3.6578751999999994</v>
      </c>
      <c r="T14" s="19">
        <f t="shared" si="1"/>
        <v>0</v>
      </c>
      <c r="U14" s="17">
        <f t="shared" si="2"/>
        <v>3.6578751999999994</v>
      </c>
      <c r="V14" s="22">
        <f t="shared" si="3"/>
        <v>0</v>
      </c>
      <c r="W14" s="667"/>
      <c r="X14" s="669"/>
      <c r="Y14" s="669"/>
      <c r="Z14" s="669"/>
      <c r="AA14" s="669"/>
      <c r="AB14" s="657"/>
    </row>
    <row r="15" spans="1:33">
      <c r="A15" s="368"/>
      <c r="B15" s="654"/>
      <c r="C15" s="658" t="s">
        <v>73</v>
      </c>
      <c r="D15" s="351" t="s">
        <v>12</v>
      </c>
      <c r="E15" s="353">
        <f>+Movimientos_LtpPep!G17</f>
        <v>0</v>
      </c>
      <c r="F15" s="9">
        <f>+Movimientos_LtpPep!J17</f>
        <v>0</v>
      </c>
      <c r="G15" s="76">
        <f t="shared" ref="G15" si="36">E15+F15</f>
        <v>0</v>
      </c>
      <c r="H15" s="126"/>
      <c r="I15" s="76">
        <f t="shared" si="4"/>
        <v>0</v>
      </c>
      <c r="J15" s="357">
        <v>0</v>
      </c>
      <c r="K15" s="362">
        <f>+Movimientos_LtpPep!I17</f>
        <v>0</v>
      </c>
      <c r="L15" s="9">
        <f>+Movimientos_LtpPep!K17</f>
        <v>0</v>
      </c>
      <c r="M15" s="76">
        <f t="shared" ref="M15" si="37">K15+L15</f>
        <v>0</v>
      </c>
      <c r="N15" s="126"/>
      <c r="O15" s="76">
        <f t="shared" si="7"/>
        <v>0</v>
      </c>
      <c r="P15" s="357">
        <v>0</v>
      </c>
      <c r="Q15" s="76">
        <f t="shared" si="9"/>
        <v>0</v>
      </c>
      <c r="R15" s="244">
        <f t="shared" si="0"/>
        <v>0</v>
      </c>
      <c r="S15" s="76">
        <f t="shared" ref="S15" si="38">Q15+R15</f>
        <v>0</v>
      </c>
      <c r="T15" s="244">
        <f t="shared" si="1"/>
        <v>0</v>
      </c>
      <c r="U15" s="76">
        <f t="shared" si="2"/>
        <v>0</v>
      </c>
      <c r="V15" s="243" t="e">
        <f t="shared" si="3"/>
        <v>#DIV/0!</v>
      </c>
      <c r="W15" s="660">
        <f t="shared" ref="W15:X15" si="39">Q15+Q16</f>
        <v>0</v>
      </c>
      <c r="X15" s="662">
        <f t="shared" si="39"/>
        <v>0</v>
      </c>
      <c r="Y15" s="662">
        <f t="shared" ref="Y15" si="40">W15+X15</f>
        <v>0</v>
      </c>
      <c r="Z15" s="662">
        <f t="shared" ref="Z15" si="41">T15+T16</f>
        <v>0</v>
      </c>
      <c r="AA15" s="662">
        <f t="shared" ref="AA15" si="42">Y15-Z15</f>
        <v>0</v>
      </c>
      <c r="AB15" s="664">
        <v>0</v>
      </c>
    </row>
    <row r="16" spans="1:33">
      <c r="A16" s="368"/>
      <c r="B16" s="654"/>
      <c r="C16" s="659"/>
      <c r="D16" s="350" t="s">
        <v>10</v>
      </c>
      <c r="E16" s="353">
        <f>+Movimientos_LtpPep!G18</f>
        <v>0</v>
      </c>
      <c r="F16" s="9">
        <f>+Movimientos_LtpPep!J18</f>
        <v>0</v>
      </c>
      <c r="G16" s="77">
        <f t="shared" ref="G16" si="43">E16+F16+I15</f>
        <v>0</v>
      </c>
      <c r="H16" s="9"/>
      <c r="I16" s="77">
        <f t="shared" si="4"/>
        <v>0</v>
      </c>
      <c r="J16" s="358">
        <v>0</v>
      </c>
      <c r="K16" s="362">
        <f>+Movimientos_LtpPep!I18</f>
        <v>0</v>
      </c>
      <c r="L16" s="9">
        <f>+Movimientos_LtpPep!K18</f>
        <v>0</v>
      </c>
      <c r="M16" s="77">
        <f>O15+K16+L16</f>
        <v>0</v>
      </c>
      <c r="N16" s="9"/>
      <c r="O16" s="77">
        <f t="shared" si="7"/>
        <v>0</v>
      </c>
      <c r="P16" s="358">
        <v>0</v>
      </c>
      <c r="Q16" s="77">
        <f t="shared" si="9"/>
        <v>0</v>
      </c>
      <c r="R16" s="78">
        <f t="shared" si="0"/>
        <v>0</v>
      </c>
      <c r="S16" s="77">
        <f>Q16+R16+U15</f>
        <v>0</v>
      </c>
      <c r="T16" s="78">
        <f t="shared" si="1"/>
        <v>0</v>
      </c>
      <c r="U16" s="77">
        <f t="shared" si="2"/>
        <v>0</v>
      </c>
      <c r="V16" s="79" t="e">
        <f t="shared" si="3"/>
        <v>#DIV/0!</v>
      </c>
      <c r="W16" s="661"/>
      <c r="X16" s="663"/>
      <c r="Y16" s="663"/>
      <c r="Z16" s="663"/>
      <c r="AA16" s="663"/>
      <c r="AB16" s="665"/>
    </row>
    <row r="17" spans="1:45">
      <c r="A17" s="368"/>
      <c r="B17" s="654"/>
      <c r="C17" s="658" t="s">
        <v>25</v>
      </c>
      <c r="D17" s="351" t="s">
        <v>12</v>
      </c>
      <c r="E17" s="353">
        <f>+Movimientos_LtpPep!G19</f>
        <v>5.9400000000000008E-2</v>
      </c>
      <c r="F17" s="9">
        <f>+Movimientos_LtpPep!J19</f>
        <v>0</v>
      </c>
      <c r="G17" s="240">
        <f>E17+F17</f>
        <v>5.9400000000000008E-2</v>
      </c>
      <c r="H17" s="126"/>
      <c r="I17" s="240">
        <f t="shared" si="4"/>
        <v>5.9400000000000008E-2</v>
      </c>
      <c r="J17" s="356">
        <f t="shared" ref="J17:J24" si="44">H17/G17</f>
        <v>0</v>
      </c>
      <c r="K17" s="362">
        <f>+Movimientos_LtpPep!I19</f>
        <v>4.8400000000000006E-2</v>
      </c>
      <c r="L17" s="9">
        <f>+Movimientos_LtpPep!K19</f>
        <v>0</v>
      </c>
      <c r="M17" s="82">
        <f t="shared" ref="M17" si="45">K17+L17</f>
        <v>4.8400000000000006E-2</v>
      </c>
      <c r="N17" s="126"/>
      <c r="O17" s="82">
        <f t="shared" si="7"/>
        <v>4.8400000000000006E-2</v>
      </c>
      <c r="P17" s="365">
        <f t="shared" ref="P17:P24" si="46">N17/M17</f>
        <v>0</v>
      </c>
      <c r="Q17" s="66">
        <f t="shared" si="9"/>
        <v>0.10780000000000001</v>
      </c>
      <c r="R17" s="241">
        <f t="shared" si="0"/>
        <v>0</v>
      </c>
      <c r="S17" s="66">
        <f t="shared" ref="S17:S21" si="47">Q17+R17</f>
        <v>0.10780000000000001</v>
      </c>
      <c r="T17" s="241">
        <f t="shared" si="1"/>
        <v>0</v>
      </c>
      <c r="U17" s="66">
        <f t="shared" si="2"/>
        <v>0.10780000000000001</v>
      </c>
      <c r="V17" s="242">
        <f t="shared" si="3"/>
        <v>0</v>
      </c>
      <c r="W17" s="666">
        <f>Q17+Q18</f>
        <v>0.1232</v>
      </c>
      <c r="X17" s="668">
        <f t="shared" ref="X17" si="48">R17+R18</f>
        <v>0</v>
      </c>
      <c r="Y17" s="668">
        <f t="shared" ref="Y17" si="49">W17+X17</f>
        <v>0.1232</v>
      </c>
      <c r="Z17" s="668">
        <f t="shared" ref="Z17" si="50">T17+T18</f>
        <v>0</v>
      </c>
      <c r="AA17" s="668">
        <f t="shared" ref="AA17" si="51">Y17-Z17</f>
        <v>0.1232</v>
      </c>
      <c r="AB17" s="656">
        <f t="shared" ref="AB17" si="52">Z17/Y17</f>
        <v>0</v>
      </c>
    </row>
    <row r="18" spans="1:45">
      <c r="A18" s="368"/>
      <c r="B18" s="654"/>
      <c r="C18" s="659"/>
      <c r="D18" s="350" t="s">
        <v>10</v>
      </c>
      <c r="E18" s="353">
        <f>+Movimientos_LtpPep!G20</f>
        <v>8.8000000000000005E-3</v>
      </c>
      <c r="F18" s="9">
        <f>+Movimientos_LtpPep!J20</f>
        <v>0</v>
      </c>
      <c r="G18" s="12">
        <f>E18+F18+I17</f>
        <v>6.8200000000000011E-2</v>
      </c>
      <c r="H18" s="10"/>
      <c r="I18" s="12">
        <f t="shared" si="4"/>
        <v>6.8200000000000011E-2</v>
      </c>
      <c r="J18" s="355">
        <f t="shared" si="44"/>
        <v>0</v>
      </c>
      <c r="K18" s="362">
        <f>+Movimientos_LtpPep!I20</f>
        <v>6.6E-3</v>
      </c>
      <c r="L18" s="9">
        <f>+Movimientos_LtpPep!K20</f>
        <v>0</v>
      </c>
      <c r="M18" s="14">
        <f t="shared" ref="M18" si="53">O17+K18+L18</f>
        <v>5.5000000000000007E-2</v>
      </c>
      <c r="N18" s="10"/>
      <c r="O18" s="15">
        <f t="shared" si="7"/>
        <v>5.5000000000000007E-2</v>
      </c>
      <c r="P18" s="364">
        <f t="shared" si="46"/>
        <v>0</v>
      </c>
      <c r="Q18" s="20">
        <f t="shared" si="9"/>
        <v>1.54E-2</v>
      </c>
      <c r="R18" s="19">
        <f t="shared" si="0"/>
        <v>0</v>
      </c>
      <c r="S18" s="20">
        <f>Q18+R18+U17</f>
        <v>0.1232</v>
      </c>
      <c r="T18" s="19">
        <f t="shared" si="1"/>
        <v>0</v>
      </c>
      <c r="U18" s="21">
        <f t="shared" si="2"/>
        <v>0.1232</v>
      </c>
      <c r="V18" s="22">
        <f t="shared" si="3"/>
        <v>0</v>
      </c>
      <c r="W18" s="667"/>
      <c r="X18" s="669"/>
      <c r="Y18" s="669"/>
      <c r="Z18" s="669"/>
      <c r="AA18" s="669"/>
      <c r="AB18" s="657"/>
    </row>
    <row r="19" spans="1:45">
      <c r="A19" s="368"/>
      <c r="B19" s="654"/>
      <c r="C19" s="658" t="s">
        <v>85</v>
      </c>
      <c r="D19" s="351" t="s">
        <v>12</v>
      </c>
      <c r="E19" s="353">
        <f>+Movimientos_LtpPep!G21</f>
        <v>2.7000000000000001E-3</v>
      </c>
      <c r="F19" s="9">
        <f>+Movimientos_LtpPep!J21</f>
        <v>0</v>
      </c>
      <c r="G19" s="240">
        <f>E19+F19</f>
        <v>2.7000000000000001E-3</v>
      </c>
      <c r="H19" s="126"/>
      <c r="I19" s="240">
        <f>G19-H19</f>
        <v>2.7000000000000001E-3</v>
      </c>
      <c r="J19" s="356">
        <f t="shared" si="44"/>
        <v>0</v>
      </c>
      <c r="K19" s="362">
        <f>+Movimientos_LtpPep!I21</f>
        <v>2.2000000000000001E-3</v>
      </c>
      <c r="L19" s="9">
        <f>+Movimientos_LtpPep!K21</f>
        <v>0</v>
      </c>
      <c r="M19" s="82">
        <f t="shared" ref="M19" si="54">K19+L19</f>
        <v>2.2000000000000001E-3</v>
      </c>
      <c r="N19" s="126"/>
      <c r="O19" s="82">
        <f t="shared" si="7"/>
        <v>2.2000000000000001E-3</v>
      </c>
      <c r="P19" s="365">
        <f t="shared" si="46"/>
        <v>0</v>
      </c>
      <c r="Q19" s="66">
        <f t="shared" si="9"/>
        <v>4.8999999999999998E-3</v>
      </c>
      <c r="R19" s="241">
        <f t="shared" si="0"/>
        <v>0</v>
      </c>
      <c r="S19" s="66">
        <f t="shared" ref="S19" si="55">Q19+R19</f>
        <v>4.8999999999999998E-3</v>
      </c>
      <c r="T19" s="241">
        <f t="shared" si="1"/>
        <v>0</v>
      </c>
      <c r="U19" s="66">
        <f t="shared" si="2"/>
        <v>4.8999999999999998E-3</v>
      </c>
      <c r="V19" s="242">
        <f t="shared" si="3"/>
        <v>0</v>
      </c>
      <c r="W19" s="666">
        <f>Q19+Q20</f>
        <v>5.5999999999999999E-3</v>
      </c>
      <c r="X19" s="668">
        <f>R19+R20</f>
        <v>0</v>
      </c>
      <c r="Y19" s="670">
        <f t="shared" ref="Y19" si="56">W19+X19</f>
        <v>5.5999999999999999E-3</v>
      </c>
      <c r="Z19" s="668">
        <f>T19+T20</f>
        <v>0</v>
      </c>
      <c r="AA19" s="668">
        <f t="shared" ref="AA19" si="57">Y19-Z19</f>
        <v>5.5999999999999999E-3</v>
      </c>
      <c r="AB19" s="656">
        <f t="shared" ref="AB19" si="58">Z19/Y19</f>
        <v>0</v>
      </c>
    </row>
    <row r="20" spans="1:45">
      <c r="A20" s="368"/>
      <c r="B20" s="654"/>
      <c r="C20" s="659"/>
      <c r="D20" s="350" t="s">
        <v>10</v>
      </c>
      <c r="E20" s="353">
        <f>+Movimientos_LtpPep!G22</f>
        <v>4.0000000000000002E-4</v>
      </c>
      <c r="F20" s="9">
        <f>+Movimientos_LtpPep!J22</f>
        <v>0</v>
      </c>
      <c r="G20" s="11">
        <f>E20+F20+I19</f>
        <v>3.1000000000000003E-3</v>
      </c>
      <c r="H20" s="9"/>
      <c r="I20" s="11">
        <f t="shared" ref="I20" si="59">G20-H20</f>
        <v>3.1000000000000003E-3</v>
      </c>
      <c r="J20" s="354">
        <f t="shared" si="44"/>
        <v>0</v>
      </c>
      <c r="K20" s="362">
        <f>+Movimientos_LtpPep!I22</f>
        <v>3.0000000000000003E-4</v>
      </c>
      <c r="L20" s="9">
        <f>+Movimientos_LtpPep!K22</f>
        <v>0</v>
      </c>
      <c r="M20" s="13">
        <f>O19+K20+L20</f>
        <v>2.5000000000000001E-3</v>
      </c>
      <c r="N20" s="9"/>
      <c r="O20" s="13">
        <f t="shared" si="7"/>
        <v>2.5000000000000001E-3</v>
      </c>
      <c r="P20" s="363">
        <f t="shared" si="46"/>
        <v>0</v>
      </c>
      <c r="Q20" s="17">
        <f t="shared" si="9"/>
        <v>7.000000000000001E-4</v>
      </c>
      <c r="R20" s="16">
        <f t="shared" si="0"/>
        <v>0</v>
      </c>
      <c r="S20" s="17">
        <f>Q20+R20+U19</f>
        <v>5.5999999999999999E-3</v>
      </c>
      <c r="T20" s="16">
        <f t="shared" si="1"/>
        <v>0</v>
      </c>
      <c r="U20" s="17">
        <f t="shared" si="2"/>
        <v>5.5999999999999999E-3</v>
      </c>
      <c r="V20" s="18">
        <f t="shared" si="3"/>
        <v>0</v>
      </c>
      <c r="W20" s="667"/>
      <c r="X20" s="669"/>
      <c r="Y20" s="671"/>
      <c r="Z20" s="669"/>
      <c r="AA20" s="669"/>
      <c r="AB20" s="657"/>
    </row>
    <row r="21" spans="1:45">
      <c r="A21" s="368"/>
      <c r="B21" s="654"/>
      <c r="C21" s="658" t="s">
        <v>72</v>
      </c>
      <c r="D21" s="351" t="s">
        <v>12</v>
      </c>
      <c r="E21" s="353">
        <f>+Movimientos_LtpPep!G23</f>
        <v>0</v>
      </c>
      <c r="F21" s="9">
        <f>+Movimientos_LtpPep!J23</f>
        <v>0</v>
      </c>
      <c r="G21" s="76">
        <f>E21+F21</f>
        <v>0</v>
      </c>
      <c r="H21" s="126"/>
      <c r="I21" s="76">
        <f t="shared" si="4"/>
        <v>0</v>
      </c>
      <c r="J21" s="357">
        <v>0</v>
      </c>
      <c r="K21" s="362">
        <f>+Movimientos_LtpPep!I23</f>
        <v>0</v>
      </c>
      <c r="L21" s="9">
        <f>+Movimientos_LtpPep!K23</f>
        <v>0</v>
      </c>
      <c r="M21" s="76">
        <f t="shared" ref="M21" si="60">K21+L21</f>
        <v>0</v>
      </c>
      <c r="N21" s="126"/>
      <c r="O21" s="76">
        <f t="shared" si="7"/>
        <v>0</v>
      </c>
      <c r="P21" s="357">
        <v>0</v>
      </c>
      <c r="Q21" s="76">
        <f t="shared" si="9"/>
        <v>0</v>
      </c>
      <c r="R21" s="244">
        <f t="shared" si="0"/>
        <v>0</v>
      </c>
      <c r="S21" s="76">
        <f t="shared" si="47"/>
        <v>0</v>
      </c>
      <c r="T21" s="244">
        <f t="shared" si="1"/>
        <v>0</v>
      </c>
      <c r="U21" s="76">
        <f t="shared" si="2"/>
        <v>0</v>
      </c>
      <c r="V21" s="243" t="e">
        <f t="shared" si="3"/>
        <v>#DIV/0!</v>
      </c>
      <c r="W21" s="660">
        <f>Q21+Q22</f>
        <v>0</v>
      </c>
      <c r="X21" s="662">
        <f t="shared" ref="X21" si="61">R21+R22</f>
        <v>0</v>
      </c>
      <c r="Y21" s="662">
        <f t="shared" ref="Y21" si="62">W21+X21</f>
        <v>0</v>
      </c>
      <c r="Z21" s="662">
        <f t="shared" ref="Z21" si="63">T21+T22</f>
        <v>0</v>
      </c>
      <c r="AA21" s="662">
        <f t="shared" ref="AA21" si="64">Y21-Z21</f>
        <v>0</v>
      </c>
      <c r="AB21" s="664">
        <v>0</v>
      </c>
    </row>
    <row r="22" spans="1:45" ht="15" thickBot="1">
      <c r="A22" s="368"/>
      <c r="B22" s="654"/>
      <c r="C22" s="659"/>
      <c r="D22" s="349" t="s">
        <v>10</v>
      </c>
      <c r="E22" s="353">
        <f>+Movimientos_LtpPep!G24</f>
        <v>0</v>
      </c>
      <c r="F22" s="9">
        <f>+Movimientos_LtpPep!J24</f>
        <v>0</v>
      </c>
      <c r="G22" s="77">
        <f>E22+F22+I21</f>
        <v>0</v>
      </c>
      <c r="H22" s="9"/>
      <c r="I22" s="77">
        <f t="shared" si="4"/>
        <v>0</v>
      </c>
      <c r="J22" s="358">
        <v>0</v>
      </c>
      <c r="K22" s="362">
        <f>+Movimientos_LtpPep!I24</f>
        <v>0</v>
      </c>
      <c r="L22" s="9">
        <f>+Movimientos_LtpPep!K24</f>
        <v>0</v>
      </c>
      <c r="M22" s="77">
        <f t="shared" ref="M22" si="65">O21+K22+L22</f>
        <v>0</v>
      </c>
      <c r="N22" s="9"/>
      <c r="O22" s="77">
        <f t="shared" si="7"/>
        <v>0</v>
      </c>
      <c r="P22" s="358">
        <v>0</v>
      </c>
      <c r="Q22" s="77">
        <f t="shared" si="9"/>
        <v>0</v>
      </c>
      <c r="R22" s="78">
        <f t="shared" si="0"/>
        <v>0</v>
      </c>
      <c r="S22" s="77">
        <f>Q22+R22+U21</f>
        <v>0</v>
      </c>
      <c r="T22" s="78">
        <f t="shared" si="1"/>
        <v>0</v>
      </c>
      <c r="U22" s="77">
        <f t="shared" si="2"/>
        <v>0</v>
      </c>
      <c r="V22" s="79" t="e">
        <f t="shared" si="3"/>
        <v>#DIV/0!</v>
      </c>
      <c r="W22" s="661"/>
      <c r="X22" s="663"/>
      <c r="Y22" s="663"/>
      <c r="Z22" s="663"/>
      <c r="AA22" s="663"/>
      <c r="AB22" s="665"/>
    </row>
    <row r="23" spans="1:45" s="344" customFormat="1">
      <c r="A23" s="368"/>
      <c r="B23" s="654"/>
      <c r="C23" s="643" t="s">
        <v>93</v>
      </c>
      <c r="D23" s="352" t="s">
        <v>12</v>
      </c>
      <c r="E23" s="359">
        <f>+E7+E9+E11+E13+E15+E17+E19+E21</f>
        <v>27.002697300000001</v>
      </c>
      <c r="F23" s="311">
        <f>+F7+F9+F11+F13+F15+F17+F19+F21</f>
        <v>0</v>
      </c>
      <c r="G23" s="312">
        <f>+E23+F23</f>
        <v>27.002697300000001</v>
      </c>
      <c r="H23" s="311">
        <f>+H7+H9+H11+H13+H15+H17+H19+H21</f>
        <v>0</v>
      </c>
      <c r="I23" s="313">
        <f t="shared" si="4"/>
        <v>27.002697300000001</v>
      </c>
      <c r="J23" s="360">
        <f t="shared" si="44"/>
        <v>0</v>
      </c>
      <c r="K23" s="359">
        <f>+K7+K9+K11+K13+K15+K17+K19+K21</f>
        <v>22.002197799999998</v>
      </c>
      <c r="L23" s="311">
        <f>+L7+L9+L11+L13+L15+L17+L19+L21</f>
        <v>68.942999999999998</v>
      </c>
      <c r="M23" s="312">
        <f>+K23+L23</f>
        <v>90.945197799999988</v>
      </c>
      <c r="N23" s="311">
        <f>+N7+N9+N11+N13+N15+N17+N19+N21</f>
        <v>17.863</v>
      </c>
      <c r="O23" s="313">
        <f t="shared" si="7"/>
        <v>73.082197799999989</v>
      </c>
      <c r="P23" s="360">
        <f t="shared" si="46"/>
        <v>0.19641498871972327</v>
      </c>
      <c r="Q23" s="311">
        <f>+Q7+Q9+Q11+Q13+Q15+Q17+Q19+Q21</f>
        <v>49.004895099999992</v>
      </c>
      <c r="R23" s="311">
        <f>+R7+R9+R11+R13+R15+R17+R19+R21</f>
        <v>68.942999999999998</v>
      </c>
      <c r="S23" s="312">
        <f>+Q23+R23</f>
        <v>117.94789509999998</v>
      </c>
      <c r="T23" s="311">
        <f>+T7+T9+T11+T13+T15+T17+T19+T21</f>
        <v>17.863</v>
      </c>
      <c r="U23" s="313">
        <f t="shared" si="2"/>
        <v>100.08489509999998</v>
      </c>
      <c r="V23" s="314">
        <f t="shared" si="3"/>
        <v>0.15144823046528452</v>
      </c>
      <c r="W23" s="645">
        <f>SUM(W7:W22)</f>
        <v>56.0055944</v>
      </c>
      <c r="X23" s="647">
        <f>SUM(X7:X22)</f>
        <v>68.942999999999998</v>
      </c>
      <c r="Y23" s="649">
        <f>+W23+X23</f>
        <v>124.94859439999999</v>
      </c>
      <c r="Z23" s="647">
        <f>SUM(Z7:Z22)</f>
        <v>17.863</v>
      </c>
      <c r="AA23" s="651">
        <f>Y23-Z23</f>
        <v>107.08559439999999</v>
      </c>
      <c r="AB23" s="640">
        <f>Z23/Y23</f>
        <v>0.14296279270509346</v>
      </c>
      <c r="AC23" s="336"/>
      <c r="AD23" s="336"/>
      <c r="AE23" s="336"/>
      <c r="AF23" s="336"/>
      <c r="AG23" s="339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</row>
    <row r="24" spans="1:45" s="344" customFormat="1">
      <c r="A24" s="369"/>
      <c r="B24" s="655"/>
      <c r="C24" s="644"/>
      <c r="D24" s="350" t="s">
        <v>10</v>
      </c>
      <c r="E24" s="346">
        <f>+E8+E10+E12+E14+E16+E18+E20+E22</f>
        <v>4.0003995999999997</v>
      </c>
      <c r="F24" s="345">
        <f>+F8+F10+F12+F14+F16+F18+F20+F22</f>
        <v>0</v>
      </c>
      <c r="G24" s="346">
        <f>+G23+E24+F24</f>
        <v>31.003096900000003</v>
      </c>
      <c r="H24" s="345">
        <f>+H8+H10+H12+H14+H16+H18+H20+H22</f>
        <v>0</v>
      </c>
      <c r="I24" s="347">
        <f t="shared" si="4"/>
        <v>31.003096900000003</v>
      </c>
      <c r="J24" s="361">
        <f t="shared" si="44"/>
        <v>0</v>
      </c>
      <c r="K24" s="346">
        <f>+K8+K10+K12+K14+K16+K18+K20+K22</f>
        <v>3.0002997000000002</v>
      </c>
      <c r="L24" s="345">
        <f>+L8+L10+L12+L14+L16+L18+L20+L22</f>
        <v>0</v>
      </c>
      <c r="M24" s="346">
        <f>+M23+K24+L24</f>
        <v>93.945497499999988</v>
      </c>
      <c r="N24" s="345">
        <f>+N8+N10+N12+N14+N16+N18+N20+N22</f>
        <v>0</v>
      </c>
      <c r="O24" s="346">
        <f>M24-N24</f>
        <v>93.945497499999988</v>
      </c>
      <c r="P24" s="361">
        <f t="shared" si="46"/>
        <v>0</v>
      </c>
      <c r="Q24" s="345">
        <f>+Q8+Q10+Q12+Q14+Q16+Q18+Q20+Q22</f>
        <v>7.0006992999999991</v>
      </c>
      <c r="R24" s="345">
        <f>+R8+R10+R12+R14+R16+R18+R20+R22</f>
        <v>0</v>
      </c>
      <c r="S24" s="346">
        <f>+S23+Q24+R24</f>
        <v>124.94859439999998</v>
      </c>
      <c r="T24" s="345">
        <f>+T8+T10+T12+T14+T16+T18+T20+T22</f>
        <v>0</v>
      </c>
      <c r="U24" s="347">
        <f t="shared" si="2"/>
        <v>124.94859439999998</v>
      </c>
      <c r="V24" s="348">
        <f t="shared" si="3"/>
        <v>0</v>
      </c>
      <c r="W24" s="646"/>
      <c r="X24" s="648"/>
      <c r="Y24" s="650"/>
      <c r="Z24" s="648"/>
      <c r="AA24" s="652"/>
      <c r="AB24" s="641"/>
      <c r="AC24" s="336"/>
      <c r="AD24" s="336"/>
      <c r="AE24" s="336"/>
      <c r="AF24" s="336"/>
      <c r="AG24" s="339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</row>
    <row r="25" spans="1:45">
      <c r="B25" s="342" t="s">
        <v>61</v>
      </c>
    </row>
    <row r="26" spans="1:45" ht="15.6" hidden="1" customHeight="1">
      <c r="B26" s="342" t="s">
        <v>60</v>
      </c>
    </row>
    <row r="27" spans="1:45" hidden="1">
      <c r="B27" s="642" t="s">
        <v>62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2"/>
      <c r="X27" s="642"/>
    </row>
    <row r="28" spans="1:45" hidden="1"/>
    <row r="29" spans="1:45" ht="13.95" hidden="1" customHeight="1"/>
    <row r="30" spans="1:45" hidden="1"/>
    <row r="31" spans="1:45" ht="9" hidden="1" customHeight="1"/>
    <row r="32" spans="1:45" hidden="1">
      <c r="C32" s="466" t="s">
        <v>71</v>
      </c>
      <c r="D32" s="467">
        <v>16.215</v>
      </c>
    </row>
    <row r="33" spans="3:4" hidden="1">
      <c r="C33" s="466" t="s">
        <v>133</v>
      </c>
      <c r="D33" s="467">
        <v>1.6479999999999999</v>
      </c>
    </row>
    <row r="34" spans="3:4" hidden="1">
      <c r="C34" s="468"/>
      <c r="D34" s="469">
        <f>SUM(D32:D33)</f>
        <v>17.863</v>
      </c>
    </row>
    <row r="35" spans="3:4" hidden="1">
      <c r="C35" s="468"/>
      <c r="D35" s="470"/>
    </row>
    <row r="36" spans="3:4" hidden="1"/>
    <row r="37" spans="3:4" hidden="1"/>
    <row r="38" spans="3:4" hidden="1"/>
    <row r="39" spans="3:4" hidden="1"/>
    <row r="40" spans="3:4" hidden="1"/>
    <row r="41" spans="3:4" hidden="1"/>
    <row r="42" spans="3:4" hidden="1"/>
    <row r="43" spans="3:4" hidden="1"/>
    <row r="44" spans="3:4" hidden="1"/>
  </sheetData>
  <mergeCells count="75">
    <mergeCell ref="B2:AB2"/>
    <mergeCell ref="B3:AB3"/>
    <mergeCell ref="B5:B6"/>
    <mergeCell ref="C5:C6"/>
    <mergeCell ref="D5:D6"/>
    <mergeCell ref="E5:J5"/>
    <mergeCell ref="K5:P5"/>
    <mergeCell ref="Q5:V5"/>
    <mergeCell ref="W5:AB5"/>
    <mergeCell ref="AA7:AA8"/>
    <mergeCell ref="AB7:AB8"/>
    <mergeCell ref="AC7:AF7"/>
    <mergeCell ref="C9:C10"/>
    <mergeCell ref="W9:W10"/>
    <mergeCell ref="X9:X10"/>
    <mergeCell ref="Y9:Y10"/>
    <mergeCell ref="Z9:Z10"/>
    <mergeCell ref="AA9:AA10"/>
    <mergeCell ref="AB9:AB10"/>
    <mergeCell ref="C7:C8"/>
    <mergeCell ref="W7:W8"/>
    <mergeCell ref="X7:X8"/>
    <mergeCell ref="Y7:Y8"/>
    <mergeCell ref="Z7:Z8"/>
    <mergeCell ref="Z11:Z12"/>
    <mergeCell ref="AA11:AA12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1:C12"/>
    <mergeCell ref="W11:W12"/>
    <mergeCell ref="X11:X12"/>
    <mergeCell ref="Y11:Y12"/>
    <mergeCell ref="AB15:AB16"/>
    <mergeCell ref="C17:C18"/>
    <mergeCell ref="W17:W18"/>
    <mergeCell ref="X17:X18"/>
    <mergeCell ref="Y17:Y18"/>
    <mergeCell ref="Z17:Z18"/>
    <mergeCell ref="AA17:AA18"/>
    <mergeCell ref="AB17:AB18"/>
    <mergeCell ref="C15:C16"/>
    <mergeCell ref="W15:W16"/>
    <mergeCell ref="X15:X16"/>
    <mergeCell ref="Y15:Y16"/>
    <mergeCell ref="Z15:Z16"/>
    <mergeCell ref="AA15:AA16"/>
    <mergeCell ref="AB21:AB22"/>
    <mergeCell ref="C19:C20"/>
    <mergeCell ref="W19:W20"/>
    <mergeCell ref="X19:X20"/>
    <mergeCell ref="Y19:Y20"/>
    <mergeCell ref="Z19:Z20"/>
    <mergeCell ref="AA19:AA20"/>
    <mergeCell ref="AB23:AB24"/>
    <mergeCell ref="B27:X27"/>
    <mergeCell ref="C23:C24"/>
    <mergeCell ref="W23:W24"/>
    <mergeCell ref="X23:X24"/>
    <mergeCell ref="Y23:Y24"/>
    <mergeCell ref="Z23:Z24"/>
    <mergeCell ref="AA23:AA24"/>
    <mergeCell ref="B7:B24"/>
    <mergeCell ref="AB19:AB20"/>
    <mergeCell ref="C21:C22"/>
    <mergeCell ref="W21:W22"/>
    <mergeCell ref="X21:X22"/>
    <mergeCell ref="Y21:Y22"/>
    <mergeCell ref="Z21:Z22"/>
    <mergeCell ref="AA21:AA22"/>
  </mergeCells>
  <conditionalFormatting sqref="Z7:Z22">
    <cfRule type="dataBar" priority="4">
      <dataBar>
        <cfvo type="min" val="0"/>
        <cfvo type="max" val="0"/>
        <color rgb="FFFF555A"/>
      </dataBar>
    </cfRule>
  </conditionalFormatting>
  <conditionalFormatting sqref="P7:P22 AB7:AB22">
    <cfRule type="cellIs" dxfId="10" priority="3" operator="greaterThan">
      <formula>0.8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5050"/>
  </sheetPr>
  <dimension ref="A1:AB102"/>
  <sheetViews>
    <sheetView topLeftCell="A21" zoomScale="71" zoomScaleNormal="71" workbookViewId="0">
      <selection activeCell="K47" sqref="K47"/>
    </sheetView>
  </sheetViews>
  <sheetFormatPr baseColWidth="10" defaultColWidth="11.5546875" defaultRowHeight="14.4"/>
  <cols>
    <col min="1" max="1" width="5.6640625" style="409" customWidth="1"/>
    <col min="2" max="2" width="19.6640625" style="247" customWidth="1"/>
    <col min="3" max="3" width="35.6640625" style="247" customWidth="1"/>
    <col min="4" max="4" width="11.5546875" style="247"/>
    <col min="5" max="5" width="14" style="247" customWidth="1"/>
    <col min="6" max="6" width="13" style="247" customWidth="1"/>
    <col min="7" max="7" width="12.21875" style="247" customWidth="1"/>
    <col min="8" max="8" width="13.44140625" style="247" customWidth="1"/>
    <col min="9" max="9" width="12.88671875" style="247" bestFit="1" customWidth="1"/>
    <col min="10" max="10" width="11.5546875" style="247"/>
    <col min="11" max="11" width="12.5546875" style="247" customWidth="1"/>
    <col min="12" max="12" width="13.6640625" style="247" customWidth="1"/>
    <col min="13" max="13" width="12.33203125" style="247" customWidth="1"/>
    <col min="14" max="14" width="14.109375" style="247" customWidth="1"/>
    <col min="15" max="15" width="14" style="247" customWidth="1"/>
    <col min="16" max="16" width="14.88671875" style="247" bestFit="1" customWidth="1"/>
    <col min="17" max="17" width="11.5546875" style="247" customWidth="1"/>
    <col min="18" max="18" width="13.33203125" style="247" customWidth="1"/>
    <col min="19" max="19" width="13.5546875" style="247" customWidth="1"/>
    <col min="20" max="20" width="11.5546875" style="247" customWidth="1"/>
    <col min="21" max="21" width="12" style="247" customWidth="1"/>
    <col min="22" max="22" width="10.44140625" style="247" customWidth="1"/>
    <col min="23" max="23" width="14.88671875" style="247" customWidth="1"/>
    <col min="24" max="24" width="15.33203125" style="247" customWidth="1"/>
    <col min="25" max="25" width="16.44140625" style="247" customWidth="1"/>
    <col min="26" max="26" width="15.88671875" style="247" customWidth="1"/>
    <col min="27" max="27" width="16.44140625" style="247" customWidth="1"/>
    <col min="28" max="28" width="17" style="247" customWidth="1"/>
    <col min="29" max="29" width="23.5546875" style="247" customWidth="1"/>
    <col min="30" max="16384" width="11.5546875" style="247"/>
  </cols>
  <sheetData>
    <row r="1" spans="1:28">
      <c r="D1" s="409"/>
    </row>
    <row r="2" spans="1:28" ht="30" customHeight="1">
      <c r="B2" s="703" t="s">
        <v>172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</row>
    <row r="3" spans="1:28" ht="27.6" customHeight="1">
      <c r="B3" s="704">
        <f>+'Resumen anual'!B4:I4</f>
        <v>43691</v>
      </c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</row>
    <row r="5" spans="1:28" ht="26.4" customHeight="1">
      <c r="B5" s="705" t="s">
        <v>173</v>
      </c>
      <c r="C5" s="705" t="s">
        <v>174</v>
      </c>
      <c r="D5" s="706" t="s">
        <v>175</v>
      </c>
      <c r="E5" s="707" t="s">
        <v>176</v>
      </c>
      <c r="F5" s="708"/>
      <c r="G5" s="708"/>
      <c r="H5" s="708"/>
      <c r="I5" s="708"/>
      <c r="J5" s="709"/>
      <c r="K5" s="710" t="s">
        <v>177</v>
      </c>
      <c r="L5" s="710"/>
      <c r="M5" s="710"/>
      <c r="N5" s="710"/>
      <c r="O5" s="710"/>
      <c r="P5" s="710"/>
      <c r="Q5" s="711" t="s">
        <v>178</v>
      </c>
      <c r="R5" s="711"/>
      <c r="S5" s="711"/>
      <c r="T5" s="711"/>
      <c r="U5" s="711"/>
      <c r="V5" s="711"/>
      <c r="W5" s="712" t="s">
        <v>179</v>
      </c>
      <c r="X5" s="712"/>
      <c r="Y5" s="712"/>
      <c r="Z5" s="712"/>
      <c r="AA5" s="712"/>
      <c r="AB5" s="712"/>
    </row>
    <row r="6" spans="1:28" ht="30.6" customHeight="1">
      <c r="A6" s="410"/>
      <c r="B6" s="705"/>
      <c r="C6" s="705"/>
      <c r="D6" s="706"/>
      <c r="E6" s="248" t="s">
        <v>180</v>
      </c>
      <c r="F6" s="249" t="s">
        <v>37</v>
      </c>
      <c r="G6" s="249" t="s">
        <v>4</v>
      </c>
      <c r="H6" s="250" t="s">
        <v>5</v>
      </c>
      <c r="I6" s="250" t="s">
        <v>22</v>
      </c>
      <c r="J6" s="251" t="s">
        <v>23</v>
      </c>
      <c r="K6" s="252" t="s">
        <v>181</v>
      </c>
      <c r="L6" s="252" t="s">
        <v>182</v>
      </c>
      <c r="M6" s="253" t="s">
        <v>4</v>
      </c>
      <c r="N6" s="254" t="s">
        <v>44</v>
      </c>
      <c r="O6" s="255" t="s">
        <v>22</v>
      </c>
      <c r="P6" s="254" t="s">
        <v>17</v>
      </c>
      <c r="Q6" s="256" t="s">
        <v>183</v>
      </c>
      <c r="R6" s="257" t="s">
        <v>37</v>
      </c>
      <c r="S6" s="257" t="s">
        <v>4</v>
      </c>
      <c r="T6" s="256" t="s">
        <v>184</v>
      </c>
      <c r="U6" s="256" t="s">
        <v>22</v>
      </c>
      <c r="V6" s="256" t="s">
        <v>17</v>
      </c>
      <c r="W6" s="258" t="s">
        <v>183</v>
      </c>
      <c r="X6" s="259" t="s">
        <v>185</v>
      </c>
      <c r="Y6" s="259" t="s">
        <v>4</v>
      </c>
      <c r="Z6" s="258" t="s">
        <v>184</v>
      </c>
      <c r="AA6" s="258" t="s">
        <v>22</v>
      </c>
      <c r="AB6" s="258" t="s">
        <v>17</v>
      </c>
    </row>
    <row r="7" spans="1:28" s="271" customFormat="1" ht="20.100000000000001" customHeight="1">
      <c r="A7" s="411"/>
      <c r="B7" s="698" t="s">
        <v>94</v>
      </c>
      <c r="C7" s="699" t="str">
        <f>+Movimientos_LtpPep!B40</f>
        <v>CAMANCHACA PESCA SUR</v>
      </c>
      <c r="D7" s="260" t="s">
        <v>186</v>
      </c>
      <c r="E7" s="261">
        <f>+Movimientos_LtpPep!H40</f>
        <v>632.84541209999998</v>
      </c>
      <c r="F7" s="262">
        <f>+Movimientos_LtpPep!J40</f>
        <v>-509.28601273079994</v>
      </c>
      <c r="G7" s="261">
        <f>E7+F7</f>
        <v>123.55939936920004</v>
      </c>
      <c r="H7" s="263">
        <f>+D45+E45</f>
        <v>192.99999999999997</v>
      </c>
      <c r="I7" s="261">
        <f>G7-H7</f>
        <v>-69.440600630799935</v>
      </c>
      <c r="J7" s="264">
        <f>H7/G7</f>
        <v>1.5620017658333614</v>
      </c>
      <c r="K7" s="265">
        <f>+Movimientos_LtpPep!I40</f>
        <v>2049.3963547399999</v>
      </c>
      <c r="L7" s="262">
        <f>+Movimientos_LtpPep!K40</f>
        <v>-215.62396445639988</v>
      </c>
      <c r="M7" s="261">
        <f>K7+L7</f>
        <v>1833.7723902836001</v>
      </c>
      <c r="N7" s="263">
        <f>+F45+G45</f>
        <v>1903.1190000000015</v>
      </c>
      <c r="O7" s="261">
        <f>M7-N7</f>
        <v>-69.346609716401417</v>
      </c>
      <c r="P7" s="266">
        <f>N7/M7</f>
        <v>1.0378163670059819</v>
      </c>
      <c r="Q7" s="267">
        <f>+E7+K7</f>
        <v>2682.2417668399999</v>
      </c>
      <c r="R7" s="262">
        <f>F7+L7</f>
        <v>-724.90997718719984</v>
      </c>
      <c r="S7" s="268">
        <f>Q7+R7</f>
        <v>1957.3317896528001</v>
      </c>
      <c r="T7" s="269">
        <f>H7+N7</f>
        <v>2096.1190000000015</v>
      </c>
      <c r="U7" s="268">
        <f>S7-T7</f>
        <v>-138.78721034720138</v>
      </c>
      <c r="V7" s="270">
        <f>T7/S7</f>
        <v>1.0709063282376976</v>
      </c>
      <c r="W7" s="700">
        <f>Q7+Q8</f>
        <v>2980.1265769799998</v>
      </c>
      <c r="X7" s="701">
        <f>R7+R8</f>
        <v>-724.90997718719984</v>
      </c>
      <c r="Y7" s="702">
        <f t="shared" ref="Y7" si="0">W7+X7</f>
        <v>2255.2165997928</v>
      </c>
      <c r="Z7" s="714">
        <f>T7+T8</f>
        <v>2096.1190000000015</v>
      </c>
      <c r="AA7" s="702">
        <f>Y7-Z7</f>
        <v>159.09759979279852</v>
      </c>
      <c r="AB7" s="715">
        <f t="shared" ref="AB7" si="1">Z7/Y7</f>
        <v>0.92945351687841615</v>
      </c>
    </row>
    <row r="8" spans="1:28" s="271" customFormat="1" ht="20.100000000000001" customHeight="1">
      <c r="A8" s="411"/>
      <c r="B8" s="698"/>
      <c r="C8" s="699"/>
      <c r="D8" s="260" t="s">
        <v>10</v>
      </c>
      <c r="E8" s="261">
        <f>+Movimientos_LtpPep!H41</f>
        <v>70.31615690000001</v>
      </c>
      <c r="F8" s="262">
        <f>+Movimientos_LtpPep!J41</f>
        <v>0</v>
      </c>
      <c r="G8" s="272">
        <f>E8+F8+I7</f>
        <v>0.87555626920007512</v>
      </c>
      <c r="H8" s="274"/>
      <c r="I8" s="272">
        <f>G8-H8</f>
        <v>0.87555626920007512</v>
      </c>
      <c r="J8" s="275">
        <f t="shared" ref="J8:J26" si="2">H8/G8</f>
        <v>0</v>
      </c>
      <c r="K8" s="265">
        <f>+Movimientos_LtpPep!I41</f>
        <v>227.56865324</v>
      </c>
      <c r="L8" s="262">
        <f>+Movimientos_LtpPep!K41</f>
        <v>0</v>
      </c>
      <c r="M8" s="272">
        <f>K8+L8+O7</f>
        <v>158.22204352359859</v>
      </c>
      <c r="N8" s="276"/>
      <c r="O8" s="272">
        <f>M8-N8</f>
        <v>158.22204352359859</v>
      </c>
      <c r="P8" s="277">
        <f>N8/M8</f>
        <v>0</v>
      </c>
      <c r="Q8" s="278">
        <f t="shared" ref="Q8:Q32" si="3">+E8+K8</f>
        <v>297.88481014000001</v>
      </c>
      <c r="R8" s="273">
        <f t="shared" ref="R8:R32" si="4">F8+L8</f>
        <v>0</v>
      </c>
      <c r="S8" s="279">
        <f>Q8+R8+U7</f>
        <v>159.09759979279863</v>
      </c>
      <c r="T8" s="280">
        <f>H8+N8</f>
        <v>0</v>
      </c>
      <c r="U8" s="279">
        <f>S8-T8</f>
        <v>159.09759979279863</v>
      </c>
      <c r="V8" s="281">
        <f>T8/S8</f>
        <v>0</v>
      </c>
      <c r="W8" s="700"/>
      <c r="X8" s="701"/>
      <c r="Y8" s="702"/>
      <c r="Z8" s="714"/>
      <c r="AA8" s="702"/>
      <c r="AB8" s="715"/>
    </row>
    <row r="9" spans="1:28" s="271" customFormat="1" ht="20.100000000000001" customHeight="1">
      <c r="A9" s="411"/>
      <c r="B9" s="698"/>
      <c r="C9" s="699" t="str">
        <f>+Movimientos_LtpPep!B42</f>
        <v>BRACPESCA</v>
      </c>
      <c r="D9" s="260" t="s">
        <v>186</v>
      </c>
      <c r="E9" s="261">
        <f>+Movimientos_LtpPep!H42</f>
        <v>68.889645000000002</v>
      </c>
      <c r="F9" s="262">
        <f>+Movimientos_LtpPep!J42</f>
        <v>258.27531281999995</v>
      </c>
      <c r="G9" s="282">
        <f t="shared" ref="G9" si="5">E9+F9</f>
        <v>327.16495781999993</v>
      </c>
      <c r="H9" s="284">
        <f>+D44+E44</f>
        <v>51.834000000000003</v>
      </c>
      <c r="I9" s="282">
        <f t="shared" ref="I9:I27" si="6">G9-H9</f>
        <v>275.33095781999992</v>
      </c>
      <c r="J9" s="264">
        <f t="shared" si="2"/>
        <v>0.15843383822456347</v>
      </c>
      <c r="K9" s="265">
        <f>+Movimientos_LtpPep!I42</f>
        <v>223.09111299999998</v>
      </c>
      <c r="L9" s="262">
        <f>+Movimientos_LtpPep!K42</f>
        <v>-232.68941766</v>
      </c>
      <c r="M9" s="261">
        <f t="shared" ref="M9" si="7">K9+L9</f>
        <v>-9.598304660000025</v>
      </c>
      <c r="N9" s="285"/>
      <c r="O9" s="261">
        <f>M9-N9</f>
        <v>-9.598304660000025</v>
      </c>
      <c r="P9" s="266">
        <f>N9/M9</f>
        <v>0</v>
      </c>
      <c r="Q9" s="286">
        <f t="shared" si="3"/>
        <v>291.98075799999998</v>
      </c>
      <c r="R9" s="283">
        <f>F9+L9</f>
        <v>25.58589515999995</v>
      </c>
      <c r="S9" s="287">
        <f t="shared" ref="S9:S25" si="8">Q9+R9</f>
        <v>317.56665315999993</v>
      </c>
      <c r="T9" s="288">
        <f>H9+N9</f>
        <v>51.834000000000003</v>
      </c>
      <c r="U9" s="268">
        <f t="shared" ref="U9:U32" si="9">S9-T9</f>
        <v>265.73265315999993</v>
      </c>
      <c r="V9" s="270">
        <f t="shared" ref="V9:V26" si="10">T9/S9</f>
        <v>0.16322242743127197</v>
      </c>
      <c r="W9" s="700">
        <f t="shared" ref="W9:X9" si="11">Q9+Q10</f>
        <v>324.407601</v>
      </c>
      <c r="X9" s="701">
        <f t="shared" si="11"/>
        <v>25.58589515999995</v>
      </c>
      <c r="Y9" s="702">
        <f t="shared" ref="Y9" si="12">W9+X9</f>
        <v>349.99349615999995</v>
      </c>
      <c r="Z9" s="714">
        <f t="shared" ref="Z9" si="13">T9+T10</f>
        <v>51.834000000000003</v>
      </c>
      <c r="AA9" s="702">
        <f t="shared" ref="AA9" si="14">Y9-Z9</f>
        <v>298.15949615999995</v>
      </c>
      <c r="AB9" s="713">
        <f t="shared" ref="AB9" si="15">Z9/Y9</f>
        <v>0.14809989490863004</v>
      </c>
    </row>
    <row r="10" spans="1:28" s="271" customFormat="1" ht="20.100000000000001" customHeight="1">
      <c r="A10" s="411"/>
      <c r="B10" s="698"/>
      <c r="C10" s="699"/>
      <c r="D10" s="260" t="s">
        <v>10</v>
      </c>
      <c r="E10" s="261">
        <f>+Movimientos_LtpPep!H43</f>
        <v>7.6544049999999997</v>
      </c>
      <c r="F10" s="262">
        <f>+Movimientos_LtpPep!J43</f>
        <v>0</v>
      </c>
      <c r="G10" s="272">
        <f t="shared" ref="G10" si="16">E10+F10+I9</f>
        <v>282.98536281999992</v>
      </c>
      <c r="H10" s="274"/>
      <c r="I10" s="272">
        <f t="shared" si="6"/>
        <v>282.98536281999992</v>
      </c>
      <c r="J10" s="275">
        <f t="shared" si="2"/>
        <v>0</v>
      </c>
      <c r="K10" s="265">
        <f>+Movimientos_LtpPep!I43</f>
        <v>24.772437999999998</v>
      </c>
      <c r="L10" s="262">
        <f>+Movimientos_LtpPep!K43</f>
        <v>0</v>
      </c>
      <c r="M10" s="272">
        <f t="shared" ref="M10" si="17">K10+L10+O9</f>
        <v>15.174133339999972</v>
      </c>
      <c r="N10" s="276"/>
      <c r="O10" s="272">
        <f t="shared" ref="O10:O32" si="18">M10-N10</f>
        <v>15.174133339999972</v>
      </c>
      <c r="P10" s="277">
        <f t="shared" ref="P10:P26" si="19">N10/M10</f>
        <v>0</v>
      </c>
      <c r="Q10" s="278">
        <f t="shared" si="3"/>
        <v>32.426842999999998</v>
      </c>
      <c r="R10" s="273">
        <f t="shared" si="4"/>
        <v>0</v>
      </c>
      <c r="S10" s="279">
        <f>Q10+R10+U9</f>
        <v>298.15949615999995</v>
      </c>
      <c r="T10" s="280">
        <f t="shared" ref="T10:T32" si="20">H10+N10</f>
        <v>0</v>
      </c>
      <c r="U10" s="279">
        <f t="shared" si="9"/>
        <v>298.15949615999995</v>
      </c>
      <c r="V10" s="281">
        <f t="shared" si="10"/>
        <v>0</v>
      </c>
      <c r="W10" s="700"/>
      <c r="X10" s="701"/>
      <c r="Y10" s="702"/>
      <c r="Z10" s="714"/>
      <c r="AA10" s="702"/>
      <c r="AB10" s="713"/>
    </row>
    <row r="11" spans="1:28" s="271" customFormat="1" ht="20.100000000000001" customHeight="1">
      <c r="A11" s="411"/>
      <c r="B11" s="698"/>
      <c r="C11" s="699" t="str">
        <f>+Movimientos_LtpPep!B44</f>
        <v>ALIMAR</v>
      </c>
      <c r="D11" s="260" t="s">
        <v>186</v>
      </c>
      <c r="E11" s="261">
        <f>+Movimientos_LtpPep!H44</f>
        <v>4.95</v>
      </c>
      <c r="F11" s="262">
        <f>+Movimientos_LtpPep!J44</f>
        <v>0</v>
      </c>
      <c r="G11" s="282">
        <f t="shared" ref="G11" si="21">E11+F11</f>
        <v>4.95</v>
      </c>
      <c r="H11" s="285"/>
      <c r="I11" s="282">
        <f t="shared" si="6"/>
        <v>4.95</v>
      </c>
      <c r="J11" s="264">
        <f t="shared" si="2"/>
        <v>0</v>
      </c>
      <c r="K11" s="265">
        <f>+Movimientos_LtpPep!I44</f>
        <v>16.03</v>
      </c>
      <c r="L11" s="262">
        <f>+Movimientos_LtpPep!K44</f>
        <v>0</v>
      </c>
      <c r="M11" s="261">
        <f t="shared" ref="M11" si="22">K11+L11</f>
        <v>16.03</v>
      </c>
      <c r="N11" s="285"/>
      <c r="O11" s="261">
        <f t="shared" si="18"/>
        <v>16.03</v>
      </c>
      <c r="P11" s="266">
        <f t="shared" si="19"/>
        <v>0</v>
      </c>
      <c r="Q11" s="286">
        <f t="shared" si="3"/>
        <v>20.98</v>
      </c>
      <c r="R11" s="283">
        <f t="shared" si="4"/>
        <v>0</v>
      </c>
      <c r="S11" s="287">
        <f t="shared" si="8"/>
        <v>20.98</v>
      </c>
      <c r="T11" s="288">
        <f t="shared" si="20"/>
        <v>0</v>
      </c>
      <c r="U11" s="268">
        <f t="shared" si="9"/>
        <v>20.98</v>
      </c>
      <c r="V11" s="270">
        <f t="shared" si="10"/>
        <v>0</v>
      </c>
      <c r="W11" s="700">
        <f t="shared" ref="W11:X11" si="23">Q11+Q12</f>
        <v>23.310000000000002</v>
      </c>
      <c r="X11" s="701">
        <f t="shared" si="23"/>
        <v>0</v>
      </c>
      <c r="Y11" s="702">
        <f t="shared" ref="Y11" si="24">W11+X11</f>
        <v>23.310000000000002</v>
      </c>
      <c r="Z11" s="714">
        <f t="shared" ref="Z11" si="25">T11+T12</f>
        <v>0</v>
      </c>
      <c r="AA11" s="702">
        <f t="shared" ref="AA11" si="26">Y11-Z11</f>
        <v>23.310000000000002</v>
      </c>
      <c r="AB11" s="713">
        <f t="shared" ref="AB11" si="27">Z11/Y11</f>
        <v>0</v>
      </c>
    </row>
    <row r="12" spans="1:28" s="271" customFormat="1" ht="20.100000000000001" customHeight="1">
      <c r="A12" s="411"/>
      <c r="B12" s="698"/>
      <c r="C12" s="699"/>
      <c r="D12" s="260" t="s">
        <v>10</v>
      </c>
      <c r="E12" s="261">
        <f>+Movimientos_LtpPep!H45</f>
        <v>0.55000000000000004</v>
      </c>
      <c r="F12" s="262">
        <f>+Movimientos_LtpPep!J45</f>
        <v>0</v>
      </c>
      <c r="G12" s="272">
        <f t="shared" ref="G12" si="28">E12+F12+I11</f>
        <v>5.5</v>
      </c>
      <c r="H12" s="276"/>
      <c r="I12" s="272">
        <f t="shared" si="6"/>
        <v>5.5</v>
      </c>
      <c r="J12" s="275">
        <f t="shared" si="2"/>
        <v>0</v>
      </c>
      <c r="K12" s="265">
        <f>+Movimientos_LtpPep!I45</f>
        <v>1.78</v>
      </c>
      <c r="L12" s="262">
        <f>+Movimientos_LtpPep!K45</f>
        <v>0</v>
      </c>
      <c r="M12" s="272">
        <f t="shared" ref="M12" si="29">K12+L12+O11</f>
        <v>17.810000000000002</v>
      </c>
      <c r="N12" s="276"/>
      <c r="O12" s="272">
        <f t="shared" si="18"/>
        <v>17.810000000000002</v>
      </c>
      <c r="P12" s="277">
        <f t="shared" si="19"/>
        <v>0</v>
      </c>
      <c r="Q12" s="278">
        <f t="shared" si="3"/>
        <v>2.33</v>
      </c>
      <c r="R12" s="273">
        <f t="shared" si="4"/>
        <v>0</v>
      </c>
      <c r="S12" s="279">
        <f>Q12+R12+U11</f>
        <v>23.310000000000002</v>
      </c>
      <c r="T12" s="280">
        <f t="shared" si="20"/>
        <v>0</v>
      </c>
      <c r="U12" s="279">
        <f t="shared" si="9"/>
        <v>23.310000000000002</v>
      </c>
      <c r="V12" s="281">
        <f t="shared" si="10"/>
        <v>0</v>
      </c>
      <c r="W12" s="700"/>
      <c r="X12" s="701"/>
      <c r="Y12" s="702"/>
      <c r="Z12" s="714"/>
      <c r="AA12" s="702"/>
      <c r="AB12" s="713"/>
    </row>
    <row r="13" spans="1:28" s="271" customFormat="1" ht="20.100000000000001" customHeight="1">
      <c r="A13" s="411"/>
      <c r="B13" s="698"/>
      <c r="C13" s="699" t="str">
        <f>+Movimientos_LtpPep!B46</f>
        <v>ISLA DAMAS S.A.</v>
      </c>
      <c r="D13" s="260" t="s">
        <v>186</v>
      </c>
      <c r="E13" s="261">
        <f>+Movimientos_LtpPep!H46</f>
        <v>58.984160400000007</v>
      </c>
      <c r="F13" s="262">
        <f>+Movimientos_LtpPep!J46</f>
        <v>112.75</v>
      </c>
      <c r="G13" s="282">
        <f t="shared" ref="G13" si="30">E13+F13</f>
        <v>171.73416040000001</v>
      </c>
      <c r="H13" s="284">
        <f>+D46+E46</f>
        <v>155.91300000000001</v>
      </c>
      <c r="I13" s="282">
        <f t="shared" si="6"/>
        <v>15.821160399999997</v>
      </c>
      <c r="J13" s="264">
        <f t="shared" si="2"/>
        <v>0.90787412147268987</v>
      </c>
      <c r="K13" s="265">
        <f>+Movimientos_LtpPep!I46</f>
        <v>191.01335176000003</v>
      </c>
      <c r="L13" s="262">
        <f>+Movimientos_LtpPep!K46</f>
        <v>365.10499999999996</v>
      </c>
      <c r="M13" s="261">
        <f t="shared" ref="M13" si="31">K13+L13</f>
        <v>556.11835176</v>
      </c>
      <c r="N13" s="285">
        <f>+F46+G46</f>
        <v>159.10900000000001</v>
      </c>
      <c r="O13" s="261">
        <f t="shared" si="18"/>
        <v>397.00935175999996</v>
      </c>
      <c r="P13" s="266">
        <f t="shared" si="19"/>
        <v>0.28610636476291929</v>
      </c>
      <c r="Q13" s="286">
        <f t="shared" si="3"/>
        <v>249.99751216000004</v>
      </c>
      <c r="R13" s="283">
        <f t="shared" si="4"/>
        <v>477.85499999999996</v>
      </c>
      <c r="S13" s="287">
        <f t="shared" si="8"/>
        <v>727.85251216000006</v>
      </c>
      <c r="T13" s="288">
        <f t="shared" si="20"/>
        <v>315.02200000000005</v>
      </c>
      <c r="U13" s="268">
        <f t="shared" si="9"/>
        <v>412.83051216000001</v>
      </c>
      <c r="V13" s="270">
        <f t="shared" si="10"/>
        <v>0.43281021187263607</v>
      </c>
      <c r="W13" s="700">
        <f t="shared" ref="W13:X13" si="32">Q13+Q14</f>
        <v>277.76177352000002</v>
      </c>
      <c r="X13" s="701">
        <f t="shared" si="32"/>
        <v>477.85499999999996</v>
      </c>
      <c r="Y13" s="702">
        <f t="shared" ref="Y13" si="33">W13+X13</f>
        <v>755.61677351999992</v>
      </c>
      <c r="Z13" s="714">
        <f t="shared" ref="Z13" si="34">T13+T14</f>
        <v>315.02200000000005</v>
      </c>
      <c r="AA13" s="702">
        <f t="shared" ref="AA13" si="35">Y13-Z13</f>
        <v>440.59477351999988</v>
      </c>
      <c r="AB13" s="713">
        <f t="shared" ref="AB13" si="36">Z13/Y13</f>
        <v>0.41690710296502165</v>
      </c>
    </row>
    <row r="14" spans="1:28" s="271" customFormat="1" ht="20.100000000000001" customHeight="1">
      <c r="A14" s="411"/>
      <c r="B14" s="698"/>
      <c r="C14" s="699"/>
      <c r="D14" s="260" t="s">
        <v>10</v>
      </c>
      <c r="E14" s="261">
        <f>+Movimientos_LtpPep!H47</f>
        <v>6.5537956000000008</v>
      </c>
      <c r="F14" s="262">
        <f>+Movimientos_LtpPep!J47</f>
        <v>0</v>
      </c>
      <c r="G14" s="272">
        <f>E14+F14+I13</f>
        <v>22.374955999999997</v>
      </c>
      <c r="H14" s="274"/>
      <c r="I14" s="272">
        <f t="shared" si="6"/>
        <v>22.374955999999997</v>
      </c>
      <c r="J14" s="275">
        <f t="shared" si="2"/>
        <v>0</v>
      </c>
      <c r="K14" s="265">
        <f>+Movimientos_LtpPep!I47</f>
        <v>21.210465760000002</v>
      </c>
      <c r="L14" s="262">
        <f>+Movimientos_LtpPep!K47</f>
        <v>0</v>
      </c>
      <c r="M14" s="272">
        <f t="shared" ref="M14" si="37">K14+L14+O13</f>
        <v>418.21981751999994</v>
      </c>
      <c r="N14" s="276"/>
      <c r="O14" s="272">
        <f t="shared" si="18"/>
        <v>418.21981751999994</v>
      </c>
      <c r="P14" s="277">
        <f>N14/M14</f>
        <v>0</v>
      </c>
      <c r="Q14" s="278">
        <f t="shared" si="3"/>
        <v>27.764261360000003</v>
      </c>
      <c r="R14" s="273">
        <f t="shared" si="4"/>
        <v>0</v>
      </c>
      <c r="S14" s="279">
        <f>Q14+R14+U13</f>
        <v>440.59477351999999</v>
      </c>
      <c r="T14" s="280">
        <f t="shared" si="20"/>
        <v>0</v>
      </c>
      <c r="U14" s="279">
        <f t="shared" si="9"/>
        <v>440.59477351999999</v>
      </c>
      <c r="V14" s="281">
        <f t="shared" si="10"/>
        <v>0</v>
      </c>
      <c r="W14" s="700"/>
      <c r="X14" s="701"/>
      <c r="Y14" s="702"/>
      <c r="Z14" s="714"/>
      <c r="AA14" s="702"/>
      <c r="AB14" s="713"/>
    </row>
    <row r="15" spans="1:28" s="271" customFormat="1" ht="20.100000000000001" customHeight="1">
      <c r="A15" s="411"/>
      <c r="B15" s="698"/>
      <c r="C15" s="699" t="str">
        <f>+Movimientos_LtpPep!B48</f>
        <v>ANTARTIC SEAFOOD S.A.</v>
      </c>
      <c r="D15" s="260" t="s">
        <v>186</v>
      </c>
      <c r="E15" s="261">
        <f>+Movimientos_LtpPep!H48</f>
        <v>55.311794999999996</v>
      </c>
      <c r="F15" s="262">
        <f>+Movimientos_LtpPep!J48</f>
        <v>227.12859991079998</v>
      </c>
      <c r="G15" s="282">
        <f t="shared" ref="G15" si="38">E15+F15</f>
        <v>282.44039491079997</v>
      </c>
      <c r="H15" s="263">
        <f>+D43+E43</f>
        <v>272.64999999999998</v>
      </c>
      <c r="I15" s="282">
        <f t="shared" si="6"/>
        <v>9.7903949107999892</v>
      </c>
      <c r="J15" s="264">
        <f t="shared" si="2"/>
        <v>0.96533642110969298</v>
      </c>
      <c r="K15" s="265">
        <f>+Movimientos_LtpPep!I48</f>
        <v>179.120823</v>
      </c>
      <c r="L15" s="262">
        <f>+Movimientos_LtpPep!K48</f>
        <v>-183.79919988360001</v>
      </c>
      <c r="M15" s="261">
        <f t="shared" ref="M15" si="39">K15+L15</f>
        <v>-4.6783768836000093</v>
      </c>
      <c r="N15" s="289"/>
      <c r="O15" s="261">
        <f t="shared" si="18"/>
        <v>-4.6783768836000093</v>
      </c>
      <c r="P15" s="266">
        <f t="shared" si="19"/>
        <v>0</v>
      </c>
      <c r="Q15" s="286">
        <f t="shared" si="3"/>
        <v>234.43261799999999</v>
      </c>
      <c r="R15" s="283">
        <f t="shared" si="4"/>
        <v>43.329400027199966</v>
      </c>
      <c r="S15" s="287">
        <f t="shared" si="8"/>
        <v>277.76201802719993</v>
      </c>
      <c r="T15" s="288">
        <f t="shared" si="20"/>
        <v>272.64999999999998</v>
      </c>
      <c r="U15" s="268">
        <f t="shared" si="9"/>
        <v>5.1120180271999516</v>
      </c>
      <c r="V15" s="270">
        <f t="shared" si="10"/>
        <v>0.98159569093172649</v>
      </c>
      <c r="W15" s="700">
        <f t="shared" ref="W15" si="40">Q15+Q16</f>
        <v>260.46827099999996</v>
      </c>
      <c r="X15" s="701">
        <f>R15+R16</f>
        <v>43.329400027199966</v>
      </c>
      <c r="Y15" s="702">
        <f t="shared" ref="Y15" si="41">W15+X15</f>
        <v>303.79767102719995</v>
      </c>
      <c r="Z15" s="714">
        <f t="shared" ref="Z15" si="42">T15+T16</f>
        <v>272.64999999999998</v>
      </c>
      <c r="AA15" s="702">
        <f t="shared" ref="AA15" si="43">Y15-Z15</f>
        <v>31.147671027199976</v>
      </c>
      <c r="AB15" s="713">
        <f t="shared" ref="AB15" si="44">Z15/Y15</f>
        <v>0.89747231793488225</v>
      </c>
    </row>
    <row r="16" spans="1:28" s="271" customFormat="1" ht="20.100000000000001" customHeight="1">
      <c r="A16" s="411"/>
      <c r="B16" s="698"/>
      <c r="C16" s="699"/>
      <c r="D16" s="260" t="s">
        <v>10</v>
      </c>
      <c r="E16" s="261">
        <f>+Movimientos_LtpPep!H49</f>
        <v>6.1457549999999994</v>
      </c>
      <c r="F16" s="262">
        <f>+Movimientos_LtpPep!J49</f>
        <v>0</v>
      </c>
      <c r="G16" s="272">
        <f t="shared" ref="G16" si="45">E16+F16+I15</f>
        <v>15.936149910799989</v>
      </c>
      <c r="H16" s="274"/>
      <c r="I16" s="272">
        <f t="shared" si="6"/>
        <v>15.936149910799989</v>
      </c>
      <c r="J16" s="275">
        <f t="shared" si="2"/>
        <v>0</v>
      </c>
      <c r="K16" s="265">
        <f>+Movimientos_LtpPep!I49</f>
        <v>19.889897999999999</v>
      </c>
      <c r="L16" s="262">
        <f>+Movimientos_LtpPep!K49</f>
        <v>0</v>
      </c>
      <c r="M16" s="272">
        <f t="shared" ref="M16" si="46">K16+L16+O15</f>
        <v>15.211521116399989</v>
      </c>
      <c r="N16" s="276"/>
      <c r="O16" s="272">
        <f t="shared" si="18"/>
        <v>15.211521116399989</v>
      </c>
      <c r="P16" s="277">
        <f t="shared" si="19"/>
        <v>0</v>
      </c>
      <c r="Q16" s="278">
        <f t="shared" si="3"/>
        <v>26.035652999999996</v>
      </c>
      <c r="R16" s="273">
        <f t="shared" si="4"/>
        <v>0</v>
      </c>
      <c r="S16" s="279">
        <f>Q16+R16+U15</f>
        <v>31.147671027199948</v>
      </c>
      <c r="T16" s="280">
        <f t="shared" si="20"/>
        <v>0</v>
      </c>
      <c r="U16" s="279">
        <f t="shared" si="9"/>
        <v>31.147671027199948</v>
      </c>
      <c r="V16" s="281">
        <f t="shared" si="10"/>
        <v>0</v>
      </c>
      <c r="W16" s="700"/>
      <c r="X16" s="701"/>
      <c r="Y16" s="702"/>
      <c r="Z16" s="714"/>
      <c r="AA16" s="702"/>
      <c r="AB16" s="713"/>
    </row>
    <row r="17" spans="1:28" s="271" customFormat="1" ht="20.100000000000001" customHeight="1">
      <c r="A17" s="411"/>
      <c r="B17" s="698"/>
      <c r="C17" s="699" t="str">
        <f>+Movimientos_LtpPep!B50</f>
        <v>RUBIO Y MAUAD LTDA.</v>
      </c>
      <c r="D17" s="260" t="s">
        <v>12</v>
      </c>
      <c r="E17" s="261">
        <f>+Movimientos_LtpPep!H50</f>
        <v>1.1088</v>
      </c>
      <c r="F17" s="262">
        <f>+Movimientos_LtpPep!J50</f>
        <v>0</v>
      </c>
      <c r="G17" s="290">
        <f>E17+F17</f>
        <v>1.1088</v>
      </c>
      <c r="H17" s="291"/>
      <c r="I17" s="290">
        <f t="shared" si="6"/>
        <v>1.1088</v>
      </c>
      <c r="J17" s="292">
        <v>0</v>
      </c>
      <c r="K17" s="265">
        <f>+Movimientos_LtpPep!I50</f>
        <v>3.5907200000000006</v>
      </c>
      <c r="L17" s="262">
        <f>+Movimientos_LtpPep!K50</f>
        <v>0</v>
      </c>
      <c r="M17" s="261">
        <f t="shared" ref="M17" si="47">K17+L17</f>
        <v>3.5907200000000006</v>
      </c>
      <c r="N17" s="285"/>
      <c r="O17" s="261">
        <f t="shared" si="18"/>
        <v>3.5907200000000006</v>
      </c>
      <c r="P17" s="293">
        <v>0</v>
      </c>
      <c r="Q17" s="286">
        <f t="shared" si="3"/>
        <v>4.6995200000000006</v>
      </c>
      <c r="R17" s="283">
        <f t="shared" si="4"/>
        <v>0</v>
      </c>
      <c r="S17" s="287">
        <f>Q17+R17</f>
        <v>4.6995200000000006</v>
      </c>
      <c r="T17" s="288">
        <f t="shared" si="20"/>
        <v>0</v>
      </c>
      <c r="U17" s="268">
        <f t="shared" si="9"/>
        <v>4.6995200000000006</v>
      </c>
      <c r="V17" s="270">
        <v>0</v>
      </c>
      <c r="W17" s="716">
        <f>Q17+Q18</f>
        <v>5.2214400000000003</v>
      </c>
      <c r="X17" s="701">
        <f>R17+R18</f>
        <v>0</v>
      </c>
      <c r="Y17" s="702">
        <f t="shared" ref="Y17" si="48">W17+X17</f>
        <v>5.2214400000000003</v>
      </c>
      <c r="Z17" s="714">
        <f>T17+T18</f>
        <v>0</v>
      </c>
      <c r="AA17" s="702">
        <f t="shared" ref="AA17" si="49">Y17-Z17</f>
        <v>5.2214400000000003</v>
      </c>
      <c r="AB17" s="713">
        <v>0</v>
      </c>
    </row>
    <row r="18" spans="1:28" s="271" customFormat="1" ht="20.100000000000001" customHeight="1">
      <c r="A18" s="411"/>
      <c r="B18" s="698"/>
      <c r="C18" s="699"/>
      <c r="D18" s="260" t="s">
        <v>10</v>
      </c>
      <c r="E18" s="261">
        <f>+Movimientos_LtpPep!H51</f>
        <v>0.12320000000000002</v>
      </c>
      <c r="F18" s="262">
        <f>+Movimientos_LtpPep!J51</f>
        <v>0</v>
      </c>
      <c r="G18" s="294">
        <f>E18+F18+I17</f>
        <v>1.232</v>
      </c>
      <c r="H18" s="276"/>
      <c r="I18" s="294">
        <f>G18-H18</f>
        <v>1.232</v>
      </c>
      <c r="J18" s="275">
        <v>0</v>
      </c>
      <c r="K18" s="265">
        <f>+Movimientos_LtpPep!I51</f>
        <v>0.39872000000000002</v>
      </c>
      <c r="L18" s="262">
        <f>+Movimientos_LtpPep!K51</f>
        <v>0</v>
      </c>
      <c r="M18" s="272">
        <f t="shared" ref="M18" si="50">K18+L18+O17</f>
        <v>3.9894400000000005</v>
      </c>
      <c r="N18" s="295"/>
      <c r="O18" s="272">
        <f t="shared" si="18"/>
        <v>3.9894400000000005</v>
      </c>
      <c r="P18" s="277">
        <v>0</v>
      </c>
      <c r="Q18" s="278">
        <f t="shared" si="3"/>
        <v>0.52192000000000005</v>
      </c>
      <c r="R18" s="273">
        <f t="shared" si="4"/>
        <v>0</v>
      </c>
      <c r="S18" s="279">
        <f>Q18+R18+U17</f>
        <v>5.2214400000000003</v>
      </c>
      <c r="T18" s="280">
        <f t="shared" si="20"/>
        <v>0</v>
      </c>
      <c r="U18" s="279">
        <f t="shared" si="9"/>
        <v>5.2214400000000003</v>
      </c>
      <c r="V18" s="281">
        <v>0</v>
      </c>
      <c r="W18" s="716"/>
      <c r="X18" s="701"/>
      <c r="Y18" s="702"/>
      <c r="Z18" s="717"/>
      <c r="AA18" s="702"/>
      <c r="AB18" s="713"/>
    </row>
    <row r="19" spans="1:28" s="271" customFormat="1" ht="20.100000000000001" customHeight="1">
      <c r="A19" s="411"/>
      <c r="B19" s="698"/>
      <c r="C19" s="699" t="str">
        <f>+Movimientos_LtpPep!B52</f>
        <v>PESQ. QUINTERO S.A.</v>
      </c>
      <c r="D19" s="260" t="s">
        <v>12</v>
      </c>
      <c r="E19" s="261">
        <f>+Movimientos_LtpPep!H52</f>
        <v>4.3516440000000003</v>
      </c>
      <c r="F19" s="262">
        <f>+Movimientos_LtpPep!J52</f>
        <v>0</v>
      </c>
      <c r="G19" s="282">
        <f t="shared" ref="G19" si="51">E19+F19</f>
        <v>4.3516440000000003</v>
      </c>
      <c r="H19" s="285"/>
      <c r="I19" s="282">
        <f t="shared" si="6"/>
        <v>4.3516440000000003</v>
      </c>
      <c r="J19" s="264">
        <v>0</v>
      </c>
      <c r="K19" s="265">
        <f>+Movimientos_LtpPep!I52</f>
        <v>14.092293600000001</v>
      </c>
      <c r="L19" s="262">
        <f>+Movimientos_LtpPep!K52</f>
        <v>0</v>
      </c>
      <c r="M19" s="261">
        <f t="shared" ref="M19" si="52">K19+L19</f>
        <v>14.092293600000001</v>
      </c>
      <c r="N19" s="285"/>
      <c r="O19" s="261">
        <f t="shared" si="18"/>
        <v>14.092293600000001</v>
      </c>
      <c r="P19" s="266">
        <v>0</v>
      </c>
      <c r="Q19" s="286">
        <f t="shared" si="3"/>
        <v>18.443937600000002</v>
      </c>
      <c r="R19" s="283">
        <f t="shared" si="4"/>
        <v>0</v>
      </c>
      <c r="S19" s="287">
        <f t="shared" si="8"/>
        <v>18.443937600000002</v>
      </c>
      <c r="T19" s="288">
        <f t="shared" si="20"/>
        <v>0</v>
      </c>
      <c r="U19" s="268">
        <f t="shared" si="9"/>
        <v>18.443937600000002</v>
      </c>
      <c r="V19" s="270">
        <v>0</v>
      </c>
      <c r="W19" s="700">
        <f t="shared" ref="W19:X19" si="53">Q19+Q20</f>
        <v>20.4922872</v>
      </c>
      <c r="X19" s="701">
        <f t="shared" si="53"/>
        <v>0</v>
      </c>
      <c r="Y19" s="702">
        <f t="shared" ref="Y19" si="54">W19+X19</f>
        <v>20.4922872</v>
      </c>
      <c r="Z19" s="714">
        <f t="shared" ref="Z19" si="55">T19+T20</f>
        <v>0</v>
      </c>
      <c r="AA19" s="702">
        <f t="shared" ref="AA19" si="56">Y19-Z19</f>
        <v>20.4922872</v>
      </c>
      <c r="AB19" s="713">
        <v>0</v>
      </c>
    </row>
    <row r="20" spans="1:28" s="271" customFormat="1" ht="20.100000000000001" customHeight="1">
      <c r="A20" s="411"/>
      <c r="B20" s="698"/>
      <c r="C20" s="699"/>
      <c r="D20" s="260" t="s">
        <v>10</v>
      </c>
      <c r="E20" s="261">
        <f>+Movimientos_LtpPep!H53</f>
        <v>0.48351600000000006</v>
      </c>
      <c r="F20" s="262">
        <f>+Movimientos_LtpPep!J53</f>
        <v>0</v>
      </c>
      <c r="G20" s="272">
        <f t="shared" ref="G20" si="57">E20+F20+I19</f>
        <v>4.8351600000000001</v>
      </c>
      <c r="H20" s="276"/>
      <c r="I20" s="272">
        <f t="shared" si="6"/>
        <v>4.8351600000000001</v>
      </c>
      <c r="J20" s="275">
        <v>0</v>
      </c>
      <c r="K20" s="265">
        <f>+Movimientos_LtpPep!I53</f>
        <v>1.5648336</v>
      </c>
      <c r="L20" s="262">
        <f>+Movimientos_LtpPep!K53</f>
        <v>0</v>
      </c>
      <c r="M20" s="272">
        <f t="shared" ref="M20" si="58">K20+L20+O19</f>
        <v>15.657127200000001</v>
      </c>
      <c r="N20" s="276"/>
      <c r="O20" s="272">
        <f t="shared" si="18"/>
        <v>15.657127200000001</v>
      </c>
      <c r="P20" s="277">
        <v>0</v>
      </c>
      <c r="Q20" s="278">
        <f t="shared" si="3"/>
        <v>2.0483495999999999</v>
      </c>
      <c r="R20" s="273">
        <f t="shared" si="4"/>
        <v>0</v>
      </c>
      <c r="S20" s="279">
        <f>Q20+R20+U19</f>
        <v>20.4922872</v>
      </c>
      <c r="T20" s="280">
        <f t="shared" si="20"/>
        <v>0</v>
      </c>
      <c r="U20" s="279">
        <f t="shared" si="9"/>
        <v>20.4922872</v>
      </c>
      <c r="V20" s="281">
        <v>0</v>
      </c>
      <c r="W20" s="700"/>
      <c r="X20" s="701"/>
      <c r="Y20" s="702"/>
      <c r="Z20" s="714"/>
      <c r="AA20" s="702"/>
      <c r="AB20" s="713"/>
    </row>
    <row r="21" spans="1:28" s="271" customFormat="1" ht="20.100000000000001" customHeight="1">
      <c r="A21" s="411"/>
      <c r="B21" s="698"/>
      <c r="C21" s="699" t="str">
        <f>+Movimientos_LtpPep!B54</f>
        <v>SOC. PESQ. ENFEMAR LTDA.</v>
      </c>
      <c r="D21" s="260" t="s">
        <v>12</v>
      </c>
      <c r="E21" s="261">
        <f>+Movimientos_LtpPep!H54</f>
        <v>3.1610699999999999E-2</v>
      </c>
      <c r="F21" s="262">
        <f>+Movimientos_LtpPep!J54</f>
        <v>0</v>
      </c>
      <c r="G21" s="282">
        <f t="shared" ref="G21" si="59">E21+F21</f>
        <v>3.1610699999999999E-2</v>
      </c>
      <c r="H21" s="285"/>
      <c r="I21" s="282">
        <f t="shared" si="6"/>
        <v>3.1610699999999999E-2</v>
      </c>
      <c r="J21" s="264">
        <f t="shared" si="2"/>
        <v>0</v>
      </c>
      <c r="K21" s="265">
        <f>+Movimientos_LtpPep!I54</f>
        <v>0.10236758</v>
      </c>
      <c r="L21" s="262">
        <f>+Movimientos_LtpPep!K54</f>
        <v>0</v>
      </c>
      <c r="M21" s="261">
        <f t="shared" ref="M21" si="60">K21+L21</f>
        <v>0.10236758</v>
      </c>
      <c r="N21" s="285"/>
      <c r="O21" s="261">
        <f t="shared" si="18"/>
        <v>0.10236758</v>
      </c>
      <c r="P21" s="266">
        <f t="shared" si="19"/>
        <v>0</v>
      </c>
      <c r="Q21" s="286">
        <f t="shared" si="3"/>
        <v>0.13397828000000001</v>
      </c>
      <c r="R21" s="283">
        <f t="shared" si="4"/>
        <v>0</v>
      </c>
      <c r="S21" s="287">
        <f t="shared" si="8"/>
        <v>0.13397828000000001</v>
      </c>
      <c r="T21" s="288">
        <f t="shared" si="20"/>
        <v>0</v>
      </c>
      <c r="U21" s="268">
        <f t="shared" si="9"/>
        <v>0.13397828000000001</v>
      </c>
      <c r="V21" s="270">
        <f t="shared" si="10"/>
        <v>0</v>
      </c>
      <c r="W21" s="700">
        <f t="shared" ref="W21:X21" si="61">Q21+Q22</f>
        <v>0.14885766</v>
      </c>
      <c r="X21" s="701">
        <f t="shared" si="61"/>
        <v>0</v>
      </c>
      <c r="Y21" s="702">
        <f t="shared" ref="Y21" si="62">W21+X21</f>
        <v>0.14885766</v>
      </c>
      <c r="Z21" s="714">
        <f t="shared" ref="Z21" si="63">T21+T22</f>
        <v>0</v>
      </c>
      <c r="AA21" s="702">
        <f t="shared" ref="AA21" si="64">Y21-Z21</f>
        <v>0.14885766</v>
      </c>
      <c r="AB21" s="713">
        <f t="shared" ref="AB21" si="65">Z21/Y21</f>
        <v>0</v>
      </c>
    </row>
    <row r="22" spans="1:28" s="271" customFormat="1" ht="20.100000000000001" customHeight="1">
      <c r="A22" s="411"/>
      <c r="B22" s="698"/>
      <c r="C22" s="699"/>
      <c r="D22" s="260" t="s">
        <v>10</v>
      </c>
      <c r="E22" s="261">
        <f>+Movimientos_LtpPep!H55</f>
        <v>3.5123000000000003E-3</v>
      </c>
      <c r="F22" s="262">
        <f>+Movimientos_LtpPep!J55</f>
        <v>0</v>
      </c>
      <c r="G22" s="272">
        <f t="shared" ref="G22" si="66">E22+F22+I21</f>
        <v>3.5123000000000001E-2</v>
      </c>
      <c r="H22" s="274"/>
      <c r="I22" s="272">
        <f t="shared" si="6"/>
        <v>3.5123000000000001E-2</v>
      </c>
      <c r="J22" s="275">
        <f t="shared" si="2"/>
        <v>0</v>
      </c>
      <c r="K22" s="265">
        <f>+Movimientos_LtpPep!I55</f>
        <v>1.136708E-2</v>
      </c>
      <c r="L22" s="262">
        <f>+Movimientos_LtpPep!K55</f>
        <v>0</v>
      </c>
      <c r="M22" s="272">
        <f t="shared" ref="M22" si="67">K22+L22+O21</f>
        <v>0.11373466</v>
      </c>
      <c r="N22" s="276"/>
      <c r="O22" s="272">
        <f t="shared" si="18"/>
        <v>0.11373466</v>
      </c>
      <c r="P22" s="277">
        <f t="shared" si="19"/>
        <v>0</v>
      </c>
      <c r="Q22" s="278">
        <f t="shared" si="3"/>
        <v>1.4879380000000001E-2</v>
      </c>
      <c r="R22" s="273">
        <f t="shared" si="4"/>
        <v>0</v>
      </c>
      <c r="S22" s="279">
        <f>Q22+R22+U21</f>
        <v>0.14885766</v>
      </c>
      <c r="T22" s="280">
        <f t="shared" si="20"/>
        <v>0</v>
      </c>
      <c r="U22" s="279">
        <f t="shared" si="9"/>
        <v>0.14885766</v>
      </c>
      <c r="V22" s="281">
        <f t="shared" si="10"/>
        <v>0</v>
      </c>
      <c r="W22" s="700"/>
      <c r="X22" s="701"/>
      <c r="Y22" s="702"/>
      <c r="Z22" s="714"/>
      <c r="AA22" s="702"/>
      <c r="AB22" s="713"/>
    </row>
    <row r="23" spans="1:28" s="271" customFormat="1" ht="20.100000000000001" customHeight="1">
      <c r="A23" s="411"/>
      <c r="B23" s="698"/>
      <c r="C23" s="699" t="str">
        <f>+Movimientos_LtpPep!B56</f>
        <v xml:space="preserve">PESQ. ANTONIO CRUZ CORDOVA </v>
      </c>
      <c r="D23" s="260" t="s">
        <v>12</v>
      </c>
      <c r="E23" s="261">
        <f>+Movimientos_LtpPep!H56</f>
        <v>8.1674999999999998E-2</v>
      </c>
      <c r="F23" s="262">
        <f>+Movimientos_LtpPep!J56</f>
        <v>0</v>
      </c>
      <c r="G23" s="282">
        <f t="shared" ref="G23" si="68">E23+F23</f>
        <v>8.1674999999999998E-2</v>
      </c>
      <c r="H23" s="285"/>
      <c r="I23" s="282">
        <f t="shared" si="6"/>
        <v>8.1674999999999998E-2</v>
      </c>
      <c r="J23" s="264">
        <f t="shared" si="2"/>
        <v>0</v>
      </c>
      <c r="K23" s="265">
        <f>+Movimientos_LtpPep!I56</f>
        <v>0.26449499999999998</v>
      </c>
      <c r="L23" s="262">
        <f>+Movimientos_LtpPep!K56</f>
        <v>0</v>
      </c>
      <c r="M23" s="261">
        <f t="shared" ref="M23" si="69">K23+L23</f>
        <v>0.26449499999999998</v>
      </c>
      <c r="N23" s="285"/>
      <c r="O23" s="261">
        <f t="shared" si="18"/>
        <v>0.26449499999999998</v>
      </c>
      <c r="P23" s="266">
        <f t="shared" si="19"/>
        <v>0</v>
      </c>
      <c r="Q23" s="286">
        <f t="shared" si="3"/>
        <v>0.34616999999999998</v>
      </c>
      <c r="R23" s="283">
        <f t="shared" si="4"/>
        <v>0</v>
      </c>
      <c r="S23" s="287">
        <f t="shared" si="8"/>
        <v>0.34616999999999998</v>
      </c>
      <c r="T23" s="288">
        <f t="shared" si="20"/>
        <v>0</v>
      </c>
      <c r="U23" s="268">
        <f t="shared" si="9"/>
        <v>0.34616999999999998</v>
      </c>
      <c r="V23" s="270">
        <f t="shared" si="10"/>
        <v>0</v>
      </c>
      <c r="W23" s="700">
        <f t="shared" ref="W23" si="70">Q23+Q24</f>
        <v>0.38461499999999998</v>
      </c>
      <c r="X23" s="701">
        <f>R23+R24</f>
        <v>0</v>
      </c>
      <c r="Y23" s="702">
        <f t="shared" ref="Y23" si="71">W23+X23</f>
        <v>0.38461499999999998</v>
      </c>
      <c r="Z23" s="714">
        <f t="shared" ref="Z23" si="72">T23+T24</f>
        <v>0</v>
      </c>
      <c r="AA23" s="702">
        <f t="shared" ref="AA23" si="73">Y23-Z23</f>
        <v>0.38461499999999998</v>
      </c>
      <c r="AB23" s="713">
        <f t="shared" ref="AB23" si="74">Z23/Y23</f>
        <v>0</v>
      </c>
    </row>
    <row r="24" spans="1:28" s="271" customFormat="1" ht="20.100000000000001" customHeight="1">
      <c r="A24" s="411"/>
      <c r="B24" s="698"/>
      <c r="C24" s="699"/>
      <c r="D24" s="260" t="s">
        <v>10</v>
      </c>
      <c r="E24" s="261">
        <f>+Movimientos_LtpPep!H57</f>
        <v>9.0749999999999997E-3</v>
      </c>
      <c r="F24" s="262">
        <f>+Movimientos_LtpPep!J57</f>
        <v>0</v>
      </c>
      <c r="G24" s="272">
        <f t="shared" ref="G24" si="75">E24+F24+I23</f>
        <v>9.0749999999999997E-2</v>
      </c>
      <c r="H24" s="276"/>
      <c r="I24" s="272">
        <f t="shared" si="6"/>
        <v>9.0749999999999997E-2</v>
      </c>
      <c r="J24" s="275">
        <f t="shared" si="2"/>
        <v>0</v>
      </c>
      <c r="K24" s="265">
        <f>+Movimientos_LtpPep!I57</f>
        <v>2.937E-2</v>
      </c>
      <c r="L24" s="262">
        <f>+Movimientos_LtpPep!K57</f>
        <v>0</v>
      </c>
      <c r="M24" s="272">
        <f t="shared" ref="M24" si="76">K24+L24+O23</f>
        <v>0.29386499999999999</v>
      </c>
      <c r="N24" s="276"/>
      <c r="O24" s="272">
        <f t="shared" si="18"/>
        <v>0.29386499999999999</v>
      </c>
      <c r="P24" s="277">
        <f t="shared" si="19"/>
        <v>0</v>
      </c>
      <c r="Q24" s="278">
        <f t="shared" si="3"/>
        <v>3.8445E-2</v>
      </c>
      <c r="R24" s="273">
        <f t="shared" si="4"/>
        <v>0</v>
      </c>
      <c r="S24" s="279">
        <f>Q24+R24+U23</f>
        <v>0.38461499999999998</v>
      </c>
      <c r="T24" s="280">
        <f t="shared" si="20"/>
        <v>0</v>
      </c>
      <c r="U24" s="279">
        <f t="shared" si="9"/>
        <v>0.38461499999999998</v>
      </c>
      <c r="V24" s="281">
        <f t="shared" si="10"/>
        <v>0</v>
      </c>
      <c r="W24" s="700"/>
      <c r="X24" s="701"/>
      <c r="Y24" s="702"/>
      <c r="Z24" s="714"/>
      <c r="AA24" s="702"/>
      <c r="AB24" s="713"/>
    </row>
    <row r="25" spans="1:28" s="271" customFormat="1" ht="20.100000000000001" customHeight="1">
      <c r="A25" s="411"/>
      <c r="B25" s="698"/>
      <c r="C25" s="699" t="str">
        <f>+Movimientos_LtpPep!B58</f>
        <v>PACIFICBLU SpA</v>
      </c>
      <c r="D25" s="260" t="s">
        <v>12</v>
      </c>
      <c r="E25" s="261">
        <f>+Movimientos_LtpPep!H58</f>
        <v>157.99149728999998</v>
      </c>
      <c r="F25" s="262">
        <f>+Movimientos_LtpPep!J58</f>
        <v>-134.7929</v>
      </c>
      <c r="G25" s="282">
        <f t="shared" ref="G25" si="77">E25+F25</f>
        <v>23.198597289999981</v>
      </c>
      <c r="H25" s="285"/>
      <c r="I25" s="282">
        <f t="shared" si="6"/>
        <v>23.198597289999981</v>
      </c>
      <c r="J25" s="292">
        <f t="shared" si="2"/>
        <v>0</v>
      </c>
      <c r="K25" s="265">
        <f>+Movimientos_LtpPep!I58</f>
        <v>511.63711142599993</v>
      </c>
      <c r="L25" s="262">
        <f>+Movimientos_LtpPep!K58</f>
        <v>-436.48391799999996</v>
      </c>
      <c r="M25" s="261">
        <f t="shared" ref="M25" si="78">K25+L25</f>
        <v>75.153193425999973</v>
      </c>
      <c r="N25" s="285"/>
      <c r="O25" s="261">
        <f t="shared" si="18"/>
        <v>75.153193425999973</v>
      </c>
      <c r="P25" s="266">
        <f t="shared" si="19"/>
        <v>0</v>
      </c>
      <c r="Q25" s="286">
        <f t="shared" si="3"/>
        <v>669.62860871599992</v>
      </c>
      <c r="R25" s="283">
        <f t="shared" si="4"/>
        <v>-571.27681799999993</v>
      </c>
      <c r="S25" s="287">
        <f t="shared" si="8"/>
        <v>98.351790715999982</v>
      </c>
      <c r="T25" s="288">
        <f t="shared" si="20"/>
        <v>0</v>
      </c>
      <c r="U25" s="268">
        <f t="shared" si="9"/>
        <v>98.351790715999982</v>
      </c>
      <c r="V25" s="270">
        <f t="shared" si="10"/>
        <v>0</v>
      </c>
      <c r="W25" s="700">
        <f t="shared" ref="W25:X25" si="79">Q25+Q26</f>
        <v>743.99632360199985</v>
      </c>
      <c r="X25" s="701">
        <f t="shared" si="79"/>
        <v>-571.27681799999993</v>
      </c>
      <c r="Y25" s="702">
        <f t="shared" ref="Y25" si="80">W25+X25</f>
        <v>172.71950560199991</v>
      </c>
      <c r="Z25" s="714">
        <f t="shared" ref="Z25" si="81">T25+T26</f>
        <v>0</v>
      </c>
      <c r="AA25" s="702">
        <f t="shared" ref="AA25" si="82">Y25-Z25</f>
        <v>172.71950560199991</v>
      </c>
      <c r="AB25" s="713">
        <f t="shared" ref="AB25" si="83">Z25/Y25</f>
        <v>0</v>
      </c>
    </row>
    <row r="26" spans="1:28" s="271" customFormat="1" ht="20.100000000000001" customHeight="1">
      <c r="A26" s="411"/>
      <c r="B26" s="698"/>
      <c r="C26" s="699"/>
      <c r="D26" s="260" t="s">
        <v>10</v>
      </c>
      <c r="E26" s="261">
        <f>+Movimientos_LtpPep!H59</f>
        <v>17.554610809999996</v>
      </c>
      <c r="F26" s="262">
        <f>+Movimientos_LtpPep!J59</f>
        <v>0</v>
      </c>
      <c r="G26" s="272">
        <f t="shared" ref="G26" si="84">E26+F26+I25</f>
        <v>40.753208099999981</v>
      </c>
      <c r="H26" s="276"/>
      <c r="I26" s="272">
        <f t="shared" si="6"/>
        <v>40.753208099999981</v>
      </c>
      <c r="J26" s="275">
        <f t="shared" si="2"/>
        <v>0</v>
      </c>
      <c r="K26" s="265">
        <f>+Movimientos_LtpPep!I59</f>
        <v>56.813104075999995</v>
      </c>
      <c r="L26" s="262">
        <f>+Movimientos_LtpPep!K59</f>
        <v>0</v>
      </c>
      <c r="M26" s="272">
        <f t="shared" ref="M26" si="85">K26+L26+O25</f>
        <v>131.96629750199997</v>
      </c>
      <c r="N26" s="276"/>
      <c r="O26" s="272">
        <f t="shared" si="18"/>
        <v>131.96629750199997</v>
      </c>
      <c r="P26" s="277">
        <f t="shared" si="19"/>
        <v>0</v>
      </c>
      <c r="Q26" s="278">
        <f t="shared" si="3"/>
        <v>74.367714885999987</v>
      </c>
      <c r="R26" s="273">
        <f t="shared" si="4"/>
        <v>0</v>
      </c>
      <c r="S26" s="279">
        <f>Q26+R26+U25</f>
        <v>172.71950560199997</v>
      </c>
      <c r="T26" s="280">
        <f t="shared" si="20"/>
        <v>0</v>
      </c>
      <c r="U26" s="279">
        <f t="shared" si="9"/>
        <v>172.71950560199997</v>
      </c>
      <c r="V26" s="281">
        <f t="shared" si="10"/>
        <v>0</v>
      </c>
      <c r="W26" s="700"/>
      <c r="X26" s="701"/>
      <c r="Y26" s="702"/>
      <c r="Z26" s="714"/>
      <c r="AA26" s="702"/>
      <c r="AB26" s="713"/>
    </row>
    <row r="27" spans="1:28" s="271" customFormat="1" ht="20.100000000000001" customHeight="1">
      <c r="A27" s="411"/>
      <c r="B27" s="698"/>
      <c r="C27" s="699" t="str">
        <f>+Movimientos_LtpPep!B60</f>
        <v xml:space="preserve">ANTONIO DA VENEZIA RETAMALES </v>
      </c>
      <c r="D27" s="260" t="s">
        <v>12</v>
      </c>
      <c r="E27" s="261">
        <f>+Movimientos_LtpPep!H60</f>
        <v>8.9496000000000003E-3</v>
      </c>
      <c r="F27" s="262">
        <f>+Movimientos_LtpPep!J60</f>
        <v>0</v>
      </c>
      <c r="G27" s="296">
        <f>E27+F27</f>
        <v>8.9496000000000003E-3</v>
      </c>
      <c r="H27" s="285"/>
      <c r="I27" s="296">
        <f t="shared" si="6"/>
        <v>8.9496000000000003E-3</v>
      </c>
      <c r="J27" s="264">
        <v>0</v>
      </c>
      <c r="K27" s="265">
        <f>+Movimientos_LtpPep!I60</f>
        <v>2.8982239999999999E-2</v>
      </c>
      <c r="L27" s="262">
        <f>+Movimientos_LtpPep!K60</f>
        <v>0</v>
      </c>
      <c r="M27" s="261">
        <f t="shared" ref="M27" si="86">K27+L27</f>
        <v>2.8982239999999999E-2</v>
      </c>
      <c r="N27" s="297"/>
      <c r="O27" s="261">
        <f t="shared" si="18"/>
        <v>2.8982239999999999E-2</v>
      </c>
      <c r="P27" s="266">
        <v>0</v>
      </c>
      <c r="Q27" s="267">
        <f t="shared" si="3"/>
        <v>3.7931840000000001E-2</v>
      </c>
      <c r="R27" s="283">
        <f t="shared" si="4"/>
        <v>0</v>
      </c>
      <c r="S27" s="268">
        <f>Q27+R27</f>
        <v>3.7931840000000001E-2</v>
      </c>
      <c r="T27" s="269">
        <f t="shared" si="20"/>
        <v>0</v>
      </c>
      <c r="U27" s="268">
        <f t="shared" si="9"/>
        <v>3.7931840000000001E-2</v>
      </c>
      <c r="V27" s="270">
        <v>0</v>
      </c>
      <c r="W27" s="702">
        <f>Q27+Q28</f>
        <v>4.2144479999999998E-2</v>
      </c>
      <c r="X27" s="701">
        <f>R27+R28</f>
        <v>0</v>
      </c>
      <c r="Y27" s="702">
        <f t="shared" ref="Y27" si="87">W27+X27</f>
        <v>4.2144479999999998E-2</v>
      </c>
      <c r="Z27" s="717">
        <f>T27+T28</f>
        <v>0</v>
      </c>
      <c r="AA27" s="702">
        <f t="shared" ref="AA27" si="88">Y27-Z27</f>
        <v>4.2144479999999998E-2</v>
      </c>
      <c r="AB27" s="713">
        <v>0</v>
      </c>
    </row>
    <row r="28" spans="1:28" s="271" customFormat="1" ht="20.100000000000001" customHeight="1">
      <c r="A28" s="411"/>
      <c r="B28" s="698"/>
      <c r="C28" s="699"/>
      <c r="D28" s="260" t="s">
        <v>10</v>
      </c>
      <c r="E28" s="261">
        <f>+Movimientos_LtpPep!H61</f>
        <v>9.9439999999999988E-4</v>
      </c>
      <c r="F28" s="262">
        <f>+Movimientos_LtpPep!J61</f>
        <v>0</v>
      </c>
      <c r="G28" s="296">
        <f>E28+F28+I27</f>
        <v>9.9439999999999997E-3</v>
      </c>
      <c r="H28" s="298"/>
      <c r="I28" s="296">
        <f>G28-H28</f>
        <v>9.9439999999999997E-3</v>
      </c>
      <c r="J28" s="264">
        <v>0</v>
      </c>
      <c r="K28" s="265">
        <f>+Movimientos_LtpPep!I61</f>
        <v>3.2182399999999998E-3</v>
      </c>
      <c r="L28" s="262">
        <f>+Movimientos_LtpPep!K61</f>
        <v>0</v>
      </c>
      <c r="M28" s="272">
        <f t="shared" ref="M28" si="89">K28+L28+O27</f>
        <v>3.2200479999999997E-2</v>
      </c>
      <c r="N28" s="297"/>
      <c r="O28" s="272">
        <f t="shared" si="18"/>
        <v>3.2200479999999997E-2</v>
      </c>
      <c r="P28" s="277">
        <v>0</v>
      </c>
      <c r="Q28" s="267">
        <f t="shared" si="3"/>
        <v>4.2126400000000001E-3</v>
      </c>
      <c r="R28" s="273">
        <f t="shared" si="4"/>
        <v>0</v>
      </c>
      <c r="S28" s="268">
        <f>Q28+R28+U27</f>
        <v>4.2144479999999998E-2</v>
      </c>
      <c r="T28" s="269">
        <f t="shared" si="20"/>
        <v>0</v>
      </c>
      <c r="U28" s="279">
        <f t="shared" si="9"/>
        <v>4.2144479999999998E-2</v>
      </c>
      <c r="V28" s="281">
        <v>0</v>
      </c>
      <c r="W28" s="702"/>
      <c r="X28" s="701"/>
      <c r="Y28" s="702"/>
      <c r="Z28" s="717"/>
      <c r="AA28" s="702"/>
      <c r="AB28" s="713"/>
    </row>
    <row r="29" spans="1:28" s="271" customFormat="1" ht="20.100000000000001" customHeight="1">
      <c r="A29" s="411"/>
      <c r="B29" s="698"/>
      <c r="C29" s="699" t="str">
        <f>+Movimientos_LtpPep!B62</f>
        <v>SOC. PESQ. LANDES S.A.</v>
      </c>
      <c r="D29" s="260" t="s">
        <v>12</v>
      </c>
      <c r="E29" s="261">
        <f>+Movimientos_LtpPep!H62</f>
        <v>0.495</v>
      </c>
      <c r="F29" s="262">
        <f>+Movimientos_LtpPep!J62</f>
        <v>0</v>
      </c>
      <c r="G29" s="282">
        <f>E29+F29</f>
        <v>0.495</v>
      </c>
      <c r="H29" s="285"/>
      <c r="I29" s="282">
        <f t="shared" ref="I29:I32" si="90">G29-H29</f>
        <v>0.495</v>
      </c>
      <c r="J29" s="292">
        <f t="shared" ref="J29:J30" si="91">H29/G29</f>
        <v>0</v>
      </c>
      <c r="K29" s="265">
        <f>+Movimientos_LtpPep!I62</f>
        <v>1.603</v>
      </c>
      <c r="L29" s="262">
        <f>+Movimientos_LtpPep!K62</f>
        <v>0</v>
      </c>
      <c r="M29" s="261">
        <f t="shared" ref="M29" si="92">K29+L29</f>
        <v>1.603</v>
      </c>
      <c r="N29" s="285"/>
      <c r="O29" s="261">
        <f>M29-N29</f>
        <v>1.603</v>
      </c>
      <c r="P29" s="266">
        <f t="shared" ref="P29:P32" si="93">N29/M29</f>
        <v>0</v>
      </c>
      <c r="Q29" s="286">
        <f t="shared" si="3"/>
        <v>2.0979999999999999</v>
      </c>
      <c r="R29" s="283">
        <f t="shared" si="4"/>
        <v>0</v>
      </c>
      <c r="S29" s="287">
        <f>Q29+R29</f>
        <v>2.0979999999999999</v>
      </c>
      <c r="T29" s="288">
        <f t="shared" si="20"/>
        <v>0</v>
      </c>
      <c r="U29" s="268">
        <f t="shared" si="9"/>
        <v>2.0979999999999999</v>
      </c>
      <c r="V29" s="270">
        <f t="shared" ref="V29:V30" si="94">T29/S29</f>
        <v>0</v>
      </c>
      <c r="W29" s="700">
        <f>Q29+Q30</f>
        <v>2.331</v>
      </c>
      <c r="X29" s="701">
        <f>R29+R30</f>
        <v>0</v>
      </c>
      <c r="Y29" s="702">
        <f t="shared" ref="Y29" si="95">W29+X29</f>
        <v>2.331</v>
      </c>
      <c r="Z29" s="714">
        <f>T29+T30</f>
        <v>0</v>
      </c>
      <c r="AA29" s="702">
        <f t="shared" ref="AA29" si="96">Y29-Z29</f>
        <v>2.331</v>
      </c>
      <c r="AB29" s="713">
        <f t="shared" ref="AB29" si="97">Z29/Y29</f>
        <v>0</v>
      </c>
    </row>
    <row r="30" spans="1:28" s="271" customFormat="1" ht="20.100000000000001" customHeight="1">
      <c r="A30" s="411"/>
      <c r="B30" s="698"/>
      <c r="C30" s="699"/>
      <c r="D30" s="260" t="s">
        <v>10</v>
      </c>
      <c r="E30" s="261">
        <f>+Movimientos_LtpPep!H63</f>
        <v>5.5E-2</v>
      </c>
      <c r="F30" s="262">
        <f>+Movimientos_LtpPep!J63</f>
        <v>0</v>
      </c>
      <c r="G30" s="272">
        <f>E30+F30+I29</f>
        <v>0.55000000000000004</v>
      </c>
      <c r="H30" s="276"/>
      <c r="I30" s="272">
        <f t="shared" si="90"/>
        <v>0.55000000000000004</v>
      </c>
      <c r="J30" s="275">
        <f t="shared" si="91"/>
        <v>0</v>
      </c>
      <c r="K30" s="265">
        <f>+Movimientos_LtpPep!I63</f>
        <v>0.17799999999999999</v>
      </c>
      <c r="L30" s="262">
        <f>+Movimientos_LtpPep!K63</f>
        <v>0</v>
      </c>
      <c r="M30" s="272">
        <f t="shared" ref="M30" si="98">K30+L30+O29</f>
        <v>1.7809999999999999</v>
      </c>
      <c r="N30" s="276"/>
      <c r="O30" s="272">
        <f t="shared" si="18"/>
        <v>1.7809999999999999</v>
      </c>
      <c r="P30" s="277">
        <f t="shared" si="93"/>
        <v>0</v>
      </c>
      <c r="Q30" s="278">
        <f t="shared" si="3"/>
        <v>0.23299999999999998</v>
      </c>
      <c r="R30" s="273">
        <f t="shared" si="4"/>
        <v>0</v>
      </c>
      <c r="S30" s="279">
        <f>Q30+R30+U29</f>
        <v>2.331</v>
      </c>
      <c r="T30" s="280">
        <f t="shared" si="20"/>
        <v>0</v>
      </c>
      <c r="U30" s="279">
        <f t="shared" si="9"/>
        <v>2.331</v>
      </c>
      <c r="V30" s="281">
        <f t="shared" si="94"/>
        <v>0</v>
      </c>
      <c r="W30" s="700"/>
      <c r="X30" s="701"/>
      <c r="Y30" s="702"/>
      <c r="Z30" s="714"/>
      <c r="AA30" s="702"/>
      <c r="AB30" s="713"/>
    </row>
    <row r="31" spans="1:28" s="271" customFormat="1" ht="20.100000000000001" customHeight="1">
      <c r="A31" s="411"/>
      <c r="B31" s="698"/>
      <c r="C31" s="699" t="str">
        <f>+Movimientos_LtpPep!B64</f>
        <v>JORGE COFRE REYES</v>
      </c>
      <c r="D31" s="260" t="s">
        <v>12</v>
      </c>
      <c r="E31" s="261">
        <f>+Movimientos_LtpPep!H64</f>
        <v>0</v>
      </c>
      <c r="F31" s="262">
        <f>+Movimientos_LtpPep!J64</f>
        <v>0</v>
      </c>
      <c r="G31" s="290">
        <f>E31+F31</f>
        <v>0</v>
      </c>
      <c r="H31" s="285"/>
      <c r="I31" s="290">
        <f t="shared" si="90"/>
        <v>0</v>
      </c>
      <c r="J31" s="292">
        <v>0</v>
      </c>
      <c r="K31" s="265">
        <f>+Movimientos_LtpPep!I64</f>
        <v>0</v>
      </c>
      <c r="L31" s="262">
        <f>+Movimientos_LtpPep!K64</f>
        <v>554.77800000000002</v>
      </c>
      <c r="M31" s="261">
        <f>K31+L31</f>
        <v>554.77800000000002</v>
      </c>
      <c r="N31" s="299">
        <f>+F47+G47</f>
        <v>534.05999999999995</v>
      </c>
      <c r="O31" s="261">
        <f>M31-N31</f>
        <v>20.718000000000075</v>
      </c>
      <c r="P31" s="266">
        <f t="shared" si="93"/>
        <v>0.96265533240323142</v>
      </c>
      <c r="Q31" s="286">
        <f t="shared" si="3"/>
        <v>0</v>
      </c>
      <c r="R31" s="283">
        <f t="shared" si="4"/>
        <v>554.77800000000002</v>
      </c>
      <c r="S31" s="287">
        <f>Q31+R31</f>
        <v>554.77800000000002</v>
      </c>
      <c r="T31" s="288">
        <f t="shared" si="20"/>
        <v>534.05999999999995</v>
      </c>
      <c r="U31" s="268">
        <f t="shared" si="9"/>
        <v>20.718000000000075</v>
      </c>
      <c r="V31" s="270">
        <v>0</v>
      </c>
      <c r="W31" s="716">
        <f>Q31+Q32</f>
        <v>0</v>
      </c>
      <c r="X31" s="701">
        <f>R31+R32</f>
        <v>554.77800000000002</v>
      </c>
      <c r="Y31" s="702">
        <f t="shared" ref="Y31" si="99">W31+X31</f>
        <v>554.77800000000002</v>
      </c>
      <c r="Z31" s="717">
        <f>T31+T32</f>
        <v>534.05999999999995</v>
      </c>
      <c r="AA31" s="702">
        <f t="shared" ref="AA31" si="100">Y31-Z31</f>
        <v>20.718000000000075</v>
      </c>
      <c r="AB31" s="713">
        <f t="shared" ref="AB31" si="101">Z31/Y31</f>
        <v>0.96265533240323142</v>
      </c>
    </row>
    <row r="32" spans="1:28" s="271" customFormat="1" ht="20.100000000000001" customHeight="1">
      <c r="A32" s="411"/>
      <c r="B32" s="698"/>
      <c r="C32" s="699"/>
      <c r="D32" s="260" t="s">
        <v>10</v>
      </c>
      <c r="E32" s="261">
        <f>+Movimientos_LtpPep!H65</f>
        <v>0</v>
      </c>
      <c r="F32" s="262">
        <f>+Movimientos_LtpPep!J65</f>
        <v>0</v>
      </c>
      <c r="G32" s="296">
        <f>E32+F32+I31</f>
        <v>0</v>
      </c>
      <c r="H32" s="298"/>
      <c r="I32" s="296">
        <f t="shared" si="90"/>
        <v>0</v>
      </c>
      <c r="J32" s="275">
        <v>0</v>
      </c>
      <c r="K32" s="265">
        <f>+Movimientos_LtpPep!I65</f>
        <v>0</v>
      </c>
      <c r="L32" s="262">
        <f>+Movimientos_LtpPep!K65</f>
        <v>0</v>
      </c>
      <c r="M32" s="272">
        <f t="shared" ref="M32" si="102">K32+L32+O31</f>
        <v>20.718000000000075</v>
      </c>
      <c r="N32" s="298"/>
      <c r="O32" s="272">
        <f t="shared" si="18"/>
        <v>20.718000000000075</v>
      </c>
      <c r="P32" s="277">
        <f t="shared" si="93"/>
        <v>0</v>
      </c>
      <c r="Q32" s="267">
        <f t="shared" si="3"/>
        <v>0</v>
      </c>
      <c r="R32" s="273">
        <f t="shared" si="4"/>
        <v>0</v>
      </c>
      <c r="S32" s="268">
        <f>Q32+R32+U31</f>
        <v>20.718000000000075</v>
      </c>
      <c r="T32" s="269">
        <f t="shared" si="20"/>
        <v>0</v>
      </c>
      <c r="U32" s="279">
        <f t="shared" si="9"/>
        <v>20.718000000000075</v>
      </c>
      <c r="V32" s="281">
        <v>0</v>
      </c>
      <c r="W32" s="716"/>
      <c r="X32" s="701"/>
      <c r="Y32" s="702"/>
      <c r="Z32" s="717"/>
      <c r="AA32" s="702"/>
      <c r="AB32" s="713"/>
    </row>
    <row r="33" spans="1:28" s="271" customFormat="1" ht="20.100000000000001" customHeight="1">
      <c r="A33" s="411"/>
      <c r="B33" s="698"/>
      <c r="C33" s="699" t="str">
        <f>+Movimientos_LtpPep!B66</f>
        <v>PESQUERA CMK LTDA.</v>
      </c>
      <c r="D33" s="320" t="s">
        <v>12</v>
      </c>
      <c r="E33" s="261">
        <f>+Movimientos_LtpPep!H66</f>
        <v>0</v>
      </c>
      <c r="F33" s="262">
        <f>+Movimientos_LtpPep!J66</f>
        <v>45.924999999999997</v>
      </c>
      <c r="G33" s="290">
        <f>E33+F33</f>
        <v>45.924999999999997</v>
      </c>
      <c r="H33" s="285"/>
      <c r="I33" s="290">
        <f t="shared" ref="I33:I34" si="103">G33-H33</f>
        <v>45.924999999999997</v>
      </c>
      <c r="J33" s="292">
        <v>0</v>
      </c>
      <c r="K33" s="265">
        <f>+Movimientos_LtpPep!I66</f>
        <v>0</v>
      </c>
      <c r="L33" s="262">
        <f>+Movimientos_LtpPep!K66</f>
        <v>148.71349999999998</v>
      </c>
      <c r="M33" s="261">
        <f>K33+L33</f>
        <v>148.71349999999998</v>
      </c>
      <c r="N33" s="285"/>
      <c r="O33" s="261">
        <f>M33-N33</f>
        <v>148.71349999999998</v>
      </c>
      <c r="P33" s="266">
        <f t="shared" ref="P33:P34" si="104">N33/M33</f>
        <v>0</v>
      </c>
      <c r="Q33" s="286">
        <f t="shared" ref="Q33:Q34" si="105">+E33+K33</f>
        <v>0</v>
      </c>
      <c r="R33" s="283">
        <f t="shared" ref="R33:R34" si="106">F33+L33</f>
        <v>194.63849999999996</v>
      </c>
      <c r="S33" s="287">
        <f>Q33+R33</f>
        <v>194.63849999999996</v>
      </c>
      <c r="T33" s="288">
        <f t="shared" ref="T33:T34" si="107">H33+N33</f>
        <v>0</v>
      </c>
      <c r="U33" s="268">
        <f t="shared" ref="U33:U34" si="108">S33-T33</f>
        <v>194.63849999999996</v>
      </c>
      <c r="V33" s="270">
        <v>0</v>
      </c>
      <c r="W33" s="716">
        <f>Q33+Q34</f>
        <v>0</v>
      </c>
      <c r="X33" s="701">
        <f>R33+R34</f>
        <v>194.63849999999996</v>
      </c>
      <c r="Y33" s="702">
        <f t="shared" ref="Y33" si="109">W33+X33</f>
        <v>194.63849999999996</v>
      </c>
      <c r="Z33" s="717">
        <f>T33+T34</f>
        <v>0</v>
      </c>
      <c r="AA33" s="702">
        <f t="shared" ref="AA33" si="110">Y33-Z33</f>
        <v>194.63849999999996</v>
      </c>
      <c r="AB33" s="713">
        <f t="shared" ref="AB33" si="111">Z33/Y33</f>
        <v>0</v>
      </c>
    </row>
    <row r="34" spans="1:28" s="271" customFormat="1" ht="20.100000000000001" customHeight="1">
      <c r="A34" s="411"/>
      <c r="B34" s="698"/>
      <c r="C34" s="699"/>
      <c r="D34" s="320" t="s">
        <v>10</v>
      </c>
      <c r="E34" s="261">
        <f>+Movimientos_LtpPep!H67</f>
        <v>0</v>
      </c>
      <c r="F34" s="262">
        <f>+Movimientos_LtpPep!J67</f>
        <v>0</v>
      </c>
      <c r="G34" s="296">
        <f>E34+F34+I33</f>
        <v>45.924999999999997</v>
      </c>
      <c r="H34" s="298"/>
      <c r="I34" s="296">
        <f t="shared" si="103"/>
        <v>45.924999999999997</v>
      </c>
      <c r="J34" s="275">
        <v>0</v>
      </c>
      <c r="K34" s="265">
        <f>+Movimientos_LtpPep!I67</f>
        <v>0</v>
      </c>
      <c r="L34" s="262">
        <f>+Movimientos_LtpPep!K67</f>
        <v>0</v>
      </c>
      <c r="M34" s="272">
        <f t="shared" ref="M34" si="112">K34+L34+O33</f>
        <v>148.71349999999998</v>
      </c>
      <c r="N34" s="276"/>
      <c r="O34" s="272">
        <f t="shared" ref="O34" si="113">M34-N34</f>
        <v>148.71349999999998</v>
      </c>
      <c r="P34" s="277">
        <f t="shared" si="104"/>
        <v>0</v>
      </c>
      <c r="Q34" s="267">
        <f t="shared" si="105"/>
        <v>0</v>
      </c>
      <c r="R34" s="273">
        <f t="shared" si="106"/>
        <v>0</v>
      </c>
      <c r="S34" s="268">
        <f>Q34+R34+U33</f>
        <v>194.63849999999996</v>
      </c>
      <c r="T34" s="269">
        <f t="shared" si="107"/>
        <v>0</v>
      </c>
      <c r="U34" s="279">
        <f t="shared" si="108"/>
        <v>194.63849999999996</v>
      </c>
      <c r="V34" s="281">
        <v>0</v>
      </c>
      <c r="W34" s="716"/>
      <c r="X34" s="701"/>
      <c r="Y34" s="702"/>
      <c r="Z34" s="717"/>
      <c r="AA34" s="702"/>
      <c r="AB34" s="713"/>
    </row>
    <row r="35" spans="1:28" s="271" customFormat="1" ht="20.100000000000001" customHeight="1">
      <c r="A35" s="411"/>
      <c r="B35" s="698"/>
      <c r="C35" s="722" t="s">
        <v>187</v>
      </c>
      <c r="D35" s="260" t="s">
        <v>12</v>
      </c>
      <c r="E35" s="300">
        <f>+E7+E9+E11+E13+E15+E19+E21+E23+E25+E27+E29+E31+E17+E33</f>
        <v>985.05018909</v>
      </c>
      <c r="F35" s="300">
        <f>+F7+F9+F11+F13+F15+F19+F21+F23+F25+F27+F29+F31+F17+F33</f>
        <v>0</v>
      </c>
      <c r="G35" s="300">
        <f>+E35+F35</f>
        <v>985.05018909</v>
      </c>
      <c r="H35" s="300">
        <f>+H7+H9+H11+H13+H15+H19+H21+H23+H25+H27+H29+H31+H17+H33</f>
        <v>673.39699999999993</v>
      </c>
      <c r="I35" s="300">
        <f>G35-H35</f>
        <v>311.65318909000007</v>
      </c>
      <c r="J35" s="301">
        <f>H35/G35</f>
        <v>0.68361694404839546</v>
      </c>
      <c r="K35" s="321">
        <f>+K7+K9+K11+K13+K15+K19+K21+K23+K25+K27+K29+K31+K17+K33</f>
        <v>3189.970612346001</v>
      </c>
      <c r="L35" s="321">
        <f>+L7+L9+L11+L13+L15+L19+L21+L23+L25+L27+L29+L31+L17+L33</f>
        <v>0</v>
      </c>
      <c r="M35" s="302">
        <f>+K35+L35</f>
        <v>3189.970612346001</v>
      </c>
      <c r="N35" s="321">
        <f>+N7+N9+N11+N13+N15+N19+N21+N23+N25+N27+N29+N31+N17+N33</f>
        <v>2596.2880000000014</v>
      </c>
      <c r="O35" s="303">
        <f>M35-N35</f>
        <v>593.68261234599959</v>
      </c>
      <c r="P35" s="304">
        <f>N35/M35</f>
        <v>0.81389088349331618</v>
      </c>
      <c r="Q35" s="300">
        <f>+Q7+Q9+Q11+Q13+Q15+Q19+Q21+Q23+Q25+Q27+Q29+Q31+Q17</f>
        <v>4175.0208014359996</v>
      </c>
      <c r="R35" s="300">
        <f>+R7+R9+R11+R13+R15+R19+R21+R23+R25+R27+R29+R31+R17</f>
        <v>-194.63849999999991</v>
      </c>
      <c r="S35" s="305">
        <f>+Q35+R35</f>
        <v>3980.3823014359996</v>
      </c>
      <c r="T35" s="300">
        <f>+T7+T9+T11+T13+T15+T19+T21+T23+T25+T27+T29+T31+T17</f>
        <v>3269.6850000000013</v>
      </c>
      <c r="U35" s="305">
        <f>S35-T35</f>
        <v>710.69730143599827</v>
      </c>
      <c r="V35" s="306">
        <f>T35/S35</f>
        <v>0.82144998957019766</v>
      </c>
      <c r="W35" s="723">
        <f>SUM(W7:W34)</f>
        <v>4638.6908904419997</v>
      </c>
      <c r="X35" s="723">
        <f>SUM(X7:X34)</f>
        <v>0</v>
      </c>
      <c r="Y35" s="723">
        <f>+W35+X35</f>
        <v>4638.6908904419997</v>
      </c>
      <c r="Z35" s="724">
        <f>SUM(Z7:Z34)</f>
        <v>3269.6850000000013</v>
      </c>
      <c r="AA35" s="723">
        <f>SUM(AA7:AA34)</f>
        <v>1369.0058904419982</v>
      </c>
      <c r="AB35" s="725">
        <f>Z35/Y35</f>
        <v>0.70487236102262629</v>
      </c>
    </row>
    <row r="36" spans="1:28" s="271" customFormat="1" ht="25.95" customHeight="1">
      <c r="A36" s="411"/>
      <c r="B36" s="698"/>
      <c r="C36" s="722"/>
      <c r="D36" s="260" t="s">
        <v>10</v>
      </c>
      <c r="E36" s="321">
        <f>+E8+E10+E12+E14+E16+E20+E22+E24+E26+E28+E30+E32+E18+E34</f>
        <v>109.45002100999999</v>
      </c>
      <c r="F36" s="321">
        <f>+F8+F10+F12+F14+F16+F20+F22+F24+F26+F28+F30+F32+F18+F34</f>
        <v>0</v>
      </c>
      <c r="G36" s="307">
        <f>E36+F36+I35</f>
        <v>421.10321010000007</v>
      </c>
      <c r="H36" s="321">
        <f>+H8+H10+H12+H14+H16+H20+H22+H24+H26+H28+H30+H32+H18+H34</f>
        <v>0</v>
      </c>
      <c r="I36" s="300">
        <f>G36-H36</f>
        <v>421.10321010000007</v>
      </c>
      <c r="J36" s="301">
        <f>H36/G36</f>
        <v>0</v>
      </c>
      <c r="K36" s="321">
        <f>+K8+K10+K12+K14+K16+K20+K22+K24+K26+K28+K30+K32+K18+K34</f>
        <v>354.22006799600001</v>
      </c>
      <c r="L36" s="321">
        <f>+L8+L10+L12+L14+L16+L20+L22+L24+L26+L28+L30+L32+L18+L34</f>
        <v>0</v>
      </c>
      <c r="M36" s="308">
        <f>K36+L36+O35</f>
        <v>947.9026803419996</v>
      </c>
      <c r="N36" s="321">
        <f>+N8+N10+N12+N14+N16+N20+N22+N24+N26+N28+N30+N32+N18+N34</f>
        <v>0</v>
      </c>
      <c r="O36" s="303">
        <f>M36-N36</f>
        <v>947.9026803419996</v>
      </c>
      <c r="P36" s="304">
        <f>N36/M36</f>
        <v>0</v>
      </c>
      <c r="Q36" s="300">
        <f>+Q8+Q10+Q12+Q14+Q16+Q20+Q22+Q24+Q26+Q28+Q30+Q32+Q18</f>
        <v>463.67008900600007</v>
      </c>
      <c r="R36" s="300">
        <f>+R8+R10+R12+R14+R16+R20+R22+R24+R26+R28+R30+R32+R18</f>
        <v>0</v>
      </c>
      <c r="S36" s="309">
        <f>Q36+R36+U35</f>
        <v>1174.3673904419984</v>
      </c>
      <c r="T36" s="300">
        <f>+T8+T10+T12+T14+T16+T20+T22+T24+T26+T28+T30+T32+T18</f>
        <v>0</v>
      </c>
      <c r="U36" s="305">
        <f>S36-T36</f>
        <v>1174.3673904419984</v>
      </c>
      <c r="V36" s="306">
        <f>T36/S36</f>
        <v>0</v>
      </c>
      <c r="W36" s="723"/>
      <c r="X36" s="723"/>
      <c r="Y36" s="723"/>
      <c r="Z36" s="724"/>
      <c r="AA36" s="723"/>
      <c r="AB36" s="725"/>
    </row>
    <row r="37" spans="1:28" s="271" customFormat="1" ht="21" customHeight="1">
      <c r="A37" s="411"/>
      <c r="B37" s="324" t="s">
        <v>61</v>
      </c>
      <c r="C37" s="325"/>
      <c r="D37" s="325"/>
      <c r="E37" s="325"/>
      <c r="F37" s="326"/>
      <c r="G37" s="325"/>
      <c r="H37" s="327"/>
      <c r="I37" s="325"/>
      <c r="J37" s="325"/>
      <c r="Y37" s="328"/>
      <c r="Z37" s="332"/>
    </row>
    <row r="38" spans="1:28" s="271" customFormat="1" ht="21" customHeight="1">
      <c r="A38" s="411"/>
      <c r="B38" s="324"/>
      <c r="C38" s="325"/>
      <c r="D38" s="325"/>
      <c r="E38" s="325"/>
      <c r="F38" s="326"/>
      <c r="G38" s="325"/>
      <c r="H38" s="329"/>
      <c r="I38" s="325"/>
      <c r="J38" s="325"/>
      <c r="N38" s="330"/>
    </row>
    <row r="39" spans="1:28" s="271" customFormat="1" ht="12.6">
      <c r="A39" s="411"/>
      <c r="B39" s="324" t="s">
        <v>60</v>
      </c>
      <c r="N39" s="330"/>
    </row>
    <row r="40" spans="1:28" s="271" customFormat="1" ht="12.6">
      <c r="A40" s="411"/>
      <c r="B40" s="331" t="s">
        <v>62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Z40" s="332"/>
    </row>
    <row r="41" spans="1:28" s="271" customFormat="1" ht="17.399999999999999" customHeight="1">
      <c r="A41" s="411"/>
      <c r="H41" s="332"/>
      <c r="I41" s="331"/>
      <c r="J41" s="331"/>
      <c r="K41" s="331"/>
      <c r="L41" s="331"/>
      <c r="N41" s="333"/>
    </row>
    <row r="42" spans="1:28" s="271" customFormat="1">
      <c r="A42" s="411"/>
      <c r="C42" s="501" t="s">
        <v>188</v>
      </c>
      <c r="D42" s="504">
        <v>5</v>
      </c>
      <c r="E42" s="506">
        <v>6</v>
      </c>
      <c r="F42" s="504">
        <v>7</v>
      </c>
      <c r="G42" s="505">
        <v>8</v>
      </c>
      <c r="H42" s="334" t="s">
        <v>132</v>
      </c>
      <c r="I42" s="331"/>
      <c r="J42" s="331"/>
      <c r="K42" s="331"/>
      <c r="L42" s="331"/>
    </row>
    <row r="43" spans="1:28" s="271" customFormat="1">
      <c r="A43" s="411"/>
      <c r="C43" s="502" t="s">
        <v>28</v>
      </c>
      <c r="D43" s="515">
        <v>245.41</v>
      </c>
      <c r="E43" s="516">
        <v>27.240000000000002</v>
      </c>
      <c r="F43" s="516"/>
      <c r="G43" s="516"/>
      <c r="H43" s="415">
        <f>SUM(D43:G43)</f>
        <v>272.64999999999998</v>
      </c>
      <c r="I43" s="419"/>
      <c r="J43" s="331"/>
      <c r="K43" s="331"/>
      <c r="L43" s="331"/>
    </row>
    <row r="44" spans="1:28" s="271" customFormat="1">
      <c r="A44" s="411"/>
      <c r="C44" s="503" t="s">
        <v>71</v>
      </c>
      <c r="D44" s="517">
        <v>51.834000000000003</v>
      </c>
      <c r="E44" s="394"/>
      <c r="F44" s="394"/>
      <c r="G44" s="394"/>
      <c r="H44" s="415">
        <f t="shared" ref="H44:H47" si="114">SUM(D44:G44)</f>
        <v>51.834000000000003</v>
      </c>
      <c r="I44" s="419"/>
      <c r="J44" s="331"/>
      <c r="K44" s="331"/>
      <c r="L44" s="331"/>
    </row>
    <row r="45" spans="1:28" s="271" customFormat="1">
      <c r="A45" s="411"/>
      <c r="C45" s="414" t="s">
        <v>189</v>
      </c>
      <c r="D45" s="515">
        <v>192.99999999999997</v>
      </c>
      <c r="E45" s="516"/>
      <c r="F45" s="516">
        <v>589.88100000000043</v>
      </c>
      <c r="G45" s="516">
        <v>1313.2380000000012</v>
      </c>
      <c r="H45" s="415">
        <f t="shared" si="114"/>
        <v>2096.1190000000015</v>
      </c>
      <c r="I45" s="419"/>
      <c r="J45" s="331"/>
      <c r="K45" s="331"/>
      <c r="L45" s="331"/>
    </row>
    <row r="46" spans="1:28" s="271" customFormat="1">
      <c r="A46" s="411"/>
      <c r="C46" s="414" t="s">
        <v>133</v>
      </c>
      <c r="D46" s="515">
        <v>155.91300000000001</v>
      </c>
      <c r="E46" s="516"/>
      <c r="F46" s="516">
        <v>130.19900000000001</v>
      </c>
      <c r="G46" s="516">
        <v>28.910000000000004</v>
      </c>
      <c r="H46" s="415">
        <f t="shared" si="114"/>
        <v>315.02200000000005</v>
      </c>
      <c r="I46" s="420"/>
      <c r="J46" s="331"/>
      <c r="K46" s="331"/>
      <c r="L46" s="331"/>
    </row>
    <row r="47" spans="1:28" s="271" customFormat="1">
      <c r="A47" s="411"/>
      <c r="C47" s="421" t="s">
        <v>219</v>
      </c>
      <c r="D47" s="471"/>
      <c r="E47" s="518"/>
      <c r="F47" s="810">
        <v>401.26899999999989</v>
      </c>
      <c r="G47" s="810">
        <v>132.79100000000003</v>
      </c>
      <c r="H47" s="415">
        <f t="shared" si="114"/>
        <v>534.05999999999995</v>
      </c>
      <c r="I47" s="419"/>
      <c r="J47" s="331"/>
      <c r="K47" s="331"/>
      <c r="L47" s="331"/>
    </row>
    <row r="48" spans="1:28" s="271" customFormat="1" ht="13.2">
      <c r="A48" s="411"/>
      <c r="C48" s="416"/>
      <c r="D48" s="417">
        <f t="shared" ref="D48:F48" si="115">SUM(D43:D47)</f>
        <v>646.15700000000004</v>
      </c>
      <c r="E48" s="472">
        <f t="shared" si="115"/>
        <v>27.240000000000002</v>
      </c>
      <c r="F48" s="418">
        <f t="shared" si="115"/>
        <v>1121.3490000000002</v>
      </c>
      <c r="G48" s="472">
        <f>SUM(G43:G47)</f>
        <v>1474.9390000000012</v>
      </c>
      <c r="H48" s="473">
        <f>SUM(H43:H47)</f>
        <v>3269.6850000000013</v>
      </c>
      <c r="I48" s="422">
        <f>+H48-Z35</f>
        <v>0</v>
      </c>
      <c r="J48" s="407"/>
      <c r="K48" s="331"/>
      <c r="L48" s="331"/>
    </row>
    <row r="49" spans="1:12" s="271" customFormat="1" ht="14.4" customHeight="1">
      <c r="A49" s="412"/>
      <c r="C49" s="423"/>
      <c r="D49" s="718">
        <f>+D48+E48</f>
        <v>673.39700000000005</v>
      </c>
      <c r="E49" s="718"/>
      <c r="F49" s="721">
        <f>+F48+G48</f>
        <v>2596.2880000000014</v>
      </c>
      <c r="G49" s="718"/>
      <c r="H49" s="423"/>
      <c r="I49" s="424"/>
      <c r="J49" s="407"/>
      <c r="K49" s="331"/>
      <c r="L49" s="331"/>
    </row>
    <row r="50" spans="1:12" s="271" customFormat="1" ht="13.2">
      <c r="A50" s="412"/>
      <c r="C50" s="423"/>
      <c r="D50" s="719">
        <f>+D49-H35</f>
        <v>0</v>
      </c>
      <c r="E50" s="718"/>
      <c r="F50" s="720">
        <f>+F49-N35</f>
        <v>0</v>
      </c>
      <c r="G50" s="718"/>
      <c r="H50" s="423"/>
      <c r="I50" s="424"/>
      <c r="J50" s="407"/>
      <c r="K50" s="331"/>
      <c r="L50" s="331"/>
    </row>
    <row r="51" spans="1:12" s="271" customFormat="1" ht="13.2">
      <c r="A51" s="412"/>
      <c r="C51" s="423"/>
      <c r="D51" s="423"/>
      <c r="E51" s="423"/>
      <c r="F51" s="423"/>
      <c r="G51" s="423"/>
      <c r="H51" s="423"/>
      <c r="I51" s="424"/>
      <c r="J51" s="407"/>
      <c r="K51" s="331"/>
      <c r="L51" s="331"/>
    </row>
    <row r="52" spans="1:12" s="271" customFormat="1" ht="12.6">
      <c r="A52" s="412"/>
      <c r="I52" s="407"/>
      <c r="J52" s="407"/>
      <c r="K52" s="331"/>
      <c r="L52" s="331"/>
    </row>
    <row r="53" spans="1:12" s="271" customFormat="1" ht="12.6">
      <c r="A53" s="412"/>
    </row>
    <row r="54" spans="1:12" s="271" customFormat="1" ht="12.6">
      <c r="A54" s="412"/>
    </row>
    <row r="55" spans="1:12" s="271" customFormat="1" ht="12.6">
      <c r="A55" s="412"/>
    </row>
    <row r="56" spans="1:12" s="271" customFormat="1" ht="12.6">
      <c r="A56" s="412"/>
    </row>
    <row r="57" spans="1:12" s="271" customFormat="1" ht="12.6">
      <c r="A57" s="412"/>
    </row>
    <row r="58" spans="1:12" s="271" customFormat="1" ht="12.6">
      <c r="A58" s="412"/>
    </row>
    <row r="59" spans="1:12" s="271" customFormat="1" ht="12.6">
      <c r="A59" s="412"/>
    </row>
    <row r="60" spans="1:12" s="271" customFormat="1" ht="12.6">
      <c r="A60" s="412"/>
    </row>
    <row r="61" spans="1:12" s="271" customFormat="1" ht="12.6">
      <c r="A61" s="412"/>
    </row>
    <row r="62" spans="1:12" s="271" customFormat="1" ht="12.6">
      <c r="A62" s="412"/>
    </row>
    <row r="63" spans="1:12" s="271" customFormat="1" ht="12.6">
      <c r="A63" s="412"/>
    </row>
    <row r="64" spans="1:12" s="271" customFormat="1" ht="12.6">
      <c r="A64" s="412"/>
    </row>
    <row r="65" spans="1:1" s="271" customFormat="1" ht="12.6">
      <c r="A65" s="412"/>
    </row>
    <row r="66" spans="1:1" s="271" customFormat="1" ht="12.6">
      <c r="A66" s="412"/>
    </row>
    <row r="67" spans="1:1" s="271" customFormat="1" ht="12.6">
      <c r="A67" s="412"/>
    </row>
    <row r="68" spans="1:1" s="271" customFormat="1" ht="12.6">
      <c r="A68" s="412"/>
    </row>
    <row r="69" spans="1:1" s="271" customFormat="1" ht="12.6">
      <c r="A69" s="412"/>
    </row>
    <row r="70" spans="1:1" s="271" customFormat="1" ht="12.6">
      <c r="A70" s="412"/>
    </row>
    <row r="71" spans="1:1" s="271" customFormat="1" ht="12.6">
      <c r="A71" s="412"/>
    </row>
    <row r="72" spans="1:1" s="271" customFormat="1" ht="12.6">
      <c r="A72" s="412"/>
    </row>
    <row r="73" spans="1:1" s="271" customFormat="1" ht="12.6">
      <c r="A73" s="412"/>
    </row>
    <row r="74" spans="1:1" s="271" customFormat="1" ht="12.6">
      <c r="A74" s="412"/>
    </row>
    <row r="75" spans="1:1" s="271" customFormat="1" ht="12.6">
      <c r="A75" s="412"/>
    </row>
    <row r="76" spans="1:1" s="271" customFormat="1" ht="12.6">
      <c r="A76" s="412"/>
    </row>
    <row r="77" spans="1:1" s="271" customFormat="1" ht="12.6">
      <c r="A77" s="412"/>
    </row>
    <row r="78" spans="1:1" s="271" customFormat="1" ht="12.6">
      <c r="A78" s="412"/>
    </row>
    <row r="79" spans="1:1" s="271" customFormat="1" ht="12.6">
      <c r="A79" s="412"/>
    </row>
    <row r="80" spans="1:1" s="271" customFormat="1" ht="12.6">
      <c r="A80" s="412"/>
    </row>
    <row r="81" spans="1:1" s="271" customFormat="1" ht="12.6">
      <c r="A81" s="412"/>
    </row>
    <row r="82" spans="1:1" s="271" customFormat="1" ht="12.6">
      <c r="A82" s="412"/>
    </row>
    <row r="83" spans="1:1" s="271" customFormat="1" ht="12.6">
      <c r="A83" s="412"/>
    </row>
    <row r="84" spans="1:1" s="271" customFormat="1" ht="12.6">
      <c r="A84" s="412"/>
    </row>
    <row r="85" spans="1:1" s="271" customFormat="1" ht="12.6">
      <c r="A85" s="412"/>
    </row>
    <row r="86" spans="1:1" s="271" customFormat="1" ht="12.6">
      <c r="A86" s="412"/>
    </row>
    <row r="87" spans="1:1" s="271" customFormat="1" ht="12.6">
      <c r="A87" s="412"/>
    </row>
    <row r="88" spans="1:1" s="271" customFormat="1" ht="12.6">
      <c r="A88" s="412"/>
    </row>
    <row r="89" spans="1:1" s="271" customFormat="1" ht="12.6">
      <c r="A89" s="412"/>
    </row>
    <row r="90" spans="1:1" s="271" customFormat="1" ht="12.6">
      <c r="A90" s="412"/>
    </row>
    <row r="91" spans="1:1" s="271" customFormat="1" ht="12.6">
      <c r="A91" s="412"/>
    </row>
    <row r="92" spans="1:1" s="271" customFormat="1" ht="12.6">
      <c r="A92" s="412"/>
    </row>
    <row r="93" spans="1:1" s="271" customFormat="1" ht="12.6">
      <c r="A93" s="412"/>
    </row>
    <row r="94" spans="1:1" s="271" customFormat="1" ht="12.6">
      <c r="A94" s="412"/>
    </row>
    <row r="95" spans="1:1" s="271" customFormat="1" ht="12.6">
      <c r="A95" s="412"/>
    </row>
    <row r="96" spans="1:1" s="271" customFormat="1" ht="12.6">
      <c r="A96" s="412"/>
    </row>
    <row r="97" spans="1:1" s="271" customFormat="1" ht="12.6">
      <c r="A97" s="412"/>
    </row>
    <row r="98" spans="1:1" s="271" customFormat="1" ht="12.6">
      <c r="A98" s="412"/>
    </row>
    <row r="99" spans="1:1" s="271" customFormat="1" ht="12.6">
      <c r="A99" s="412"/>
    </row>
    <row r="100" spans="1:1" s="271" customFormat="1" ht="12.6">
      <c r="A100" s="412"/>
    </row>
    <row r="101" spans="1:1" s="271" customFormat="1" ht="12.6">
      <c r="A101" s="412"/>
    </row>
    <row r="102" spans="1:1" s="271" customFormat="1" ht="12.6">
      <c r="A102" s="412"/>
    </row>
  </sheetData>
  <mergeCells count="119">
    <mergeCell ref="D50:E50"/>
    <mergeCell ref="F50:G50"/>
    <mergeCell ref="F49:G49"/>
    <mergeCell ref="AA31:AA32"/>
    <mergeCell ref="AB31:AB32"/>
    <mergeCell ref="C35:C36"/>
    <mergeCell ref="W35:W36"/>
    <mergeCell ref="X35:X36"/>
    <mergeCell ref="Y35:Y36"/>
    <mergeCell ref="Z35:Z36"/>
    <mergeCell ref="AA35:AA36"/>
    <mergeCell ref="AB35:AB36"/>
    <mergeCell ref="C31:C32"/>
    <mergeCell ref="W31:W32"/>
    <mergeCell ref="X31:X32"/>
    <mergeCell ref="Y31:Y32"/>
    <mergeCell ref="Z31:Z32"/>
    <mergeCell ref="C33:C34"/>
    <mergeCell ref="W33:W34"/>
    <mergeCell ref="X33:X34"/>
    <mergeCell ref="Y33:Y34"/>
    <mergeCell ref="Z33:Z34"/>
    <mergeCell ref="AA33:AA34"/>
    <mergeCell ref="AB33:AB34"/>
    <mergeCell ref="D49:E49"/>
    <mergeCell ref="AA27:AA28"/>
    <mergeCell ref="AB27:AB28"/>
    <mergeCell ref="C29:C30"/>
    <mergeCell ref="W29:W30"/>
    <mergeCell ref="X29:X30"/>
    <mergeCell ref="Y29:Y30"/>
    <mergeCell ref="Z29:Z30"/>
    <mergeCell ref="AA29:AA30"/>
    <mergeCell ref="AB29:AB30"/>
    <mergeCell ref="C27:C28"/>
    <mergeCell ref="W27:W28"/>
    <mergeCell ref="X27:X28"/>
    <mergeCell ref="Y27:Y28"/>
    <mergeCell ref="Z27:Z28"/>
    <mergeCell ref="AA23:AA24"/>
    <mergeCell ref="AB23:AB24"/>
    <mergeCell ref="C25:C26"/>
    <mergeCell ref="W25:W26"/>
    <mergeCell ref="X25:X26"/>
    <mergeCell ref="Y25:Y26"/>
    <mergeCell ref="Z25:Z26"/>
    <mergeCell ref="AA25:AA26"/>
    <mergeCell ref="AB25:AB26"/>
    <mergeCell ref="C23:C24"/>
    <mergeCell ref="W23:W24"/>
    <mergeCell ref="X23:X24"/>
    <mergeCell ref="Y23:Y24"/>
    <mergeCell ref="Z23:Z24"/>
    <mergeCell ref="C21:C22"/>
    <mergeCell ref="W21:W22"/>
    <mergeCell ref="X21:X22"/>
    <mergeCell ref="Y21:Y22"/>
    <mergeCell ref="Z21:Z22"/>
    <mergeCell ref="AA21:AA22"/>
    <mergeCell ref="AB21:AB22"/>
    <mergeCell ref="C19:C20"/>
    <mergeCell ref="W19:W20"/>
    <mergeCell ref="X19:X20"/>
    <mergeCell ref="Y19:Y20"/>
    <mergeCell ref="Z19:Z20"/>
    <mergeCell ref="C17:C18"/>
    <mergeCell ref="W17:W18"/>
    <mergeCell ref="X17:X18"/>
    <mergeCell ref="Y17:Y18"/>
    <mergeCell ref="Z17:Z18"/>
    <mergeCell ref="AA17:AA18"/>
    <mergeCell ref="AB17:AB18"/>
    <mergeCell ref="AA19:AA20"/>
    <mergeCell ref="AB19:AB20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AB11:AB12"/>
    <mergeCell ref="Z7:Z8"/>
    <mergeCell ref="AA7:AA8"/>
    <mergeCell ref="AB7:AB8"/>
    <mergeCell ref="C9:C10"/>
    <mergeCell ref="W9:W10"/>
    <mergeCell ref="X9:X10"/>
    <mergeCell ref="Y9:Y10"/>
    <mergeCell ref="Z9:Z10"/>
    <mergeCell ref="AA9:AA10"/>
    <mergeCell ref="B7:B36"/>
    <mergeCell ref="C7:C8"/>
    <mergeCell ref="W7:W8"/>
    <mergeCell ref="X7:X8"/>
    <mergeCell ref="Y7:Y8"/>
    <mergeCell ref="C13:C14"/>
    <mergeCell ref="W13:W14"/>
    <mergeCell ref="X13:X14"/>
    <mergeCell ref="B2:AB2"/>
    <mergeCell ref="B3:AB3"/>
    <mergeCell ref="B5:B6"/>
    <mergeCell ref="C5:C6"/>
    <mergeCell ref="D5:D6"/>
    <mergeCell ref="E5:J5"/>
    <mergeCell ref="K5:P5"/>
    <mergeCell ref="Q5:V5"/>
    <mergeCell ref="W5:AB5"/>
    <mergeCell ref="AB9:AB10"/>
    <mergeCell ref="C11:C12"/>
    <mergeCell ref="W11:W12"/>
    <mergeCell ref="X11:X12"/>
    <mergeCell ref="Y11:Y12"/>
    <mergeCell ref="Z11:Z12"/>
    <mergeCell ref="AA11:AA12"/>
  </mergeCells>
  <conditionalFormatting sqref="M35:M36 G35:G36 R7:R34 I7:I36 O7:O34 U7:U34 E7:G34 L7:M34">
    <cfRule type="cellIs" dxfId="9" priority="8" operator="lessThan">
      <formula>0</formula>
    </cfRule>
  </conditionalFormatting>
  <conditionalFormatting sqref="V7:V34 J7:J34 AB7:AB34 P7:P34">
    <cfRule type="cellIs" dxfId="8" priority="7" operator="greaterThan">
      <formula>0.8</formula>
    </cfRule>
  </conditionalFormatting>
  <conditionalFormatting sqref="R7:R34 F7:F34 L7:L34">
    <cfRule type="cellIs" dxfId="7" priority="6" operator="greaterThan">
      <formula>0</formula>
    </cfRule>
  </conditionalFormatting>
  <conditionalFormatting sqref="R7:R34 F7:F34 L7:L34">
    <cfRule type="cellIs" dxfId="6" priority="4" operator="greaterThan">
      <formula>0</formula>
    </cfRule>
    <cfRule type="cellIs" dxfId="5" priority="5" operator="lessThan">
      <formula>0</formula>
    </cfRule>
  </conditionalFormatting>
  <conditionalFormatting sqref="N7:N34">
    <cfRule type="dataBar" priority="3">
      <dataBar>
        <cfvo type="min" val="0"/>
        <cfvo type="max" val="0"/>
        <color rgb="FFFF555A"/>
      </dataBar>
    </cfRule>
  </conditionalFormatting>
  <conditionalFormatting sqref="H7:H34">
    <cfRule type="dataBar" priority="2">
      <dataBar>
        <cfvo type="min" val="0"/>
        <cfvo type="max" val="0"/>
        <color rgb="FFFF555A"/>
      </dataBar>
    </cfRule>
  </conditionalFormatting>
  <conditionalFormatting sqref="Z7:Z34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K22"/>
  <sheetViews>
    <sheetView showGridLines="0" zoomScale="90" zoomScaleNormal="90" workbookViewId="0">
      <selection activeCell="G24" sqref="G24"/>
    </sheetView>
  </sheetViews>
  <sheetFormatPr baseColWidth="10" defaultRowHeight="14.4"/>
  <cols>
    <col min="2" max="2" width="6.88671875" customWidth="1"/>
    <col min="3" max="3" width="23.44140625" customWidth="1"/>
    <col min="4" max="4" width="13.44140625" customWidth="1"/>
  </cols>
  <sheetData>
    <row r="1" spans="2:11" ht="36.6" customHeight="1" thickBot="1"/>
    <row r="2" spans="2:11" ht="29.4" customHeight="1" thickBot="1">
      <c r="C2" s="726" t="s">
        <v>215</v>
      </c>
      <c r="D2" s="727"/>
      <c r="E2" s="727"/>
      <c r="F2" s="727"/>
      <c r="G2" s="727"/>
      <c r="H2" s="727"/>
      <c r="I2" s="727"/>
      <c r="J2" s="727"/>
      <c r="K2" s="728"/>
    </row>
    <row r="3" spans="2:11" ht="29.4" customHeight="1" thickBot="1">
      <c r="C3" s="408" t="s">
        <v>204</v>
      </c>
      <c r="D3" s="508" t="s">
        <v>205</v>
      </c>
      <c r="E3" s="408" t="s">
        <v>206</v>
      </c>
      <c r="F3" s="508" t="s">
        <v>207</v>
      </c>
      <c r="G3" s="508" t="s">
        <v>208</v>
      </c>
      <c r="H3" s="508" t="s">
        <v>209</v>
      </c>
      <c r="I3" s="508" t="s">
        <v>210</v>
      </c>
      <c r="J3" s="508" t="s">
        <v>211</v>
      </c>
      <c r="K3" s="408" t="s">
        <v>200</v>
      </c>
    </row>
    <row r="4" spans="2:11">
      <c r="C4" s="519" t="s">
        <v>194</v>
      </c>
      <c r="D4" s="519" t="s">
        <v>131</v>
      </c>
      <c r="E4" s="524"/>
      <c r="F4" s="525">
        <v>8.5229999999999997</v>
      </c>
      <c r="G4" s="526"/>
      <c r="H4" s="526"/>
      <c r="I4" s="448"/>
      <c r="J4" s="448"/>
      <c r="K4" s="462">
        <f>SUM(E4:J4)</f>
        <v>8.5229999999999997</v>
      </c>
    </row>
    <row r="5" spans="2:11">
      <c r="C5" s="519" t="s">
        <v>142</v>
      </c>
      <c r="D5" s="519" t="s">
        <v>223</v>
      </c>
      <c r="E5" s="527"/>
      <c r="F5" s="528"/>
      <c r="G5" s="526"/>
      <c r="H5" s="526"/>
      <c r="I5" s="811">
        <v>3.5000000000000003E-2</v>
      </c>
      <c r="J5" s="448"/>
      <c r="K5" s="462">
        <f t="shared" ref="K5:K9" si="0">SUM(E5:J5)</f>
        <v>3.5000000000000003E-2</v>
      </c>
    </row>
    <row r="6" spans="2:11">
      <c r="C6" s="519" t="s">
        <v>142</v>
      </c>
      <c r="D6" s="519" t="s">
        <v>220</v>
      </c>
      <c r="E6" s="529"/>
      <c r="F6" s="528"/>
      <c r="G6" s="811">
        <v>0.56300000000000006</v>
      </c>
      <c r="H6" s="526"/>
      <c r="I6" s="448"/>
      <c r="J6" s="448"/>
      <c r="K6" s="462">
        <f t="shared" si="0"/>
        <v>0.56300000000000006</v>
      </c>
    </row>
    <row r="7" spans="2:11" ht="16.8" customHeight="1">
      <c r="C7" s="519" t="s">
        <v>189</v>
      </c>
      <c r="D7" s="519" t="s">
        <v>212</v>
      </c>
      <c r="E7" s="507"/>
      <c r="F7" s="450"/>
      <c r="G7" s="451"/>
      <c r="H7" s="451"/>
      <c r="I7" s="512">
        <v>0.51100000000000001</v>
      </c>
      <c r="J7" s="512">
        <v>0.79300000000000004</v>
      </c>
      <c r="K7" s="462">
        <f t="shared" si="0"/>
        <v>1.304</v>
      </c>
    </row>
    <row r="8" spans="2:11" ht="14.4" customHeight="1">
      <c r="C8" s="459"/>
      <c r="D8" s="509"/>
      <c r="E8" s="450"/>
      <c r="F8" s="453"/>
      <c r="G8" s="454"/>
      <c r="H8" s="447"/>
      <c r="I8" s="447"/>
      <c r="J8" s="447"/>
      <c r="K8" s="462">
        <f t="shared" si="0"/>
        <v>0</v>
      </c>
    </row>
    <row r="9" spans="2:11">
      <c r="C9" s="459"/>
      <c r="D9" s="460"/>
      <c r="E9" s="455"/>
      <c r="F9" s="456"/>
      <c r="G9" s="457"/>
      <c r="H9" s="458"/>
      <c r="I9" s="447"/>
      <c r="J9" s="447"/>
      <c r="K9" s="462">
        <f t="shared" si="0"/>
        <v>0</v>
      </c>
    </row>
    <row r="10" spans="2:11">
      <c r="C10" s="729" t="s">
        <v>213</v>
      </c>
      <c r="D10" s="730"/>
      <c r="E10" s="462">
        <f>SUM(E4:E9)</f>
        <v>0</v>
      </c>
      <c r="F10" s="462">
        <f>SUM(F4:F9)</f>
        <v>8.5229999999999997</v>
      </c>
      <c r="G10" s="462">
        <f>SUM(G4:G9)</f>
        <v>0.56300000000000006</v>
      </c>
      <c r="H10" s="462">
        <f t="shared" ref="H10:J10" si="1">SUM(H4:H9)</f>
        <v>0</v>
      </c>
      <c r="I10" s="462">
        <f t="shared" si="1"/>
        <v>0.54600000000000004</v>
      </c>
      <c r="J10" s="462">
        <f t="shared" si="1"/>
        <v>0.79300000000000004</v>
      </c>
      <c r="K10" s="462">
        <f>SUM(K4:K9)</f>
        <v>10.425000000000001</v>
      </c>
    </row>
    <row r="11" spans="2:11">
      <c r="C11" s="731" t="s">
        <v>218</v>
      </c>
      <c r="D11" s="731"/>
      <c r="E11" s="729">
        <f>+E10+F10</f>
        <v>8.5229999999999997</v>
      </c>
      <c r="F11" s="730"/>
      <c r="G11" s="729">
        <f>+G10+H10+I10+J10</f>
        <v>1.9020000000000001</v>
      </c>
      <c r="H11" s="735"/>
      <c r="I11" s="735"/>
      <c r="J11" s="730"/>
      <c r="K11" s="510"/>
    </row>
    <row r="12" spans="2:11" ht="15" thickBot="1"/>
    <row r="13" spans="2:11" ht="21.6" customHeight="1" thickBot="1">
      <c r="C13" s="726" t="s">
        <v>214</v>
      </c>
      <c r="D13" s="727"/>
      <c r="E13" s="727"/>
      <c r="F13" s="727"/>
      <c r="G13" s="727"/>
      <c r="H13" s="727"/>
      <c r="I13" s="727"/>
      <c r="J13" s="727"/>
      <c r="K13" s="728"/>
    </row>
    <row r="14" spans="2:11" ht="29.4" thickBot="1">
      <c r="C14" s="508" t="s">
        <v>204</v>
      </c>
      <c r="D14" s="408" t="s">
        <v>205</v>
      </c>
      <c r="E14" s="408" t="s">
        <v>206</v>
      </c>
      <c r="F14" s="408" t="s">
        <v>207</v>
      </c>
      <c r="G14" s="408" t="s">
        <v>208</v>
      </c>
      <c r="H14" s="408" t="s">
        <v>209</v>
      </c>
      <c r="I14" s="408" t="s">
        <v>210</v>
      </c>
      <c r="J14" s="408" t="s">
        <v>211</v>
      </c>
      <c r="K14" s="408" t="s">
        <v>200</v>
      </c>
    </row>
    <row r="15" spans="2:11">
      <c r="B15" s="500"/>
      <c r="C15" s="523" t="s">
        <v>194</v>
      </c>
      <c r="D15" s="520" t="s">
        <v>216</v>
      </c>
      <c r="E15" s="445"/>
      <c r="F15" s="446"/>
      <c r="G15" s="463">
        <v>0.02</v>
      </c>
      <c r="H15" s="447"/>
      <c r="I15" s="448"/>
      <c r="J15" s="448"/>
      <c r="K15" s="459">
        <f>SUM(E15:J15)</f>
        <v>0.02</v>
      </c>
    </row>
    <row r="16" spans="2:11">
      <c r="C16" s="523" t="s">
        <v>194</v>
      </c>
      <c r="D16" s="521"/>
      <c r="E16" s="445"/>
      <c r="F16" s="449"/>
      <c r="G16" s="447"/>
      <c r="H16" s="447"/>
      <c r="I16" s="448"/>
      <c r="J16" s="448"/>
      <c r="K16" s="459">
        <f t="shared" ref="K16:K20" si="2">SUM(E16:J16)</f>
        <v>0</v>
      </c>
    </row>
    <row r="17" spans="3:11">
      <c r="C17" s="523" t="s">
        <v>194</v>
      </c>
      <c r="D17" s="522"/>
      <c r="E17" s="449"/>
      <c r="F17" s="449"/>
      <c r="G17" s="447"/>
      <c r="H17" s="447"/>
      <c r="I17" s="448"/>
      <c r="J17" s="448"/>
      <c r="K17" s="459">
        <f t="shared" si="2"/>
        <v>0</v>
      </c>
    </row>
    <row r="18" spans="3:11" ht="14.4" customHeight="1">
      <c r="C18" s="523" t="s">
        <v>194</v>
      </c>
      <c r="D18" s="461"/>
      <c r="E18" s="450"/>
      <c r="F18" s="450"/>
      <c r="G18" s="451"/>
      <c r="H18" s="451"/>
      <c r="I18" s="452"/>
      <c r="J18" s="447"/>
      <c r="K18" s="459">
        <f t="shared" si="2"/>
        <v>0</v>
      </c>
    </row>
    <row r="19" spans="3:11">
      <c r="C19" s="523" t="s">
        <v>194</v>
      </c>
      <c r="D19" s="522"/>
      <c r="E19" s="450"/>
      <c r="F19" s="453"/>
      <c r="G19" s="454"/>
      <c r="H19" s="447"/>
      <c r="I19" s="447"/>
      <c r="J19" s="447"/>
      <c r="K19" s="459">
        <f t="shared" si="2"/>
        <v>0</v>
      </c>
    </row>
    <row r="20" spans="3:11">
      <c r="C20" s="523" t="s">
        <v>194</v>
      </c>
      <c r="D20" s="522"/>
      <c r="E20" s="455"/>
      <c r="F20" s="456"/>
      <c r="G20" s="457"/>
      <c r="H20" s="458"/>
      <c r="I20" s="447"/>
      <c r="J20" s="447"/>
      <c r="K20" s="459">
        <f t="shared" si="2"/>
        <v>0</v>
      </c>
    </row>
    <row r="21" spans="3:11">
      <c r="C21" s="729" t="s">
        <v>213</v>
      </c>
      <c r="D21" s="730"/>
      <c r="E21" s="462">
        <f t="shared" ref="E21:F21" si="3">SUM(E15:E20)</f>
        <v>0</v>
      </c>
      <c r="F21" s="462">
        <f t="shared" si="3"/>
        <v>0</v>
      </c>
      <c r="G21" s="462">
        <f>SUM(G15:G20)</f>
        <v>0.02</v>
      </c>
      <c r="H21" s="462">
        <f t="shared" ref="H21:J21" si="4">SUM(H15:H20)</f>
        <v>0</v>
      </c>
      <c r="I21" s="462">
        <f t="shared" si="4"/>
        <v>0</v>
      </c>
      <c r="J21" s="462">
        <f t="shared" si="4"/>
        <v>0</v>
      </c>
      <c r="K21" s="462">
        <f>SUM(K15:K20)</f>
        <v>0.02</v>
      </c>
    </row>
    <row r="22" spans="3:11">
      <c r="C22" s="731" t="s">
        <v>218</v>
      </c>
      <c r="D22" s="731"/>
      <c r="E22" s="732">
        <f>+E21+F21</f>
        <v>0</v>
      </c>
      <c r="F22" s="733"/>
      <c r="G22" s="732">
        <f>+G21+H21+I21+J21</f>
        <v>0.02</v>
      </c>
      <c r="H22" s="734"/>
      <c r="I22" s="734"/>
      <c r="J22" s="733"/>
      <c r="K22" s="195"/>
    </row>
  </sheetData>
  <mergeCells count="10">
    <mergeCell ref="C2:K2"/>
    <mergeCell ref="C10:D10"/>
    <mergeCell ref="C11:D11"/>
    <mergeCell ref="E11:F11"/>
    <mergeCell ref="G11:J11"/>
    <mergeCell ref="C13:K13"/>
    <mergeCell ref="C21:D21"/>
    <mergeCell ref="C22:D22"/>
    <mergeCell ref="E22:F22"/>
    <mergeCell ref="G22:J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84"/>
  <sheetViews>
    <sheetView topLeftCell="A4" zoomScale="78" zoomScaleNormal="78" workbookViewId="0">
      <selection activeCell="G31" sqref="G31"/>
    </sheetView>
  </sheetViews>
  <sheetFormatPr baseColWidth="10" defaultColWidth="12" defaultRowHeight="12" customHeight="1"/>
  <cols>
    <col min="1" max="1" width="8.5546875" style="68" customWidth="1"/>
    <col min="2" max="2" width="13.88671875" style="68" customWidth="1"/>
    <col min="3" max="3" width="9.109375" style="68" customWidth="1"/>
    <col min="4" max="4" width="8.109375" style="68" customWidth="1"/>
    <col min="5" max="5" width="13.5546875" style="68" customWidth="1"/>
    <col min="6" max="6" width="13.88671875" style="68" customWidth="1"/>
    <col min="7" max="7" width="12.6640625" style="68" customWidth="1"/>
    <col min="8" max="8" width="13.44140625" style="68" customWidth="1"/>
    <col min="9" max="9" width="13.88671875" style="68" customWidth="1"/>
    <col min="10" max="10" width="13.109375" style="68" customWidth="1"/>
    <col min="11" max="11" width="11.5546875" style="68" customWidth="1"/>
    <col min="12" max="12" width="12.109375" style="68" customWidth="1"/>
    <col min="13" max="13" width="11.6640625" style="68" customWidth="1"/>
    <col min="14" max="14" width="9.33203125" style="68" hidden="1" customWidth="1"/>
    <col min="15" max="15" width="12.33203125" style="68" customWidth="1"/>
    <col min="16" max="16" width="12" style="68"/>
    <col min="17" max="17" width="12" style="68" customWidth="1"/>
    <col min="18" max="18" width="11.5546875" style="68" customWidth="1"/>
    <col min="19" max="19" width="12" style="68" customWidth="1"/>
    <col min="20" max="20" width="11.44140625" style="68" customWidth="1"/>
    <col min="21" max="21" width="10.109375" style="68" customWidth="1"/>
    <col min="22" max="22" width="12" style="68"/>
    <col min="23" max="23" width="10.6640625" style="68" customWidth="1"/>
    <col min="24" max="24" width="12" style="68"/>
    <col min="25" max="25" width="12.6640625" style="68" customWidth="1"/>
    <col min="26" max="16384" width="12" style="68"/>
  </cols>
  <sheetData>
    <row r="1" spans="2:14" ht="12" customHeight="1">
      <c r="B1" s="776" t="s">
        <v>135</v>
      </c>
      <c r="C1" s="777"/>
      <c r="D1" s="777"/>
      <c r="E1" s="778"/>
    </row>
    <row r="2" spans="2:14" ht="12" customHeight="1">
      <c r="B2" s="402" t="s">
        <v>119</v>
      </c>
      <c r="C2" s="403" t="s">
        <v>74</v>
      </c>
      <c r="D2" s="404" t="s">
        <v>69</v>
      </c>
      <c r="E2" s="403" t="s">
        <v>75</v>
      </c>
    </row>
    <row r="3" spans="2:14" ht="12" customHeight="1">
      <c r="B3" s="399" t="s">
        <v>76</v>
      </c>
      <c r="C3" s="69">
        <v>5</v>
      </c>
      <c r="D3" s="69">
        <v>22</v>
      </c>
      <c r="E3" s="400">
        <f t="shared" ref="E3:E4" si="0">SUM(C3:D3)</f>
        <v>27</v>
      </c>
    </row>
    <row r="4" spans="2:14" ht="12" customHeight="1">
      <c r="B4" s="399" t="s">
        <v>77</v>
      </c>
      <c r="C4" s="69">
        <v>1</v>
      </c>
      <c r="D4" s="69">
        <v>3</v>
      </c>
      <c r="E4" s="400">
        <f t="shared" si="0"/>
        <v>4</v>
      </c>
    </row>
    <row r="5" spans="2:14" ht="12" customHeight="1">
      <c r="B5" s="401" t="s">
        <v>78</v>
      </c>
      <c r="C5" s="400">
        <f>SUM(C3:C4)</f>
        <v>6</v>
      </c>
      <c r="D5" s="400">
        <f>SUM(D3:D4)</f>
        <v>25</v>
      </c>
      <c r="E5" s="400">
        <f>SUM(C5:D5)</f>
        <v>31</v>
      </c>
    </row>
    <row r="6" spans="2:14" ht="12" customHeight="1">
      <c r="B6" s="70"/>
      <c r="C6" s="71"/>
      <c r="D6" s="71"/>
      <c r="E6" s="71"/>
      <c r="F6" s="71"/>
      <c r="G6" s="71"/>
      <c r="H6" s="71"/>
      <c r="I6" s="71"/>
    </row>
    <row r="7" spans="2:14" ht="12" customHeight="1">
      <c r="G7" s="804" t="s">
        <v>79</v>
      </c>
      <c r="H7" s="805"/>
      <c r="I7" s="806"/>
      <c r="J7" s="799" t="s">
        <v>100</v>
      </c>
      <c r="K7" s="800"/>
    </row>
    <row r="8" spans="2:14" ht="12" customHeight="1">
      <c r="B8" s="737" t="s">
        <v>80</v>
      </c>
      <c r="C8" s="789"/>
      <c r="D8" s="739"/>
      <c r="E8" s="210" t="s">
        <v>136</v>
      </c>
      <c r="F8" s="210" t="s">
        <v>102</v>
      </c>
      <c r="G8" s="210" t="s">
        <v>81</v>
      </c>
      <c r="H8" s="210" t="s">
        <v>82</v>
      </c>
      <c r="I8" s="211" t="s">
        <v>69</v>
      </c>
      <c r="J8" s="210" t="s">
        <v>83</v>
      </c>
      <c r="K8" s="211" t="s">
        <v>69</v>
      </c>
      <c r="L8" s="210" t="s">
        <v>84</v>
      </c>
      <c r="M8" s="210" t="s">
        <v>98</v>
      </c>
    </row>
    <row r="9" spans="2:14" ht="12" customHeight="1">
      <c r="B9" s="786" t="s">
        <v>28</v>
      </c>
      <c r="C9" s="787"/>
      <c r="D9" s="788"/>
      <c r="E9" s="239">
        <v>0.21471480000000001</v>
      </c>
      <c r="F9" s="775">
        <f>+(E9+E10)*$E$5</f>
        <v>7.4792088000000003</v>
      </c>
      <c r="G9" s="208">
        <f>+H9+I9</f>
        <v>6.5141495999999997</v>
      </c>
      <c r="H9" s="208">
        <f>+(E9+E10)*$C$3</f>
        <v>1.206324</v>
      </c>
      <c r="I9" s="208">
        <f>+(E9+E10)*$D$3</f>
        <v>5.3078256000000001</v>
      </c>
      <c r="J9" s="208"/>
      <c r="K9" s="208"/>
      <c r="L9" s="775">
        <f>+F9+J9+K9</f>
        <v>7.4792088000000003</v>
      </c>
      <c r="M9" s="790">
        <f>+L9/$E$5</f>
        <v>0.2412648</v>
      </c>
      <c r="N9" s="72">
        <f>+M9-E9</f>
        <v>2.654999999999999E-2</v>
      </c>
    </row>
    <row r="10" spans="2:14" ht="12" customHeight="1">
      <c r="B10" s="772"/>
      <c r="C10" s="773"/>
      <c r="D10" s="774"/>
      <c r="E10" s="239">
        <v>2.6550000000000001E-2</v>
      </c>
      <c r="F10" s="775"/>
      <c r="G10" s="208">
        <f>+H10+I10</f>
        <v>0.96505920000000001</v>
      </c>
      <c r="H10" s="208">
        <f>+(E9+E10)*$C$4</f>
        <v>0.2412648</v>
      </c>
      <c r="I10" s="208">
        <f>+(E9+E10)*$D$4</f>
        <v>0.72379440000000006</v>
      </c>
      <c r="J10" s="208"/>
      <c r="K10" s="208"/>
      <c r="L10" s="775"/>
      <c r="M10" s="790"/>
      <c r="N10" s="73"/>
    </row>
    <row r="11" spans="2:14" ht="12" customHeight="1">
      <c r="B11" s="786" t="s">
        <v>71</v>
      </c>
      <c r="C11" s="787" t="s">
        <v>71</v>
      </c>
      <c r="D11" s="788" t="s">
        <v>71</v>
      </c>
      <c r="E11" s="207">
        <v>0.4276219</v>
      </c>
      <c r="F11" s="775">
        <f t="shared" ref="F11" si="1">+(E11+E12)*$E$5</f>
        <v>14.902378899999999</v>
      </c>
      <c r="G11" s="208">
        <f t="shared" ref="G11:G24" si="2">+H11+I11</f>
        <v>12.979491299999999</v>
      </c>
      <c r="H11" s="208">
        <f t="shared" ref="H11" si="3">+(E11+E12)*$C$3</f>
        <v>2.4036095</v>
      </c>
      <c r="I11" s="208">
        <f t="shared" ref="I11" si="4">+(E11+E12)*$D$3</f>
        <v>10.575881799999999</v>
      </c>
      <c r="J11" s="208"/>
      <c r="K11" s="208">
        <f>-'Control Cuota Artesanal XV-IV'!F15</f>
        <v>68.942999999999998</v>
      </c>
      <c r="L11" s="775">
        <f t="shared" ref="L11" si="5">+F11+J11+K11</f>
        <v>83.8453789</v>
      </c>
      <c r="M11" s="790">
        <f>+L11/$E$5</f>
        <v>2.704689641935484</v>
      </c>
      <c r="N11" s="72">
        <f t="shared" ref="N11" si="6">+M11-E11</f>
        <v>2.2770677419354839</v>
      </c>
    </row>
    <row r="12" spans="2:14" ht="12" customHeight="1">
      <c r="B12" s="772"/>
      <c r="C12" s="773"/>
      <c r="D12" s="774"/>
      <c r="E12" s="222">
        <f>0.00465+0.01095+0.0375</f>
        <v>5.3099999999999994E-2</v>
      </c>
      <c r="F12" s="775"/>
      <c r="G12" s="208">
        <f t="shared" si="2"/>
        <v>1.9228875999999999</v>
      </c>
      <c r="H12" s="208">
        <f t="shared" ref="H12" si="7">+(E11+E12)*$C$4</f>
        <v>0.48072189999999998</v>
      </c>
      <c r="I12" s="208">
        <f t="shared" ref="I12" si="8">+(E11+E12)*$D$4</f>
        <v>1.4421656999999999</v>
      </c>
      <c r="J12" s="208"/>
      <c r="K12" s="208"/>
      <c r="L12" s="775"/>
      <c r="M12" s="790"/>
      <c r="N12" s="73"/>
    </row>
    <row r="13" spans="2:14" ht="12" customHeight="1">
      <c r="B13" s="786" t="s">
        <v>70</v>
      </c>
      <c r="C13" s="787" t="s">
        <v>70</v>
      </c>
      <c r="D13" s="788" t="s">
        <v>70</v>
      </c>
      <c r="E13" s="207">
        <f>0.0979033+0.0894907</f>
        <v>0.18739400000000001</v>
      </c>
      <c r="F13" s="775">
        <f t="shared" ref="F13" si="9">+(E13+E14)*$E$5</f>
        <v>6.5253140000000007</v>
      </c>
      <c r="G13" s="208">
        <f t="shared" si="2"/>
        <v>5.6833380000000009</v>
      </c>
      <c r="H13" s="208">
        <f t="shared" ref="H13" si="10">+(E13+E14)*$C$3</f>
        <v>1.05247</v>
      </c>
      <c r="I13" s="208">
        <f t="shared" ref="I13" si="11">+(E13+E14)*$D$3</f>
        <v>4.6308680000000004</v>
      </c>
      <c r="J13" s="208"/>
      <c r="K13" s="208"/>
      <c r="L13" s="775">
        <f t="shared" ref="L13" si="12">+F13+J13+K13</f>
        <v>6.5253140000000007</v>
      </c>
      <c r="M13" s="790">
        <f t="shared" ref="M13" si="13">+L13/$E$5</f>
        <v>0.21049400000000001</v>
      </c>
      <c r="N13" s="74">
        <f t="shared" ref="N13" si="14">+M13-E13</f>
        <v>2.3100000000000009E-2</v>
      </c>
    </row>
    <row r="14" spans="2:14" ht="12" customHeight="1">
      <c r="B14" s="772"/>
      <c r="C14" s="773"/>
      <c r="D14" s="774"/>
      <c r="E14" s="222">
        <v>2.3099999999999999E-2</v>
      </c>
      <c r="F14" s="775"/>
      <c r="G14" s="208">
        <f t="shared" si="2"/>
        <v>0.84197600000000006</v>
      </c>
      <c r="H14" s="208">
        <f t="shared" ref="H14" si="15">+(E13+E14)*$C$4</f>
        <v>0.21049400000000001</v>
      </c>
      <c r="I14" s="208">
        <f t="shared" ref="I14" si="16">+(E13+E14)*$D$4</f>
        <v>0.6314820000000001</v>
      </c>
      <c r="J14" s="208"/>
      <c r="K14" s="208"/>
      <c r="L14" s="775"/>
      <c r="M14" s="790"/>
      <c r="N14" s="73"/>
    </row>
    <row r="15" spans="2:14" ht="12" customHeight="1">
      <c r="B15" s="786" t="s">
        <v>29</v>
      </c>
      <c r="C15" s="787" t="s">
        <v>29</v>
      </c>
      <c r="D15" s="788" t="s">
        <v>29</v>
      </c>
      <c r="E15" s="207">
        <v>1.8069200000000001E-2</v>
      </c>
      <c r="F15" s="775">
        <f t="shared" ref="F15" si="17">+(E15+E16)*$E$5</f>
        <v>2.0248952</v>
      </c>
      <c r="G15" s="208">
        <f t="shared" si="2"/>
        <v>1.7636183999999999</v>
      </c>
      <c r="H15" s="208">
        <f t="shared" ref="H15" si="18">+(E15+E16)*$C$3</f>
        <v>0.326596</v>
      </c>
      <c r="I15" s="208">
        <f t="shared" ref="I15" si="19">+(E15+E16)*$D$3</f>
        <v>1.4370223999999998</v>
      </c>
      <c r="J15" s="208"/>
      <c r="K15" s="208"/>
      <c r="L15" s="775">
        <f t="shared" ref="L15" si="20">+F15+J15+K15</f>
        <v>2.0248952</v>
      </c>
      <c r="M15" s="790">
        <f t="shared" ref="M15" si="21">+L15/$E$5</f>
        <v>6.5319199999999994E-2</v>
      </c>
      <c r="N15" s="72">
        <f t="shared" ref="N15" si="22">+M15-E15</f>
        <v>4.7249999999999993E-2</v>
      </c>
    </row>
    <row r="16" spans="2:14" ht="12" customHeight="1">
      <c r="B16" s="772"/>
      <c r="C16" s="773"/>
      <c r="D16" s="774"/>
      <c r="E16" s="222">
        <f>0.0225+0.0225+0.00225</f>
        <v>4.725E-2</v>
      </c>
      <c r="F16" s="775"/>
      <c r="G16" s="208">
        <f t="shared" si="2"/>
        <v>0.26127679999999998</v>
      </c>
      <c r="H16" s="208">
        <f t="shared" ref="H16" si="23">+(E15+E16)*$C$4</f>
        <v>6.5319199999999994E-2</v>
      </c>
      <c r="I16" s="208">
        <f t="shared" ref="I16" si="24">+(E15+E16)*$D$4</f>
        <v>0.19595759999999998</v>
      </c>
      <c r="J16" s="208"/>
      <c r="K16" s="208"/>
      <c r="L16" s="775"/>
      <c r="M16" s="790"/>
      <c r="N16" s="73"/>
    </row>
    <row r="17" spans="2:14" ht="12" customHeight="1">
      <c r="B17" s="786" t="s">
        <v>73</v>
      </c>
      <c r="C17" s="787" t="s">
        <v>73</v>
      </c>
      <c r="D17" s="788" t="s">
        <v>73</v>
      </c>
      <c r="E17" s="207">
        <v>0</v>
      </c>
      <c r="F17" s="775">
        <f t="shared" ref="F17" si="25">+(E17+E18)*$E$5</f>
        <v>0</v>
      </c>
      <c r="G17" s="208">
        <f t="shared" si="2"/>
        <v>0</v>
      </c>
      <c r="H17" s="208">
        <f t="shared" ref="H17" si="26">+(E17+E18)*$C$3</f>
        <v>0</v>
      </c>
      <c r="I17" s="208">
        <f t="shared" ref="I17" si="27">+(E17+E18)*$D$3</f>
        <v>0</v>
      </c>
      <c r="J17" s="208"/>
      <c r="K17" s="208"/>
      <c r="L17" s="775">
        <f t="shared" ref="L17" si="28">+F17+J17+K17</f>
        <v>0</v>
      </c>
      <c r="M17" s="790">
        <f t="shared" ref="M17" si="29">+L17/$E$5</f>
        <v>0</v>
      </c>
      <c r="N17" s="72">
        <f t="shared" ref="N17" si="30">+M17-E17</f>
        <v>0</v>
      </c>
    </row>
    <row r="18" spans="2:14" ht="12" customHeight="1">
      <c r="B18" s="772"/>
      <c r="C18" s="773"/>
      <c r="D18" s="774"/>
      <c r="E18" s="209"/>
      <c r="F18" s="775"/>
      <c r="G18" s="208">
        <f t="shared" si="2"/>
        <v>0</v>
      </c>
      <c r="H18" s="208">
        <f t="shared" ref="H18" si="31">+(E17+E18)*$C$4</f>
        <v>0</v>
      </c>
      <c r="I18" s="208">
        <f t="shared" ref="I18" si="32">+(E17+E18)*$D$4</f>
        <v>0</v>
      </c>
      <c r="J18" s="208"/>
      <c r="K18" s="208"/>
      <c r="L18" s="775"/>
      <c r="M18" s="790"/>
      <c r="N18" s="73"/>
    </row>
    <row r="19" spans="2:14" ht="12" customHeight="1">
      <c r="B19" s="786" t="s">
        <v>25</v>
      </c>
      <c r="C19" s="787" t="s">
        <v>25</v>
      </c>
      <c r="D19" s="788" t="s">
        <v>25</v>
      </c>
      <c r="E19" s="207">
        <v>2.2000000000000001E-3</v>
      </c>
      <c r="F19" s="775">
        <f t="shared" ref="F19" si="33">+(E19+E20)*$E$5</f>
        <v>6.8200000000000011E-2</v>
      </c>
      <c r="G19" s="208">
        <f>+H19+I19</f>
        <v>5.9400000000000008E-2</v>
      </c>
      <c r="H19" s="208">
        <f t="shared" ref="H19" si="34">+(E19+E20)*$C$3</f>
        <v>1.1000000000000001E-2</v>
      </c>
      <c r="I19" s="208">
        <f t="shared" ref="I19" si="35">+(E19+E20)*$D$3</f>
        <v>4.8400000000000006E-2</v>
      </c>
      <c r="J19" s="208"/>
      <c r="K19" s="208"/>
      <c r="L19" s="775">
        <f t="shared" ref="L19" si="36">+F19+J19+K19</f>
        <v>6.8200000000000011E-2</v>
      </c>
      <c r="M19" s="790">
        <f t="shared" ref="M19" si="37">+L19/$E$5</f>
        <v>2.2000000000000001E-3</v>
      </c>
      <c r="N19" s="72">
        <f t="shared" ref="N19" si="38">+M19-E19</f>
        <v>0</v>
      </c>
    </row>
    <row r="20" spans="2:14" ht="12" customHeight="1">
      <c r="B20" s="772"/>
      <c r="C20" s="773"/>
      <c r="D20" s="774"/>
      <c r="E20" s="209"/>
      <c r="F20" s="775"/>
      <c r="G20" s="208">
        <f>+H20+I20</f>
        <v>8.8000000000000005E-3</v>
      </c>
      <c r="H20" s="208">
        <f t="shared" ref="H20" si="39">+(E19+E20)*$C$4</f>
        <v>2.2000000000000001E-3</v>
      </c>
      <c r="I20" s="208">
        <f t="shared" ref="I20" si="40">+(E19+E20)*$D$4</f>
        <v>6.6E-3</v>
      </c>
      <c r="J20" s="208"/>
      <c r="K20" s="208"/>
      <c r="L20" s="775"/>
      <c r="M20" s="790"/>
      <c r="N20" s="73"/>
    </row>
    <row r="21" spans="2:14" ht="12" customHeight="1">
      <c r="B21" s="786" t="s">
        <v>85</v>
      </c>
      <c r="C21" s="787" t="s">
        <v>85</v>
      </c>
      <c r="D21" s="788" t="s">
        <v>85</v>
      </c>
      <c r="E21" s="207">
        <v>1E-4</v>
      </c>
      <c r="F21" s="775">
        <f t="shared" ref="F21" si="41">+(E21+E22)*$E$5</f>
        <v>3.1000000000000003E-3</v>
      </c>
      <c r="G21" s="208">
        <f t="shared" si="2"/>
        <v>2.7000000000000001E-3</v>
      </c>
      <c r="H21" s="208">
        <f t="shared" ref="H21" si="42">+(E21+E22)*$C$3</f>
        <v>5.0000000000000001E-4</v>
      </c>
      <c r="I21" s="208">
        <f t="shared" ref="I21" si="43">+(E21+E22)*$D$3</f>
        <v>2.2000000000000001E-3</v>
      </c>
      <c r="J21" s="208"/>
      <c r="K21" s="208"/>
      <c r="L21" s="775">
        <f t="shared" ref="L21" si="44">+F21+J21+K21</f>
        <v>3.1000000000000003E-3</v>
      </c>
      <c r="M21" s="790">
        <f t="shared" ref="M21" si="45">+L21/$E$5</f>
        <v>1E-4</v>
      </c>
      <c r="N21" s="74">
        <f t="shared" ref="N21" si="46">+M21-E21</f>
        <v>0</v>
      </c>
    </row>
    <row r="22" spans="2:14" ht="12" customHeight="1">
      <c r="B22" s="772"/>
      <c r="C22" s="773"/>
      <c r="D22" s="774"/>
      <c r="E22" s="209"/>
      <c r="F22" s="775"/>
      <c r="G22" s="208">
        <f t="shared" si="2"/>
        <v>4.0000000000000002E-4</v>
      </c>
      <c r="H22" s="208">
        <f t="shared" ref="H22" si="47">+(E21+E22)*$C$4</f>
        <v>1E-4</v>
      </c>
      <c r="I22" s="208">
        <f t="shared" ref="I22" si="48">+(E21+E22)*$D$4</f>
        <v>3.0000000000000003E-4</v>
      </c>
      <c r="J22" s="208"/>
      <c r="K22" s="208"/>
      <c r="L22" s="775"/>
      <c r="M22" s="790"/>
      <c r="N22" s="73"/>
    </row>
    <row r="23" spans="2:14" ht="12" customHeight="1">
      <c r="B23" s="786" t="s">
        <v>72</v>
      </c>
      <c r="C23" s="787" t="s">
        <v>72</v>
      </c>
      <c r="D23" s="788" t="s">
        <v>72</v>
      </c>
      <c r="E23" s="207">
        <v>0</v>
      </c>
      <c r="F23" s="775">
        <f t="shared" ref="F23" si="49">+(E23+E24)*$E$5</f>
        <v>0</v>
      </c>
      <c r="G23" s="208">
        <f t="shared" si="2"/>
        <v>0</v>
      </c>
      <c r="H23" s="208">
        <f t="shared" ref="H23" si="50">+(E23+E24)*$C$3</f>
        <v>0</v>
      </c>
      <c r="I23" s="208">
        <f t="shared" ref="I23" si="51">+(E23+E24)*$D$3</f>
        <v>0</v>
      </c>
      <c r="J23" s="208"/>
      <c r="K23" s="208"/>
      <c r="L23" s="775">
        <f t="shared" ref="L23" si="52">+F23+J23+K23</f>
        <v>0</v>
      </c>
      <c r="M23" s="790">
        <f t="shared" ref="M23" si="53">+L23/$E$5</f>
        <v>0</v>
      </c>
      <c r="N23" s="72">
        <f t="shared" ref="N23" si="54">+M23-E23</f>
        <v>0</v>
      </c>
    </row>
    <row r="24" spans="2:14" ht="12" customHeight="1">
      <c r="B24" s="772"/>
      <c r="C24" s="773"/>
      <c r="D24" s="774"/>
      <c r="E24" s="212"/>
      <c r="F24" s="775"/>
      <c r="G24" s="214">
        <f t="shared" si="2"/>
        <v>0</v>
      </c>
      <c r="H24" s="208">
        <f t="shared" ref="H24" si="55">+(E23+E24)*$C$4</f>
        <v>0</v>
      </c>
      <c r="I24" s="208">
        <f t="shared" ref="I24" si="56">+(E23+E24)*$D$4</f>
        <v>0</v>
      </c>
      <c r="J24" s="214"/>
      <c r="K24" s="214"/>
      <c r="L24" s="807"/>
      <c r="M24" s="791"/>
      <c r="N24" s="73"/>
    </row>
    <row r="25" spans="2:14" ht="12" customHeight="1">
      <c r="B25" s="763" t="s">
        <v>134</v>
      </c>
      <c r="C25" s="764"/>
      <c r="D25" s="765"/>
      <c r="E25" s="215">
        <f>+E9+E11+E13+E15+E19+E21</f>
        <v>0.85009990000000002</v>
      </c>
      <c r="F25" s="749">
        <f>SUM(F9:F24)</f>
        <v>31.003096899999999</v>
      </c>
      <c r="G25" s="215">
        <f>+G9+G11+G13+G15+G17+G19+G21+G23</f>
        <v>27.002697300000001</v>
      </c>
      <c r="H25" s="215">
        <f t="shared" ref="H25:I26" si="57">+H9+H11+H13+H15+H17+H19+H21+H23</f>
        <v>5.0004995000000001</v>
      </c>
      <c r="I25" s="215">
        <f t="shared" si="57"/>
        <v>22.002197799999998</v>
      </c>
      <c r="J25" s="750">
        <f>SUM(J9:J24)</f>
        <v>0</v>
      </c>
      <c r="K25" s="750">
        <f>SUM(K9:K24)</f>
        <v>68.942999999999998</v>
      </c>
      <c r="L25" s="795">
        <f>SUM(L9:L24)</f>
        <v>99.946096900000001</v>
      </c>
      <c r="M25" s="795">
        <f>SUM(M9:M24)</f>
        <v>3.2240676419354846</v>
      </c>
      <c r="N25" s="75"/>
    </row>
    <row r="26" spans="2:14" ht="12" customHeight="1">
      <c r="B26" s="766"/>
      <c r="C26" s="767"/>
      <c r="D26" s="768"/>
      <c r="E26" s="215">
        <f>+E10+E12+E14+E16+E20+E22</f>
        <v>0.15</v>
      </c>
      <c r="F26" s="749"/>
      <c r="G26" s="215">
        <f>+G10+G12+G14+G16+G18+G20+G22+G24</f>
        <v>4.0003995999999997</v>
      </c>
      <c r="H26" s="215">
        <f t="shared" si="57"/>
        <v>1.0000998999999999</v>
      </c>
      <c r="I26" s="215">
        <f t="shared" si="57"/>
        <v>3.0002997000000002</v>
      </c>
      <c r="J26" s="750"/>
      <c r="K26" s="750"/>
      <c r="L26" s="795"/>
      <c r="M26" s="795"/>
      <c r="N26" s="75"/>
    </row>
    <row r="31" spans="2:14" ht="12" customHeight="1" thickBot="1"/>
    <row r="32" spans="2:14" ht="12" customHeight="1" thickBot="1">
      <c r="B32" s="792" t="s">
        <v>99</v>
      </c>
      <c r="C32" s="793"/>
      <c r="D32" s="793"/>
      <c r="E32" s="794"/>
    </row>
    <row r="33" spans="2:13" ht="12" customHeight="1">
      <c r="B33" s="223" t="s">
        <v>149</v>
      </c>
      <c r="C33" s="111" t="s">
        <v>95</v>
      </c>
      <c r="D33" s="112" t="s">
        <v>96</v>
      </c>
      <c r="E33" s="113" t="s">
        <v>75</v>
      </c>
    </row>
    <row r="34" spans="2:13" ht="12" customHeight="1">
      <c r="B34" s="127" t="s">
        <v>76</v>
      </c>
      <c r="C34" s="128">
        <v>990</v>
      </c>
      <c r="D34" s="128">
        <v>3206</v>
      </c>
      <c r="E34" s="129">
        <f>SUM(C34:D34)</f>
        <v>4196</v>
      </c>
    </row>
    <row r="35" spans="2:13" ht="12" customHeight="1">
      <c r="B35" s="127" t="s">
        <v>77</v>
      </c>
      <c r="C35" s="128">
        <v>110</v>
      </c>
      <c r="D35" s="128">
        <v>356</v>
      </c>
      <c r="E35" s="129">
        <f>SUM(C35:D35)</f>
        <v>466</v>
      </c>
    </row>
    <row r="36" spans="2:13" ht="12" customHeight="1" thickBot="1">
      <c r="B36" s="130" t="s">
        <v>150</v>
      </c>
      <c r="C36" s="131">
        <f>SUM(C34:C35)</f>
        <v>1100</v>
      </c>
      <c r="D36" s="131">
        <f t="shared" ref="D36" si="58">SUM(D34:D35)</f>
        <v>3562</v>
      </c>
      <c r="E36" s="132">
        <f>SUM(C36:D36)</f>
        <v>4662</v>
      </c>
    </row>
    <row r="37" spans="2:13" ht="12" customHeight="1">
      <c r="B37" s="70"/>
      <c r="C37" s="71"/>
      <c r="D37" s="71"/>
      <c r="E37" s="71"/>
      <c r="F37" s="71"/>
      <c r="G37" s="71"/>
      <c r="H37" s="71"/>
    </row>
    <row r="38" spans="2:13" ht="12" customHeight="1">
      <c r="G38" s="801" t="s">
        <v>79</v>
      </c>
      <c r="H38" s="802"/>
      <c r="I38" s="803"/>
      <c r="J38" s="796" t="s">
        <v>100</v>
      </c>
      <c r="K38" s="796"/>
    </row>
    <row r="39" spans="2:13" ht="31.95" customHeight="1">
      <c r="B39" s="797" t="s">
        <v>80</v>
      </c>
      <c r="C39" s="798"/>
      <c r="D39" s="798"/>
      <c r="E39" s="217" t="s">
        <v>137</v>
      </c>
      <c r="F39" s="218" t="s">
        <v>105</v>
      </c>
      <c r="G39" s="217" t="s">
        <v>81</v>
      </c>
      <c r="H39" s="217" t="s">
        <v>106</v>
      </c>
      <c r="I39" s="219" t="s">
        <v>107</v>
      </c>
      <c r="J39" s="219" t="s">
        <v>108</v>
      </c>
      <c r="K39" s="217" t="s">
        <v>109</v>
      </c>
      <c r="L39" s="220" t="s">
        <v>110</v>
      </c>
      <c r="M39" s="221" t="s">
        <v>98</v>
      </c>
    </row>
    <row r="40" spans="2:13" ht="12" customHeight="1">
      <c r="B40" s="769" t="s">
        <v>138</v>
      </c>
      <c r="C40" s="770"/>
      <c r="D40" s="771">
        <v>0.63755600000000001</v>
      </c>
      <c r="E40" s="125">
        <f>+'Adjudicacions Pep SSP'!B6</f>
        <v>63.923779000000003</v>
      </c>
      <c r="F40" s="740">
        <f>+$E$36*E40/100</f>
        <v>2980.1265769800002</v>
      </c>
      <c r="G40" s="125">
        <f>SUM(H40:I40)</f>
        <v>2682.2417668399999</v>
      </c>
      <c r="H40" s="245">
        <f>+E40/100*$C$34</f>
        <v>632.84541209999998</v>
      </c>
      <c r="I40" s="122">
        <f>+E40/100*$D$34</f>
        <v>2049.3963547399999</v>
      </c>
      <c r="J40" s="216">
        <f>+J76-J77-J79-J80-J82-J83</f>
        <v>-509.28601273079994</v>
      </c>
      <c r="K40" s="237">
        <f>+K76+K78+K81-K77-K79-K80-K82-K83</f>
        <v>-215.62396445639988</v>
      </c>
      <c r="L40" s="758">
        <f>+F40+J40+K40+J41+K41</f>
        <v>2255.2165997928005</v>
      </c>
      <c r="M40" s="743">
        <f>+L40/$E$36</f>
        <v>0.48374444440000008</v>
      </c>
    </row>
    <row r="41" spans="2:13" ht="12" customHeight="1">
      <c r="B41" s="745"/>
      <c r="C41" s="746"/>
      <c r="D41" s="747"/>
      <c r="E41" s="124"/>
      <c r="F41" s="741"/>
      <c r="G41" s="124">
        <f>SUM(H41:I41)</f>
        <v>297.88481014000001</v>
      </c>
      <c r="H41" s="310">
        <f>+E40/100*$C$35</f>
        <v>70.31615690000001</v>
      </c>
      <c r="I41" s="123">
        <f>+E40/100*$D$35</f>
        <v>227.56865324</v>
      </c>
      <c r="J41" s="122"/>
      <c r="K41" s="125"/>
      <c r="L41" s="759"/>
      <c r="M41" s="757"/>
    </row>
    <row r="42" spans="2:13" ht="12" customHeight="1">
      <c r="B42" s="769" t="s">
        <v>139</v>
      </c>
      <c r="C42" s="770"/>
      <c r="D42" s="771">
        <v>2.637556</v>
      </c>
      <c r="E42" s="125">
        <f>+'Adjudicacions Pep SSP'!B7</f>
        <v>6.9585499999999998</v>
      </c>
      <c r="F42" s="740">
        <f>+$E$36*E42/100</f>
        <v>324.407601</v>
      </c>
      <c r="G42" s="125">
        <f t="shared" ref="G42:G65" si="59">SUM(H42:I42)</f>
        <v>291.98075799999998</v>
      </c>
      <c r="H42" s="246">
        <f>+E42/100*$C$34</f>
        <v>68.889645000000002</v>
      </c>
      <c r="I42" s="216">
        <f>+E42/100*$D$34</f>
        <v>223.09111299999998</v>
      </c>
      <c r="J42" s="122">
        <f>+J79</f>
        <v>258.27531281999995</v>
      </c>
      <c r="K42" s="125">
        <f>-K78</f>
        <v>-232.68941766</v>
      </c>
      <c r="L42" s="760">
        <f>+F42+J42+K42+J43+K43</f>
        <v>349.99349615999995</v>
      </c>
      <c r="M42" s="743">
        <f>+L42/$E$36</f>
        <v>7.507367999999999E-2</v>
      </c>
    </row>
    <row r="43" spans="2:13" ht="12" customHeight="1">
      <c r="B43" s="745"/>
      <c r="C43" s="746"/>
      <c r="D43" s="747"/>
      <c r="E43" s="124"/>
      <c r="F43" s="741"/>
      <c r="G43" s="124">
        <f t="shared" si="59"/>
        <v>32.426842999999998</v>
      </c>
      <c r="H43" s="310">
        <f>+E42/100*$C$35</f>
        <v>7.6544049999999997</v>
      </c>
      <c r="I43" s="123">
        <f>+E42/100*$D$35</f>
        <v>24.772437999999998</v>
      </c>
      <c r="J43" s="122"/>
      <c r="K43" s="125"/>
      <c r="L43" s="759"/>
      <c r="M43" s="757"/>
    </row>
    <row r="44" spans="2:13" ht="12" customHeight="1">
      <c r="B44" s="769" t="s">
        <v>140</v>
      </c>
      <c r="C44" s="770"/>
      <c r="D44" s="771">
        <v>3.637556</v>
      </c>
      <c r="E44" s="125">
        <f>+'Adjudicacions Pep SSP'!B8</f>
        <v>0.5</v>
      </c>
      <c r="F44" s="740">
        <f t="shared" ref="F44" si="60">+$E$36*E44/100</f>
        <v>23.31</v>
      </c>
      <c r="G44" s="125">
        <f t="shared" si="59"/>
        <v>20.98</v>
      </c>
      <c r="H44" s="245">
        <f t="shared" ref="H44" si="61">+E44/100*$C$34</f>
        <v>4.95</v>
      </c>
      <c r="I44" s="122">
        <f t="shared" ref="I44" si="62">+E44/100*$D$34</f>
        <v>16.03</v>
      </c>
      <c r="J44" s="122"/>
      <c r="K44" s="125"/>
      <c r="L44" s="761">
        <f t="shared" ref="L44" si="63">+F44+J44+K44+J45+K45</f>
        <v>23.31</v>
      </c>
      <c r="M44" s="743">
        <f>+L44/$E$36</f>
        <v>5.0000000000000001E-3</v>
      </c>
    </row>
    <row r="45" spans="2:13" ht="12" customHeight="1">
      <c r="B45" s="745"/>
      <c r="C45" s="746"/>
      <c r="D45" s="747"/>
      <c r="E45" s="124"/>
      <c r="F45" s="741"/>
      <c r="G45" s="124">
        <f t="shared" si="59"/>
        <v>2.33</v>
      </c>
      <c r="H45" s="310">
        <f t="shared" ref="H45" si="64">+E44/100*$C$35</f>
        <v>0.55000000000000004</v>
      </c>
      <c r="I45" s="123">
        <f t="shared" ref="I45" si="65">+E44/100*$D$35</f>
        <v>1.78</v>
      </c>
      <c r="J45" s="122"/>
      <c r="K45" s="125"/>
      <c r="L45" s="759"/>
      <c r="M45" s="757"/>
    </row>
    <row r="46" spans="2:13" ht="12" customHeight="1">
      <c r="B46" s="769" t="s">
        <v>141</v>
      </c>
      <c r="C46" s="770"/>
      <c r="D46" s="771">
        <v>4.637556</v>
      </c>
      <c r="E46" s="125">
        <f>+'Adjudicacions Pep SSP'!B9</f>
        <v>5.9579960000000005</v>
      </c>
      <c r="F46" s="740">
        <f t="shared" ref="F46" si="66">+$E$36*E46/100</f>
        <v>277.76177352000002</v>
      </c>
      <c r="G46" s="125">
        <f t="shared" si="59"/>
        <v>249.99751216000004</v>
      </c>
      <c r="H46" s="246">
        <f t="shared" ref="H46" si="67">+E46/100*$C$34</f>
        <v>58.984160400000007</v>
      </c>
      <c r="I46" s="216">
        <f t="shared" ref="I46" si="68">+E46/100*$D$34</f>
        <v>191.01335176000003</v>
      </c>
      <c r="J46" s="122">
        <f>+J80</f>
        <v>112.75</v>
      </c>
      <c r="K46" s="125">
        <f>+K80</f>
        <v>365.10499999999996</v>
      </c>
      <c r="L46" s="761">
        <f t="shared" ref="L46" si="69">+F46+J46+K46+J47+K47</f>
        <v>755.61677351999992</v>
      </c>
      <c r="M46" s="743">
        <f>+L46/$E$36</f>
        <v>0.16207996</v>
      </c>
    </row>
    <row r="47" spans="2:13" ht="12" customHeight="1">
      <c r="B47" s="745"/>
      <c r="C47" s="746"/>
      <c r="D47" s="747"/>
      <c r="E47" s="124"/>
      <c r="F47" s="741"/>
      <c r="G47" s="124">
        <f t="shared" si="59"/>
        <v>27.764261360000003</v>
      </c>
      <c r="H47" s="310">
        <f t="shared" ref="H47" si="70">+E46/100*$C$35</f>
        <v>6.5537956000000008</v>
      </c>
      <c r="I47" s="123">
        <f t="shared" ref="I47" si="71">+E46/100*$D$35</f>
        <v>21.210465760000002</v>
      </c>
      <c r="J47" s="122"/>
      <c r="K47" s="125"/>
      <c r="L47" s="759"/>
      <c r="M47" s="757"/>
    </row>
    <row r="48" spans="2:13" ht="12" customHeight="1">
      <c r="B48" s="769" t="s">
        <v>28</v>
      </c>
      <c r="C48" s="770"/>
      <c r="D48" s="771">
        <v>5.637556</v>
      </c>
      <c r="E48" s="125">
        <f>+'Adjudicacions Pep SSP'!B10</f>
        <v>5.5870499999999996</v>
      </c>
      <c r="F48" s="740">
        <f t="shared" ref="F48" si="72">+$E$36*E48/100</f>
        <v>260.46827099999996</v>
      </c>
      <c r="G48" s="125">
        <f t="shared" si="59"/>
        <v>234.43261799999999</v>
      </c>
      <c r="H48" s="245">
        <f t="shared" ref="H48" si="73">+E48/100*$C$34</f>
        <v>55.311794999999996</v>
      </c>
      <c r="I48" s="122">
        <f t="shared" ref="I48" si="74">+E48/100*$D$34</f>
        <v>179.120823</v>
      </c>
      <c r="J48" s="122">
        <f>+J82</f>
        <v>227.12859991079998</v>
      </c>
      <c r="K48" s="125">
        <f>-K81</f>
        <v>-183.79919988360001</v>
      </c>
      <c r="L48" s="761">
        <f t="shared" ref="L48" si="75">+F48+J48+K48+J49+K49</f>
        <v>303.7976710271999</v>
      </c>
      <c r="M48" s="743">
        <f>+L48/$E$36</f>
        <v>6.5164665599999977E-2</v>
      </c>
    </row>
    <row r="49" spans="2:13" ht="12" customHeight="1">
      <c r="B49" s="745"/>
      <c r="C49" s="746"/>
      <c r="D49" s="747"/>
      <c r="E49" s="124"/>
      <c r="F49" s="741"/>
      <c r="G49" s="124">
        <f t="shared" si="59"/>
        <v>26.035652999999996</v>
      </c>
      <c r="H49" s="310">
        <f t="shared" ref="H49" si="76">+E48/100*$C$35</f>
        <v>6.1457549999999994</v>
      </c>
      <c r="I49" s="123">
        <f t="shared" ref="I49" si="77">+E48/100*$D$35</f>
        <v>19.889897999999999</v>
      </c>
      <c r="J49" s="122"/>
      <c r="K49" s="125"/>
      <c r="L49" s="759"/>
      <c r="M49" s="757"/>
    </row>
    <row r="50" spans="2:13" ht="12" customHeight="1">
      <c r="B50" s="737" t="s">
        <v>29</v>
      </c>
      <c r="C50" s="738"/>
      <c r="D50" s="739"/>
      <c r="E50" s="125">
        <f>+'Adjudicacions Pep SSP'!B11</f>
        <v>0.112</v>
      </c>
      <c r="F50" s="740">
        <f>+$E$36*E50/100</f>
        <v>5.2214400000000003</v>
      </c>
      <c r="G50" s="125">
        <f t="shared" ref="G50:G51" si="78">SUM(H50:I50)</f>
        <v>4.6995200000000006</v>
      </c>
      <c r="H50" s="246">
        <f t="shared" ref="H50" si="79">+E50/100*$C$34</f>
        <v>1.1088</v>
      </c>
      <c r="I50" s="216">
        <f t="shared" ref="I50" si="80">+E50/100*$D$34</f>
        <v>3.5907200000000006</v>
      </c>
      <c r="J50" s="122"/>
      <c r="K50" s="125"/>
      <c r="L50" s="761">
        <f t="shared" ref="L50" si="81">+F50+J50+K50+J51+K51</f>
        <v>5.2214400000000003</v>
      </c>
      <c r="M50" s="743">
        <f>+L50/$E$36</f>
        <v>1.1200000000000001E-3</v>
      </c>
    </row>
    <row r="51" spans="2:13" ht="12" customHeight="1">
      <c r="B51" s="745"/>
      <c r="C51" s="746"/>
      <c r="D51" s="747"/>
      <c r="E51" s="124"/>
      <c r="F51" s="741"/>
      <c r="G51" s="125">
        <f t="shared" si="78"/>
        <v>0.52192000000000005</v>
      </c>
      <c r="H51" s="310">
        <f t="shared" ref="H51" si="82">+E50/100*$C$35</f>
        <v>0.12320000000000002</v>
      </c>
      <c r="I51" s="123">
        <f t="shared" ref="I51" si="83">+E50/100*$D$35</f>
        <v>0.39872000000000002</v>
      </c>
      <c r="J51" s="122"/>
      <c r="K51" s="125"/>
      <c r="L51" s="762"/>
      <c r="M51" s="744"/>
    </row>
    <row r="52" spans="2:13" ht="12" customHeight="1">
      <c r="B52" s="769" t="s">
        <v>142</v>
      </c>
      <c r="C52" s="770"/>
      <c r="D52" s="771">
        <v>6.637556</v>
      </c>
      <c r="E52" s="125">
        <f>+'Adjudicacions Pep SSP'!B12</f>
        <v>0.43956000000000001</v>
      </c>
      <c r="F52" s="740">
        <f t="shared" ref="F52" si="84">+$E$36*E52/100</f>
        <v>20.4922872</v>
      </c>
      <c r="G52" s="125">
        <f t="shared" si="59"/>
        <v>18.443937600000002</v>
      </c>
      <c r="H52" s="245">
        <f t="shared" ref="H52" si="85">+E52/100*$C$34</f>
        <v>4.3516440000000003</v>
      </c>
      <c r="I52" s="122">
        <f t="shared" ref="I52" si="86">+E52/100*$D$34</f>
        <v>14.092293600000001</v>
      </c>
      <c r="J52" s="122"/>
      <c r="K52" s="125"/>
      <c r="L52" s="761">
        <f t="shared" ref="L52" si="87">+F52+J52+K52+J53+K53</f>
        <v>20.4922872</v>
      </c>
      <c r="M52" s="743">
        <f>+L52/$E$36</f>
        <v>4.3956000000000004E-3</v>
      </c>
    </row>
    <row r="53" spans="2:13" ht="12" customHeight="1">
      <c r="B53" s="745"/>
      <c r="C53" s="746"/>
      <c r="D53" s="747"/>
      <c r="E53" s="124"/>
      <c r="F53" s="741"/>
      <c r="G53" s="124">
        <f t="shared" si="59"/>
        <v>2.0483495999999999</v>
      </c>
      <c r="H53" s="310">
        <f t="shared" ref="H53" si="88">+E52/100*$C$35</f>
        <v>0.48351600000000006</v>
      </c>
      <c r="I53" s="123">
        <f t="shared" ref="I53" si="89">+E52/100*$D$35</f>
        <v>1.5648336</v>
      </c>
      <c r="J53" s="122"/>
      <c r="K53" s="125"/>
      <c r="L53" s="759"/>
      <c r="M53" s="757"/>
    </row>
    <row r="54" spans="2:13" ht="12" customHeight="1">
      <c r="B54" s="769" t="s">
        <v>143</v>
      </c>
      <c r="C54" s="770"/>
      <c r="D54" s="771">
        <v>7.637556</v>
      </c>
      <c r="E54" s="125">
        <f>+'Adjudicacions Pep SSP'!B13</f>
        <v>3.1930000000000001E-3</v>
      </c>
      <c r="F54" s="740">
        <f t="shared" ref="F54" si="90">+$E$36*E54/100</f>
        <v>0.14885766</v>
      </c>
      <c r="G54" s="125">
        <f t="shared" si="59"/>
        <v>0.13397828000000001</v>
      </c>
      <c r="H54" s="246">
        <f t="shared" ref="H54" si="91">+E54/100*$C$34</f>
        <v>3.1610699999999999E-2</v>
      </c>
      <c r="I54" s="216">
        <f t="shared" ref="I54" si="92">+E54/100*$D$34</f>
        <v>0.10236758</v>
      </c>
      <c r="J54" s="122"/>
      <c r="K54" s="125"/>
      <c r="L54" s="761">
        <f t="shared" ref="L54" si="93">+F54+J54+K54+J55+K55</f>
        <v>0.14885766</v>
      </c>
      <c r="M54" s="743">
        <f>+L54/$E$36</f>
        <v>3.1930000000000001E-5</v>
      </c>
    </row>
    <row r="55" spans="2:13" ht="12" customHeight="1">
      <c r="B55" s="745"/>
      <c r="C55" s="746"/>
      <c r="D55" s="747"/>
      <c r="E55" s="124"/>
      <c r="F55" s="741"/>
      <c r="G55" s="124">
        <f t="shared" si="59"/>
        <v>1.4879380000000001E-2</v>
      </c>
      <c r="H55" s="310">
        <f t="shared" ref="H55" si="94">+E54/100*$C$35</f>
        <v>3.5123000000000003E-3</v>
      </c>
      <c r="I55" s="123">
        <f t="shared" ref="I55" si="95">+E54/100*$D$35</f>
        <v>1.136708E-2</v>
      </c>
      <c r="J55" s="122"/>
      <c r="K55" s="125"/>
      <c r="L55" s="759"/>
      <c r="M55" s="757"/>
    </row>
    <row r="56" spans="2:13" ht="12" customHeight="1">
      <c r="B56" s="769" t="s">
        <v>144</v>
      </c>
      <c r="C56" s="770"/>
      <c r="D56" s="771">
        <v>8.637556</v>
      </c>
      <c r="E56" s="125">
        <f>+'Adjudicacions Pep SSP'!B14</f>
        <v>8.2500000000000004E-3</v>
      </c>
      <c r="F56" s="740">
        <f t="shared" ref="F56" si="96">+$E$36*E56/100</f>
        <v>0.38461499999999998</v>
      </c>
      <c r="G56" s="125">
        <f t="shared" si="59"/>
        <v>0.34616999999999998</v>
      </c>
      <c r="H56" s="245">
        <f t="shared" ref="H56" si="97">+E56/100*$C$34</f>
        <v>8.1674999999999998E-2</v>
      </c>
      <c r="I56" s="122">
        <f t="shared" ref="I56" si="98">+E56/100*$D$34</f>
        <v>0.26449499999999998</v>
      </c>
      <c r="J56" s="122"/>
      <c r="K56" s="125"/>
      <c r="L56" s="761">
        <f t="shared" ref="L56" si="99">+F56+J56+K56+J57+K57</f>
        <v>0.38461499999999998</v>
      </c>
      <c r="M56" s="743">
        <f>+L56/$E$36</f>
        <v>8.25E-5</v>
      </c>
    </row>
    <row r="57" spans="2:13" ht="12" customHeight="1">
      <c r="B57" s="745"/>
      <c r="C57" s="746"/>
      <c r="D57" s="747"/>
      <c r="E57" s="124"/>
      <c r="F57" s="741"/>
      <c r="G57" s="124">
        <f t="shared" si="59"/>
        <v>3.8445E-2</v>
      </c>
      <c r="H57" s="310">
        <f t="shared" ref="H57" si="100">+E56/100*$C$35</f>
        <v>9.0749999999999997E-3</v>
      </c>
      <c r="I57" s="123">
        <f t="shared" ref="I57" si="101">+E56/100*$D$35</f>
        <v>2.937E-2</v>
      </c>
      <c r="J57" s="122"/>
      <c r="K57" s="125"/>
      <c r="L57" s="759"/>
      <c r="M57" s="757"/>
    </row>
    <row r="58" spans="2:13" ht="12" customHeight="1">
      <c r="B58" s="769" t="s">
        <v>145</v>
      </c>
      <c r="C58" s="770"/>
      <c r="D58" s="771">
        <v>9.637556</v>
      </c>
      <c r="E58" s="125">
        <f>+'Adjudicacions Pep SSP'!B15</f>
        <v>15.958737099999999</v>
      </c>
      <c r="F58" s="740">
        <f t="shared" ref="F58" si="102">+$E$36*E58/100</f>
        <v>743.99632360199985</v>
      </c>
      <c r="G58" s="125">
        <f t="shared" si="59"/>
        <v>669.62860871599992</v>
      </c>
      <c r="H58" s="246">
        <f t="shared" ref="H58" si="103">+E58/100*$C$34</f>
        <v>157.99149728999998</v>
      </c>
      <c r="I58" s="216">
        <f t="shared" ref="I58" si="104">+E58/100*$D$34</f>
        <v>511.63711142599993</v>
      </c>
      <c r="J58" s="122">
        <f>-J76</f>
        <v>-134.7929</v>
      </c>
      <c r="K58" s="125">
        <f>-K76</f>
        <v>-436.48391799999996</v>
      </c>
      <c r="L58" s="761">
        <f t="shared" ref="L58" si="105">+F58+J58+K58+J59+K59</f>
        <v>172.71950560199986</v>
      </c>
      <c r="M58" s="743">
        <f>+L58/$E$36</f>
        <v>3.7048370999999969E-2</v>
      </c>
    </row>
    <row r="59" spans="2:13" ht="12" customHeight="1">
      <c r="B59" s="745"/>
      <c r="C59" s="746"/>
      <c r="D59" s="747"/>
      <c r="E59" s="124"/>
      <c r="F59" s="741"/>
      <c r="G59" s="124">
        <f t="shared" si="59"/>
        <v>74.367714885999987</v>
      </c>
      <c r="H59" s="310">
        <f t="shared" ref="H59" si="106">+E58/100*$C$35</f>
        <v>17.554610809999996</v>
      </c>
      <c r="I59" s="123">
        <f t="shared" ref="I59" si="107">+E58/100*$D$35</f>
        <v>56.813104075999995</v>
      </c>
      <c r="J59" s="122"/>
      <c r="K59" s="125"/>
      <c r="L59" s="759"/>
      <c r="M59" s="757"/>
    </row>
    <row r="60" spans="2:13" ht="12" customHeight="1">
      <c r="B60" s="769" t="s">
        <v>146</v>
      </c>
      <c r="C60" s="770"/>
      <c r="D60" s="771">
        <v>10.637556</v>
      </c>
      <c r="E60" s="125">
        <f>+'Adjudicacions Pep SSP'!B16</f>
        <v>9.0399999999999996E-4</v>
      </c>
      <c r="F60" s="740">
        <f t="shared" ref="F60" si="108">+$E$36*E60/100</f>
        <v>4.2144479999999998E-2</v>
      </c>
      <c r="G60" s="125">
        <f t="shared" si="59"/>
        <v>3.7931840000000001E-2</v>
      </c>
      <c r="H60" s="245">
        <f t="shared" ref="H60" si="109">+E60/100*$C$34</f>
        <v>8.9496000000000003E-3</v>
      </c>
      <c r="I60" s="122">
        <f t="shared" ref="I60" si="110">+E60/100*$D$34</f>
        <v>2.8982239999999999E-2</v>
      </c>
      <c r="J60" s="122"/>
      <c r="K60" s="125"/>
      <c r="L60" s="761">
        <f t="shared" ref="L60" si="111">+F60+J60+K60+J61+K61</f>
        <v>4.2144479999999998E-2</v>
      </c>
      <c r="M60" s="743">
        <f>+L60/$E$36</f>
        <v>9.0399999999999998E-6</v>
      </c>
    </row>
    <row r="61" spans="2:13" ht="12" customHeight="1">
      <c r="B61" s="745"/>
      <c r="C61" s="746"/>
      <c r="D61" s="747"/>
      <c r="E61" s="124"/>
      <c r="F61" s="741"/>
      <c r="G61" s="124">
        <f t="shared" si="59"/>
        <v>4.2126400000000001E-3</v>
      </c>
      <c r="H61" s="310">
        <f t="shared" ref="H61" si="112">+E60/100*$C$35</f>
        <v>9.9439999999999988E-4</v>
      </c>
      <c r="I61" s="123">
        <f t="shared" ref="I61" si="113">+E60/100*$D$35</f>
        <v>3.2182399999999998E-3</v>
      </c>
      <c r="J61" s="122"/>
      <c r="K61" s="125"/>
      <c r="L61" s="759"/>
      <c r="M61" s="757"/>
    </row>
    <row r="62" spans="2:13" ht="12" customHeight="1">
      <c r="B62" s="769" t="s">
        <v>147</v>
      </c>
      <c r="C62" s="770"/>
      <c r="D62" s="771">
        <v>11.637556</v>
      </c>
      <c r="E62" s="125">
        <f>+'Adjudicacions Pep SSP'!B17</f>
        <v>0.05</v>
      </c>
      <c r="F62" s="740">
        <f t="shared" ref="F62" si="114">+$E$36*E62/100</f>
        <v>2.3310000000000004</v>
      </c>
      <c r="G62" s="125">
        <f t="shared" si="59"/>
        <v>2.0979999999999999</v>
      </c>
      <c r="H62" s="246">
        <f t="shared" ref="H62" si="115">+E62/100*$C$34</f>
        <v>0.495</v>
      </c>
      <c r="I62" s="216">
        <f t="shared" ref="I62" si="116">+E62/100*$D$34</f>
        <v>1.603</v>
      </c>
      <c r="J62" s="122"/>
      <c r="K62" s="125"/>
      <c r="L62" s="761">
        <f t="shared" ref="L62" si="117">+F62+J62+K62+J63+K63</f>
        <v>2.3310000000000004</v>
      </c>
      <c r="M62" s="743">
        <f>+L62/$E$36</f>
        <v>5.0000000000000012E-4</v>
      </c>
    </row>
    <row r="63" spans="2:13" ht="12" customHeight="1">
      <c r="B63" s="745"/>
      <c r="C63" s="746"/>
      <c r="D63" s="747"/>
      <c r="E63" s="124"/>
      <c r="F63" s="741"/>
      <c r="G63" s="124">
        <f t="shared" si="59"/>
        <v>0.23299999999999998</v>
      </c>
      <c r="H63" s="310">
        <f t="shared" ref="H63" si="118">+E62/100*$C$35</f>
        <v>5.5E-2</v>
      </c>
      <c r="I63" s="123">
        <f t="shared" ref="I63" si="119">+E62/100*$D$35</f>
        <v>0.17799999999999999</v>
      </c>
      <c r="J63" s="122"/>
      <c r="K63" s="125"/>
      <c r="L63" s="759"/>
      <c r="M63" s="757"/>
    </row>
    <row r="64" spans="2:13" ht="12" customHeight="1">
      <c r="B64" s="769" t="s">
        <v>148</v>
      </c>
      <c r="C64" s="770"/>
      <c r="D64" s="771">
        <v>12.637556</v>
      </c>
      <c r="E64" s="125">
        <v>0</v>
      </c>
      <c r="F64" s="740">
        <f t="shared" ref="F64" si="120">+$E$36*E64/100</f>
        <v>0</v>
      </c>
      <c r="G64" s="125">
        <f t="shared" si="59"/>
        <v>0</v>
      </c>
      <c r="H64" s="245">
        <f t="shared" ref="H64" si="121">+E64/100*$C$34</f>
        <v>0</v>
      </c>
      <c r="I64" s="122">
        <f t="shared" ref="I64" si="122">+E64/100*$D$34</f>
        <v>0</v>
      </c>
      <c r="J64" s="122"/>
      <c r="K64" s="125">
        <f>+K77</f>
        <v>554.77800000000002</v>
      </c>
      <c r="L64" s="761">
        <f t="shared" ref="L64" si="123">+F64+J64+K64+J65+K65</f>
        <v>554.77800000000002</v>
      </c>
      <c r="M64" s="743">
        <f>+L64/$E$36</f>
        <v>0.11900000000000001</v>
      </c>
    </row>
    <row r="65" spans="2:13" ht="12" customHeight="1">
      <c r="B65" s="769"/>
      <c r="C65" s="770"/>
      <c r="D65" s="771"/>
      <c r="E65" s="124"/>
      <c r="F65" s="741"/>
      <c r="G65" s="125">
        <f t="shared" si="59"/>
        <v>0</v>
      </c>
      <c r="H65" s="310">
        <f t="shared" ref="H65" si="124">+E64/100*$C$35</f>
        <v>0</v>
      </c>
      <c r="I65" s="123">
        <f t="shared" ref="I65" si="125">+E64/100*$D$35</f>
        <v>0</v>
      </c>
      <c r="J65" s="123"/>
      <c r="K65" s="124"/>
      <c r="L65" s="762"/>
      <c r="M65" s="744"/>
    </row>
    <row r="66" spans="2:13" ht="12" customHeight="1">
      <c r="B66" s="737" t="s">
        <v>193</v>
      </c>
      <c r="C66" s="738"/>
      <c r="D66" s="739">
        <v>12.637556</v>
      </c>
      <c r="E66" s="125">
        <v>0</v>
      </c>
      <c r="F66" s="740">
        <f t="shared" ref="F66" si="126">+$E$36*E66/100</f>
        <v>0</v>
      </c>
      <c r="G66" s="237">
        <f t="shared" ref="G66:G67" si="127">SUM(H66:I66)</f>
        <v>0</v>
      </c>
      <c r="H66" s="323">
        <f t="shared" ref="H66" si="128">+E66/100*$C$34</f>
        <v>0</v>
      </c>
      <c r="I66" s="122">
        <f t="shared" ref="I66" si="129">+E66/100*$D$34</f>
        <v>0</v>
      </c>
      <c r="J66" s="122">
        <f>+J83</f>
        <v>45.924999999999997</v>
      </c>
      <c r="K66" s="122">
        <f>+K83</f>
        <v>148.71349999999998</v>
      </c>
      <c r="L66" s="742">
        <f t="shared" ref="L66" si="130">+F66+J66+K66+J67+K67</f>
        <v>194.63849999999996</v>
      </c>
      <c r="M66" s="743">
        <f>+L66/$E$36</f>
        <v>4.1749999999999995E-2</v>
      </c>
    </row>
    <row r="67" spans="2:13" ht="12" customHeight="1">
      <c r="B67" s="745"/>
      <c r="C67" s="746"/>
      <c r="D67" s="747"/>
      <c r="E67" s="124"/>
      <c r="F67" s="741"/>
      <c r="G67" s="124">
        <f t="shared" si="127"/>
        <v>0</v>
      </c>
      <c r="H67" s="310">
        <f t="shared" ref="H67" si="131">+E66/100*$C$35</f>
        <v>0</v>
      </c>
      <c r="I67" s="123">
        <f t="shared" ref="I67" si="132">+E66/100*$D$35</f>
        <v>0</v>
      </c>
      <c r="J67" s="123"/>
      <c r="K67" s="123"/>
      <c r="L67" s="742"/>
      <c r="M67" s="744"/>
    </row>
    <row r="68" spans="2:13" ht="12" customHeight="1">
      <c r="B68" s="780" t="s">
        <v>94</v>
      </c>
      <c r="C68" s="781"/>
      <c r="D68" s="782"/>
      <c r="E68" s="779">
        <f>SUM(E40:E67)</f>
        <v>99.500019099999989</v>
      </c>
      <c r="F68" s="748">
        <f>SUM(F40:F67)</f>
        <v>4638.6908904420006</v>
      </c>
      <c r="G68" s="322">
        <f t="shared" ref="G68:I69" si="133">+G40+G42+G44+G46+G48+G52+G54+G56+G58+G60+G62+G64+G66</f>
        <v>4170.3212814359995</v>
      </c>
      <c r="H68" s="322">
        <f t="shared" si="133"/>
        <v>983.94138909000003</v>
      </c>
      <c r="I68" s="322">
        <f t="shared" si="133"/>
        <v>3186.3798923460008</v>
      </c>
      <c r="J68" s="751">
        <f>SUM(J40:J67)</f>
        <v>0</v>
      </c>
      <c r="K68" s="752">
        <f>SUM(K40:K67)</f>
        <v>0</v>
      </c>
      <c r="L68" s="753">
        <f>SUM(L40:L65)</f>
        <v>4444.0523904420006</v>
      </c>
      <c r="M68" s="755">
        <f>+L68/$E$36</f>
        <v>0.95325019100000008</v>
      </c>
    </row>
    <row r="69" spans="2:13" ht="12" customHeight="1">
      <c r="B69" s="783"/>
      <c r="C69" s="784"/>
      <c r="D69" s="785"/>
      <c r="E69" s="779"/>
      <c r="F69" s="748"/>
      <c r="G69" s="406">
        <f t="shared" si="133"/>
        <v>463.14816900600005</v>
      </c>
      <c r="H69" s="406">
        <f t="shared" si="133"/>
        <v>109.32682100999999</v>
      </c>
      <c r="I69" s="406">
        <f t="shared" si="133"/>
        <v>353.82134799599999</v>
      </c>
      <c r="J69" s="751"/>
      <c r="K69" s="752"/>
      <c r="L69" s="754"/>
      <c r="M69" s="756"/>
    </row>
    <row r="74" spans="2:13" ht="12" customHeight="1">
      <c r="B74" s="801" t="s">
        <v>154</v>
      </c>
      <c r="C74" s="802"/>
      <c r="D74" s="802"/>
      <c r="E74" s="802"/>
      <c r="F74" s="802"/>
      <c r="G74" s="802"/>
      <c r="H74" s="802"/>
      <c r="I74" s="803"/>
      <c r="J74" s="234"/>
      <c r="K74" s="234"/>
    </row>
    <row r="75" spans="2:13" ht="20.399999999999999" customHeight="1">
      <c r="B75" s="232" t="s">
        <v>153</v>
      </c>
      <c r="C75" s="232" t="s">
        <v>151</v>
      </c>
      <c r="D75" s="808" t="s">
        <v>171</v>
      </c>
      <c r="E75" s="808"/>
      <c r="F75" s="808"/>
      <c r="G75" s="233" t="s">
        <v>156</v>
      </c>
      <c r="H75" s="231" t="s">
        <v>157</v>
      </c>
      <c r="I75" s="230" t="s">
        <v>152</v>
      </c>
      <c r="J75" s="219" t="s">
        <v>95</v>
      </c>
      <c r="K75" s="217" t="s">
        <v>168</v>
      </c>
      <c r="L75" s="220" t="s">
        <v>150</v>
      </c>
    </row>
    <row r="76" spans="2:13" ht="12" customHeight="1">
      <c r="B76" s="228">
        <v>143806</v>
      </c>
      <c r="C76" s="225">
        <v>43475</v>
      </c>
      <c r="D76" s="736" t="s">
        <v>163</v>
      </c>
      <c r="E76" s="736"/>
      <c r="F76" s="736"/>
      <c r="G76" s="227" t="s">
        <v>155</v>
      </c>
      <c r="H76" s="227" t="s">
        <v>160</v>
      </c>
      <c r="I76" s="224">
        <f>12.2539/100</f>
        <v>0.122539</v>
      </c>
      <c r="J76" s="226">
        <f>+I76*$C$36</f>
        <v>134.7929</v>
      </c>
      <c r="K76" s="226">
        <f>+I76*$D$36</f>
        <v>436.48391799999996</v>
      </c>
      <c r="L76" s="235">
        <f>+I76*$E$36</f>
        <v>571.27681799999993</v>
      </c>
    </row>
    <row r="77" spans="2:13" ht="12" customHeight="1">
      <c r="B77" s="238">
        <v>145558</v>
      </c>
      <c r="C77" s="225">
        <v>43507</v>
      </c>
      <c r="D77" s="736" t="s">
        <v>165</v>
      </c>
      <c r="E77" s="736"/>
      <c r="F77" s="736"/>
      <c r="G77" s="227" t="s">
        <v>160</v>
      </c>
      <c r="H77" s="227" t="s">
        <v>158</v>
      </c>
      <c r="I77" s="224">
        <f>11.9/100</f>
        <v>0.11900000000000001</v>
      </c>
      <c r="J77" s="236">
        <v>0</v>
      </c>
      <c r="K77" s="226">
        <f>+L77</f>
        <v>554.77800000000002</v>
      </c>
      <c r="L77" s="235">
        <f t="shared" ref="L77:L82" si="134">+I77*$E$36</f>
        <v>554.77800000000002</v>
      </c>
    </row>
    <row r="78" spans="2:13" ht="12" customHeight="1">
      <c r="B78" s="229">
        <v>146230</v>
      </c>
      <c r="C78" s="225">
        <v>43521</v>
      </c>
      <c r="D78" s="736" t="s">
        <v>164</v>
      </c>
      <c r="E78" s="736"/>
      <c r="F78" s="736"/>
      <c r="G78" s="227" t="s">
        <v>159</v>
      </c>
      <c r="H78" s="227" t="s">
        <v>160</v>
      </c>
      <c r="I78" s="224">
        <f>4.991193/100</f>
        <v>4.991193E-2</v>
      </c>
      <c r="J78" s="236">
        <v>0</v>
      </c>
      <c r="K78" s="226">
        <f>+L78</f>
        <v>232.68941766</v>
      </c>
      <c r="L78" s="235">
        <f t="shared" si="134"/>
        <v>232.68941766</v>
      </c>
    </row>
    <row r="79" spans="2:13" ht="12" customHeight="1">
      <c r="B79" s="229">
        <v>146234</v>
      </c>
      <c r="C79" s="225">
        <v>43521</v>
      </c>
      <c r="D79" s="736" t="s">
        <v>166</v>
      </c>
      <c r="E79" s="736"/>
      <c r="F79" s="736"/>
      <c r="G79" s="227" t="s">
        <v>160</v>
      </c>
      <c r="H79" s="227" t="s">
        <v>159</v>
      </c>
      <c r="I79" s="224">
        <f>5.540011/100</f>
        <v>5.5400109999999995E-2</v>
      </c>
      <c r="J79" s="226">
        <f>+L79</f>
        <v>258.27531281999995</v>
      </c>
      <c r="K79" s="236">
        <v>0</v>
      </c>
      <c r="L79" s="235">
        <f t="shared" si="134"/>
        <v>258.27531281999995</v>
      </c>
    </row>
    <row r="80" spans="2:13" ht="12" customHeight="1">
      <c r="B80" s="229">
        <v>146231</v>
      </c>
      <c r="C80" s="225">
        <v>43521</v>
      </c>
      <c r="D80" s="736" t="s">
        <v>169</v>
      </c>
      <c r="E80" s="736"/>
      <c r="F80" s="736"/>
      <c r="G80" s="227" t="s">
        <v>160</v>
      </c>
      <c r="H80" s="227" t="s">
        <v>161</v>
      </c>
      <c r="I80" s="224">
        <f>10.25/100</f>
        <v>0.10249999999999999</v>
      </c>
      <c r="J80" s="226">
        <f t="shared" ref="J80" si="135">+I80*$C$36</f>
        <v>112.75</v>
      </c>
      <c r="K80" s="226">
        <f t="shared" ref="K80" si="136">+I80*$D$36</f>
        <v>365.10499999999996</v>
      </c>
      <c r="L80" s="235">
        <f t="shared" si="134"/>
        <v>477.85499999999996</v>
      </c>
    </row>
    <row r="81" spans="2:12" ht="12" customHeight="1">
      <c r="B81" s="229">
        <v>146315</v>
      </c>
      <c r="C81" s="225">
        <v>43523</v>
      </c>
      <c r="D81" s="736" t="s">
        <v>170</v>
      </c>
      <c r="E81" s="736"/>
      <c r="F81" s="736"/>
      <c r="G81" s="227" t="s">
        <v>162</v>
      </c>
      <c r="H81" s="227" t="s">
        <v>160</v>
      </c>
      <c r="I81" s="224">
        <f>3.94249678/100</f>
        <v>3.9424967800000002E-2</v>
      </c>
      <c r="J81" s="236">
        <v>0</v>
      </c>
      <c r="K81" s="226">
        <f>+L81</f>
        <v>183.79919988360001</v>
      </c>
      <c r="L81" s="235">
        <f t="shared" si="134"/>
        <v>183.79919988360001</v>
      </c>
    </row>
    <row r="82" spans="2:12" ht="12" customHeight="1">
      <c r="B82" s="229">
        <v>146314</v>
      </c>
      <c r="C82" s="225">
        <v>43523</v>
      </c>
      <c r="D82" s="736" t="s">
        <v>167</v>
      </c>
      <c r="E82" s="736"/>
      <c r="F82" s="736"/>
      <c r="G82" s="227" t="s">
        <v>160</v>
      </c>
      <c r="H82" s="227" t="s">
        <v>162</v>
      </c>
      <c r="I82" s="224">
        <f>4.87191334/100</f>
        <v>4.8719133399999996E-2</v>
      </c>
      <c r="J82" s="226">
        <f>+L82</f>
        <v>227.12859991079998</v>
      </c>
      <c r="K82" s="236">
        <v>0</v>
      </c>
      <c r="L82" s="235">
        <f t="shared" si="134"/>
        <v>227.12859991079998</v>
      </c>
    </row>
    <row r="83" spans="2:12" ht="12" customHeight="1">
      <c r="B83" s="393">
        <v>151515</v>
      </c>
      <c r="C83" s="392">
        <v>43607</v>
      </c>
      <c r="D83" s="736" t="s">
        <v>201</v>
      </c>
      <c r="E83" s="736"/>
      <c r="F83" s="736"/>
      <c r="G83" s="227" t="s">
        <v>160</v>
      </c>
      <c r="H83" s="227" t="s">
        <v>191</v>
      </c>
      <c r="I83" s="224">
        <f>4.175/100</f>
        <v>4.1749999999999995E-2</v>
      </c>
      <c r="J83" s="226">
        <f>+I83*$C$36</f>
        <v>45.924999999999997</v>
      </c>
      <c r="K83" s="226">
        <f>+I83*$D$36</f>
        <v>148.71349999999998</v>
      </c>
      <c r="L83" s="235">
        <f t="shared" ref="L83" si="137">+I83*$E$36</f>
        <v>194.63849999999996</v>
      </c>
    </row>
    <row r="84" spans="2:12" ht="12" customHeight="1">
      <c r="I84" s="68" t="s">
        <v>192</v>
      </c>
    </row>
  </sheetData>
  <mergeCells count="141">
    <mergeCell ref="D80:F80"/>
    <mergeCell ref="D81:F81"/>
    <mergeCell ref="D82:F82"/>
    <mergeCell ref="B74:I74"/>
    <mergeCell ref="D75:F75"/>
    <mergeCell ref="D76:F76"/>
    <mergeCell ref="D77:F77"/>
    <mergeCell ref="D78:F78"/>
    <mergeCell ref="D79:F79"/>
    <mergeCell ref="G7:I7"/>
    <mergeCell ref="L62:L63"/>
    <mergeCell ref="L64:L65"/>
    <mergeCell ref="M60:M61"/>
    <mergeCell ref="M62:M63"/>
    <mergeCell ref="M64:M65"/>
    <mergeCell ref="M48:M49"/>
    <mergeCell ref="M52:M53"/>
    <mergeCell ref="M58:M59"/>
    <mergeCell ref="L44:L45"/>
    <mergeCell ref="L46:L47"/>
    <mergeCell ref="L48:L49"/>
    <mergeCell ref="L52:L53"/>
    <mergeCell ref="L54:L55"/>
    <mergeCell ref="L56:L57"/>
    <mergeCell ref="L58:L59"/>
    <mergeCell ref="L60:L61"/>
    <mergeCell ref="M40:M41"/>
    <mergeCell ref="M42:M43"/>
    <mergeCell ref="M44:M45"/>
    <mergeCell ref="M46:M47"/>
    <mergeCell ref="L17:L18"/>
    <mergeCell ref="M21:M22"/>
    <mergeCell ref="L23:L24"/>
    <mergeCell ref="L19:L20"/>
    <mergeCell ref="M19:M20"/>
    <mergeCell ref="F21:F22"/>
    <mergeCell ref="L21:L22"/>
    <mergeCell ref="B17:D17"/>
    <mergeCell ref="B18:D18"/>
    <mergeCell ref="B19:D19"/>
    <mergeCell ref="B20:D20"/>
    <mergeCell ref="B21:D21"/>
    <mergeCell ref="B22:D22"/>
    <mergeCell ref="M23:M24"/>
    <mergeCell ref="B32:E32"/>
    <mergeCell ref="L25:L26"/>
    <mergeCell ref="M25:M26"/>
    <mergeCell ref="J38:K38"/>
    <mergeCell ref="B39:D39"/>
    <mergeCell ref="B40:D40"/>
    <mergeCell ref="J7:K7"/>
    <mergeCell ref="F9:F10"/>
    <mergeCell ref="M13:M14"/>
    <mergeCell ref="L9:L10"/>
    <mergeCell ref="M9:M10"/>
    <mergeCell ref="F11:F12"/>
    <mergeCell ref="L11:L12"/>
    <mergeCell ref="M11:M12"/>
    <mergeCell ref="F13:F14"/>
    <mergeCell ref="L13:L14"/>
    <mergeCell ref="G38:I38"/>
    <mergeCell ref="M17:M18"/>
    <mergeCell ref="F15:F16"/>
    <mergeCell ref="L15:L16"/>
    <mergeCell ref="M15:M16"/>
    <mergeCell ref="F17:F18"/>
    <mergeCell ref="B15:D15"/>
    <mergeCell ref="B1:E1"/>
    <mergeCell ref="E68:E69"/>
    <mergeCell ref="B68:D69"/>
    <mergeCell ref="B64:D64"/>
    <mergeCell ref="B65:D65"/>
    <mergeCell ref="B56:D56"/>
    <mergeCell ref="B57:D57"/>
    <mergeCell ref="B58:D58"/>
    <mergeCell ref="B59:D59"/>
    <mergeCell ref="B60:D60"/>
    <mergeCell ref="B42:D42"/>
    <mergeCell ref="B43:D43"/>
    <mergeCell ref="B44:D44"/>
    <mergeCell ref="B41:D41"/>
    <mergeCell ref="B23:D23"/>
    <mergeCell ref="B24:D24"/>
    <mergeCell ref="B51:D51"/>
    <mergeCell ref="B8:D8"/>
    <mergeCell ref="B9:D9"/>
    <mergeCell ref="B10:D10"/>
    <mergeCell ref="B11:D11"/>
    <mergeCell ref="B12:D12"/>
    <mergeCell ref="B13:D13"/>
    <mergeCell ref="B14:D14"/>
    <mergeCell ref="B16:D16"/>
    <mergeCell ref="F23:F24"/>
    <mergeCell ref="B48:D48"/>
    <mergeCell ref="B52:D52"/>
    <mergeCell ref="B53:D53"/>
    <mergeCell ref="B54:D54"/>
    <mergeCell ref="B55:D55"/>
    <mergeCell ref="B61:D61"/>
    <mergeCell ref="B49:D49"/>
    <mergeCell ref="F19:F20"/>
    <mergeCell ref="F64:F65"/>
    <mergeCell ref="B25:D26"/>
    <mergeCell ref="B45:D45"/>
    <mergeCell ref="B46:D46"/>
    <mergeCell ref="B47:D47"/>
    <mergeCell ref="F56:F57"/>
    <mergeCell ref="F58:F59"/>
    <mergeCell ref="F60:F61"/>
    <mergeCell ref="B50:D50"/>
    <mergeCell ref="B62:D62"/>
    <mergeCell ref="B63:D63"/>
    <mergeCell ref="F62:F63"/>
    <mergeCell ref="F42:F43"/>
    <mergeCell ref="F44:F45"/>
    <mergeCell ref="F46:F47"/>
    <mergeCell ref="F48:F49"/>
    <mergeCell ref="D83:F83"/>
    <mergeCell ref="B66:D66"/>
    <mergeCell ref="F66:F67"/>
    <mergeCell ref="L66:L67"/>
    <mergeCell ref="M66:M67"/>
    <mergeCell ref="B67:D67"/>
    <mergeCell ref="F68:F69"/>
    <mergeCell ref="F25:F26"/>
    <mergeCell ref="J25:J26"/>
    <mergeCell ref="K25:K26"/>
    <mergeCell ref="F40:F41"/>
    <mergeCell ref="J68:J69"/>
    <mergeCell ref="K68:K69"/>
    <mergeCell ref="L68:L69"/>
    <mergeCell ref="M68:M69"/>
    <mergeCell ref="M54:M55"/>
    <mergeCell ref="M56:M57"/>
    <mergeCell ref="L40:L41"/>
    <mergeCell ref="L42:L43"/>
    <mergeCell ref="F50:F51"/>
    <mergeCell ref="L50:L51"/>
    <mergeCell ref="M50:M51"/>
    <mergeCell ref="F52:F53"/>
    <mergeCell ref="F54:F55"/>
  </mergeCells>
  <conditionalFormatting sqref="J40:K67 H76:H83">
    <cfRule type="cellIs" dxfId="4" priority="43" operator="greaterThan">
      <formula>0</formula>
    </cfRule>
  </conditionalFormatting>
  <conditionalFormatting sqref="L68:M69 J39:K67 I75:L75 B74">
    <cfRule type="cellIs" dxfId="3" priority="44" operator="lessThan">
      <formula>0</formula>
    </cfRule>
  </conditionalFormatting>
  <conditionalFormatting sqref="J40:K67">
    <cfRule type="cellIs" dxfId="2" priority="40" operator="greaterThan">
      <formula>0</formula>
    </cfRule>
    <cfRule type="cellIs" dxfId="1" priority="41" operator="lessThan">
      <formula>0</formula>
    </cfRule>
  </conditionalFormatting>
  <conditionalFormatting sqref="G76:G83">
    <cfRule type="cellIs" dxfId="0" priority="18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C16" sqref="C16"/>
    </sheetView>
  </sheetViews>
  <sheetFormatPr baseColWidth="10" defaultRowHeight="14.4"/>
  <cols>
    <col min="1" max="1" width="7.77734375" customWidth="1"/>
    <col min="2" max="2" width="9.88671875" customWidth="1"/>
    <col min="3" max="3" width="20.33203125" customWidth="1"/>
    <col min="4" max="4" width="11.44140625" bestFit="1" customWidth="1"/>
    <col min="6" max="6" width="13.21875" customWidth="1"/>
  </cols>
  <sheetData>
    <row r="1" spans="2:7">
      <c r="C1" s="413" t="s">
        <v>202</v>
      </c>
    </row>
    <row r="2" spans="2:7">
      <c r="C2" s="413" t="s">
        <v>203</v>
      </c>
    </row>
    <row r="3" spans="2:7">
      <c r="C3" s="413"/>
    </row>
    <row r="4" spans="2:7" ht="28.8" customHeight="1">
      <c r="B4" s="796" t="s">
        <v>222</v>
      </c>
      <c r="C4" s="809" t="s">
        <v>221</v>
      </c>
      <c r="D4" s="809"/>
      <c r="E4" s="809"/>
      <c r="F4" s="809"/>
      <c r="G4" s="809"/>
    </row>
    <row r="5" spans="2:7" ht="34.200000000000003" customHeight="1">
      <c r="B5" s="796"/>
      <c r="C5" s="217" t="s">
        <v>195</v>
      </c>
      <c r="D5" s="513">
        <v>43623</v>
      </c>
      <c r="E5" s="513">
        <v>43635</v>
      </c>
      <c r="F5" s="513">
        <v>43644</v>
      </c>
      <c r="G5" s="513">
        <v>43672</v>
      </c>
    </row>
    <row r="6" spans="2:7">
      <c r="B6" s="511">
        <v>63.923779000000003</v>
      </c>
      <c r="C6" s="511" t="s">
        <v>138</v>
      </c>
      <c r="D6" s="511">
        <v>62.108029000000002</v>
      </c>
      <c r="E6" s="511">
        <v>62.108029000000002</v>
      </c>
      <c r="F6" s="511">
        <v>63.923779000000003</v>
      </c>
      <c r="G6" s="511">
        <v>63.923779000000003</v>
      </c>
    </row>
    <row r="7" spans="2:7">
      <c r="B7" s="511">
        <v>6.9585499999999998</v>
      </c>
      <c r="C7" s="511" t="s">
        <v>139</v>
      </c>
      <c r="D7" s="511">
        <v>6.9585499999999998</v>
      </c>
      <c r="E7" s="511">
        <v>6.9585499999999998</v>
      </c>
      <c r="F7" s="511">
        <v>6.9585499999999998</v>
      </c>
      <c r="G7" s="511">
        <v>6.9585499999999998</v>
      </c>
    </row>
    <row r="8" spans="2:7">
      <c r="B8" s="511">
        <v>0.5</v>
      </c>
      <c r="C8" s="511" t="s">
        <v>140</v>
      </c>
      <c r="D8" s="511">
        <v>0.5</v>
      </c>
      <c r="E8" s="511">
        <v>0.5</v>
      </c>
      <c r="F8" s="511">
        <v>0.5</v>
      </c>
      <c r="G8" s="511">
        <v>0.5</v>
      </c>
    </row>
    <row r="9" spans="2:7">
      <c r="B9" s="511">
        <v>5.9579960000000005</v>
      </c>
      <c r="C9" s="511" t="s">
        <v>196</v>
      </c>
      <c r="D9" s="511">
        <v>5.9579960000000005</v>
      </c>
      <c r="E9" s="511">
        <v>5.9579960000000005</v>
      </c>
      <c r="F9" s="511">
        <v>5.9579960000000005</v>
      </c>
      <c r="G9" s="511">
        <v>5.9579960000000005</v>
      </c>
    </row>
    <row r="10" spans="2:7">
      <c r="B10" s="511">
        <v>5.5870499999999996</v>
      </c>
      <c r="C10" s="511" t="s">
        <v>28</v>
      </c>
      <c r="D10" s="511">
        <v>5.5870499999999996</v>
      </c>
      <c r="E10" s="511">
        <v>5.5870499999999996</v>
      </c>
      <c r="F10" s="511">
        <v>5.5870499999999996</v>
      </c>
      <c r="G10" s="511">
        <v>5.5870499999999996</v>
      </c>
    </row>
    <row r="11" spans="2:7">
      <c r="B11" s="511">
        <v>0.112</v>
      </c>
      <c r="C11" s="511" t="s">
        <v>29</v>
      </c>
      <c r="D11" s="511">
        <v>0.112</v>
      </c>
      <c r="E11" s="511">
        <v>0.112</v>
      </c>
      <c r="F11" s="511">
        <v>0.112</v>
      </c>
      <c r="G11" s="511">
        <v>0.112</v>
      </c>
    </row>
    <row r="12" spans="2:7">
      <c r="B12" s="511">
        <v>0.43956000000000001</v>
      </c>
      <c r="C12" s="511" t="s">
        <v>142</v>
      </c>
      <c r="D12" s="511">
        <v>0.43956000000000001</v>
      </c>
      <c r="E12" s="511">
        <v>0.43956000000000001</v>
      </c>
      <c r="F12" s="511">
        <v>0.43956000000000001</v>
      </c>
      <c r="G12" s="511">
        <v>0.43956000000000001</v>
      </c>
    </row>
    <row r="13" spans="2:7">
      <c r="B13" s="511">
        <v>3.1930000000000001E-3</v>
      </c>
      <c r="C13" s="511" t="s">
        <v>143</v>
      </c>
      <c r="D13" s="511">
        <v>3.1930000000000001E-3</v>
      </c>
      <c r="E13" s="511">
        <v>3.1930000000000001E-3</v>
      </c>
      <c r="F13" s="511">
        <v>3.1930000000000001E-3</v>
      </c>
      <c r="G13" s="511">
        <v>3.1930000000000001E-3</v>
      </c>
    </row>
    <row r="14" spans="2:7">
      <c r="B14" s="511">
        <v>8.2500000000000004E-3</v>
      </c>
      <c r="C14" s="511" t="s">
        <v>197</v>
      </c>
      <c r="D14" s="511">
        <v>8.2500000000000004E-3</v>
      </c>
      <c r="E14" s="511">
        <v>8.2500000000000004E-3</v>
      </c>
      <c r="F14" s="511">
        <v>8.2500000000000004E-3</v>
      </c>
      <c r="G14" s="511">
        <v>8.2500000000000004E-3</v>
      </c>
    </row>
    <row r="15" spans="2:7">
      <c r="B15" s="511">
        <v>15.958737099999999</v>
      </c>
      <c r="C15" s="511" t="s">
        <v>198</v>
      </c>
      <c r="D15" s="511">
        <v>17.774487099999998</v>
      </c>
      <c r="E15" s="511">
        <v>17.774487099999998</v>
      </c>
      <c r="F15" s="511">
        <v>15.958737099999999</v>
      </c>
      <c r="G15" s="511">
        <v>15.958737099999999</v>
      </c>
    </row>
    <row r="16" spans="2:7">
      <c r="B16" s="511">
        <v>9.0399999999999996E-4</v>
      </c>
      <c r="C16" s="511" t="s">
        <v>199</v>
      </c>
      <c r="D16" s="511">
        <v>9.0399999999999996E-4</v>
      </c>
      <c r="E16" s="511">
        <v>9.0399999999999996E-4</v>
      </c>
      <c r="F16" s="511">
        <v>9.0399999999999996E-4</v>
      </c>
      <c r="G16" s="511">
        <v>9.0399999999999996E-4</v>
      </c>
    </row>
    <row r="17" spans="2:7">
      <c r="B17" s="511">
        <v>0.05</v>
      </c>
      <c r="C17" s="511" t="s">
        <v>147</v>
      </c>
      <c r="D17" s="511">
        <v>0.05</v>
      </c>
      <c r="E17" s="511">
        <v>0.05</v>
      </c>
      <c r="F17" s="511">
        <v>0.05</v>
      </c>
      <c r="G17" s="511">
        <v>0.05</v>
      </c>
    </row>
    <row r="18" spans="2:7">
      <c r="B18" s="511"/>
      <c r="C18" s="511"/>
      <c r="D18" s="511"/>
      <c r="E18" s="511"/>
      <c r="F18" s="511"/>
      <c r="G18" s="511"/>
    </row>
    <row r="19" spans="2:7">
      <c r="B19" s="511"/>
      <c r="C19" s="511"/>
      <c r="D19" s="511"/>
      <c r="E19" s="511"/>
      <c r="F19" s="511"/>
      <c r="G19" s="511"/>
    </row>
    <row r="20" spans="2:7">
      <c r="B20" s="514">
        <f>SUM(B6:B19)</f>
        <v>99.500019099999989</v>
      </c>
      <c r="C20" s="514" t="s">
        <v>200</v>
      </c>
      <c r="D20" s="514">
        <v>99.500019100000003</v>
      </c>
      <c r="E20" s="514">
        <f>SUM(E6:E19)</f>
        <v>99.500019100000003</v>
      </c>
      <c r="F20" s="514">
        <f>SUM(F6:F19)</f>
        <v>99.500019099999989</v>
      </c>
      <c r="G20" s="514">
        <f>SUM(G6:G19)</f>
        <v>99.500019099999989</v>
      </c>
    </row>
  </sheetData>
  <mergeCells count="2">
    <mergeCell ref="C4:G4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Resumen anual</vt:lpstr>
      <vt:lpstr>Resumen periodo</vt:lpstr>
      <vt:lpstr>Control Cuota Artesanal XV-IV</vt:lpstr>
      <vt:lpstr>Control Cuota LTP XV-IV</vt:lpstr>
      <vt:lpstr>Control Cuota_PEP_V-VIII</vt:lpstr>
      <vt:lpstr>Pesca Invest_FA</vt:lpstr>
      <vt:lpstr>Movimientos_LtpPep</vt:lpstr>
      <vt:lpstr>Adjudicacions Pep SSP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2019-08-14T23:17:44Z</dcterms:modified>
</cp:coreProperties>
</file>