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E:\PLANILLAS 2020\Langostino Colorado 2020\"/>
    </mc:Choice>
  </mc:AlternateContent>
  <xr:revisionPtr revIDLastSave="0" documentId="13_ncr:1_{52FD80F9-425E-4BAD-8842-B9C39E4B7A73}" xr6:coauthVersionLast="45" xr6:coauthVersionMax="45" xr10:uidLastSave="{00000000-0000-0000-0000-000000000000}"/>
  <bookViews>
    <workbookView xWindow="-108" yWindow="-108" windowWidth="23256" windowHeight="12576" tabRatio="699" xr2:uid="{00000000-000D-0000-FFFF-FFFF00000000}"/>
  </bookViews>
  <sheets>
    <sheet name="RESUMEN " sheetId="1" r:id="rId1"/>
    <sheet name="CUOTA ARTESANAL" sheetId="2" r:id="rId2"/>
    <sheet name="CESIONES INDIVIDUALES" sheetId="6" r:id="rId3"/>
    <sheet name="PESCA INVESTIGACION" sheetId="7" r:id="rId4"/>
    <sheet name="CUOTA LTP" sheetId="3" r:id="rId5"/>
    <sheet name="CUOTA LICITADA" sheetId="4" r:id="rId6"/>
    <sheet name="PAG. WEB" sheetId="5" r:id="rId7"/>
  </sheets>
  <definedNames>
    <definedName name="_xlnm._FilterDatabase" localSheetId="6" hidden="1">'PAG. WEB'!$A$1:$Q$142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6" i="7" l="1"/>
  <c r="I9" i="7"/>
  <c r="H26" i="1" s="1"/>
  <c r="H9" i="7"/>
  <c r="H14" i="1" s="1"/>
  <c r="G6" i="7"/>
  <c r="N6" i="7" l="1"/>
  <c r="M6" i="7"/>
  <c r="J9" i="7"/>
  <c r="N9" i="7" s="1"/>
  <c r="G9" i="7"/>
  <c r="F9" i="7"/>
  <c r="L6" i="7" s="1"/>
  <c r="L9" i="7" s="1"/>
  <c r="E9" i="7"/>
  <c r="K6" i="7" s="1"/>
  <c r="K9" i="7" s="1"/>
  <c r="M9" i="7" l="1"/>
  <c r="F12" i="2"/>
  <c r="F7" i="6"/>
  <c r="E7" i="6"/>
  <c r="H6" i="6"/>
  <c r="G6" i="6"/>
  <c r="G7" i="6" l="1"/>
  <c r="H7" i="6"/>
  <c r="F28" i="3" l="1"/>
  <c r="G40" i="4" l="1"/>
  <c r="G46" i="4"/>
  <c r="G20" i="4" l="1"/>
  <c r="G44" i="4"/>
  <c r="G14" i="4"/>
  <c r="G26" i="4" l="1"/>
  <c r="L68" i="4" l="1"/>
  <c r="O68" i="4"/>
  <c r="I70" i="4"/>
  <c r="G68" i="4"/>
  <c r="H68" i="4" s="1"/>
  <c r="K68" i="4" l="1"/>
  <c r="J68" i="4"/>
  <c r="H69" i="4" s="1"/>
  <c r="J69" i="4" s="1"/>
  <c r="M68" i="4"/>
  <c r="N68" i="4" s="1"/>
  <c r="P68" i="4" s="1"/>
  <c r="E70" i="4"/>
  <c r="K69" i="4" l="1"/>
  <c r="Q68" i="4"/>
  <c r="F24" i="3"/>
  <c r="F10" i="2"/>
  <c r="F18" i="3" l="1"/>
  <c r="F16" i="2"/>
  <c r="G58" i="4" l="1"/>
  <c r="G32" i="4"/>
  <c r="O140" i="5" l="1"/>
  <c r="O141" i="5"/>
  <c r="I140" i="5"/>
  <c r="K140" i="5"/>
  <c r="H140" i="5"/>
  <c r="E140" i="5"/>
  <c r="E141" i="5"/>
  <c r="L66" i="4"/>
  <c r="H141" i="5" s="1"/>
  <c r="O66" i="4"/>
  <c r="K141" i="5" s="1"/>
  <c r="G66" i="4"/>
  <c r="H66" i="4" s="1"/>
  <c r="G70" i="4" l="1"/>
  <c r="M66" i="4"/>
  <c r="I141" i="5" s="1"/>
  <c r="K66" i="4"/>
  <c r="J66" i="4"/>
  <c r="H67" i="4" s="1"/>
  <c r="N66" i="4"/>
  <c r="Q66" i="4" s="1"/>
  <c r="M141" i="5" s="1"/>
  <c r="O3" i="5"/>
  <c r="O4" i="5"/>
  <c r="O5" i="5"/>
  <c r="O6" i="5"/>
  <c r="O7" i="5"/>
  <c r="O8" i="5"/>
  <c r="O9" i="5"/>
  <c r="O10" i="5"/>
  <c r="O11" i="5"/>
  <c r="O12" i="5"/>
  <c r="O13" i="5"/>
  <c r="O14" i="5"/>
  <c r="O15" i="5"/>
  <c r="O16" i="5"/>
  <c r="O17" i="5"/>
  <c r="O18" i="5"/>
  <c r="O19" i="5"/>
  <c r="O20" i="5"/>
  <c r="O21" i="5"/>
  <c r="O22" i="5"/>
  <c r="O23" i="5"/>
  <c r="O24" i="5"/>
  <c r="O25" i="5"/>
  <c r="O26" i="5"/>
  <c r="O27" i="5"/>
  <c r="O28" i="5"/>
  <c r="O29" i="5"/>
  <c r="O30" i="5"/>
  <c r="O31" i="5"/>
  <c r="O32" i="5"/>
  <c r="O33" i="5"/>
  <c r="O34" i="5"/>
  <c r="O35" i="5"/>
  <c r="O36" i="5"/>
  <c r="O37" i="5"/>
  <c r="O38" i="5"/>
  <c r="O39" i="5"/>
  <c r="O40" i="5"/>
  <c r="O41" i="5"/>
  <c r="O42" i="5"/>
  <c r="O43" i="5"/>
  <c r="O44" i="5"/>
  <c r="O45" i="5"/>
  <c r="O46" i="5"/>
  <c r="O47" i="5"/>
  <c r="O48" i="5"/>
  <c r="O49" i="5"/>
  <c r="O50" i="5"/>
  <c r="O51" i="5"/>
  <c r="O52" i="5"/>
  <c r="O53" i="5"/>
  <c r="O54" i="5"/>
  <c r="O55" i="5"/>
  <c r="O56" i="5"/>
  <c r="O57" i="5"/>
  <c r="O58" i="5"/>
  <c r="O59" i="5"/>
  <c r="O60" i="5"/>
  <c r="O61" i="5"/>
  <c r="O62" i="5"/>
  <c r="O63" i="5"/>
  <c r="O64" i="5"/>
  <c r="O65" i="5"/>
  <c r="O66" i="5"/>
  <c r="O67" i="5"/>
  <c r="O68" i="5"/>
  <c r="O69" i="5"/>
  <c r="O70" i="5"/>
  <c r="O71" i="5"/>
  <c r="O72" i="5"/>
  <c r="O73" i="5"/>
  <c r="O74" i="5"/>
  <c r="O75" i="5"/>
  <c r="O76" i="5"/>
  <c r="O77" i="5"/>
  <c r="O78" i="5"/>
  <c r="O79" i="5"/>
  <c r="O80" i="5"/>
  <c r="O81" i="5"/>
  <c r="O82" i="5"/>
  <c r="O83" i="5"/>
  <c r="O84" i="5"/>
  <c r="O85" i="5"/>
  <c r="O86" i="5"/>
  <c r="O87" i="5"/>
  <c r="O88" i="5"/>
  <c r="O89" i="5"/>
  <c r="O90" i="5"/>
  <c r="O91" i="5"/>
  <c r="O92" i="5"/>
  <c r="O93" i="5"/>
  <c r="O94" i="5"/>
  <c r="O95" i="5"/>
  <c r="O96" i="5"/>
  <c r="O97" i="5"/>
  <c r="O98" i="5"/>
  <c r="O99" i="5"/>
  <c r="O100" i="5"/>
  <c r="O101" i="5"/>
  <c r="O102" i="5"/>
  <c r="O103" i="5"/>
  <c r="O104" i="5"/>
  <c r="O105" i="5"/>
  <c r="O106" i="5"/>
  <c r="O107" i="5"/>
  <c r="O108" i="5"/>
  <c r="O109" i="5"/>
  <c r="O110" i="5"/>
  <c r="O111" i="5"/>
  <c r="O112" i="5"/>
  <c r="O113" i="5"/>
  <c r="O114" i="5"/>
  <c r="O115" i="5"/>
  <c r="O116" i="5"/>
  <c r="O117" i="5"/>
  <c r="O118" i="5"/>
  <c r="O119" i="5"/>
  <c r="O120" i="5"/>
  <c r="O121" i="5"/>
  <c r="O122" i="5"/>
  <c r="O123" i="5"/>
  <c r="O124" i="5"/>
  <c r="O125" i="5"/>
  <c r="O126" i="5"/>
  <c r="O127" i="5"/>
  <c r="O128" i="5"/>
  <c r="O129" i="5"/>
  <c r="O130" i="5"/>
  <c r="O131" i="5"/>
  <c r="O132" i="5"/>
  <c r="O133" i="5"/>
  <c r="O134" i="5"/>
  <c r="O135" i="5"/>
  <c r="O136" i="5"/>
  <c r="O137" i="5"/>
  <c r="O138" i="5"/>
  <c r="O139" i="5"/>
  <c r="O142" i="5"/>
  <c r="O2" i="5"/>
  <c r="J141" i="5" l="1"/>
  <c r="P66" i="4"/>
  <c r="L141" i="5" s="1"/>
  <c r="J67" i="4"/>
  <c r="L140" i="5" s="1"/>
  <c r="J140" i="5"/>
  <c r="K67" i="4"/>
  <c r="M140" i="5" s="1"/>
  <c r="B11" i="4"/>
  <c r="B3" i="3"/>
  <c r="B3" i="2" l="1"/>
  <c r="B21" i="1"/>
  <c r="E139" i="5" l="1"/>
  <c r="E138" i="5"/>
  <c r="E136" i="5"/>
  <c r="E135" i="5"/>
  <c r="E133" i="5"/>
  <c r="E132" i="5"/>
  <c r="E130" i="5"/>
  <c r="E129" i="5"/>
  <c r="E127" i="5"/>
  <c r="E126" i="5"/>
  <c r="E124" i="5"/>
  <c r="E123" i="5"/>
  <c r="E121" i="5"/>
  <c r="E120" i="5"/>
  <c r="E118" i="5"/>
  <c r="E117" i="5"/>
  <c r="E115" i="5"/>
  <c r="E114" i="5"/>
  <c r="E112" i="5"/>
  <c r="E111" i="5"/>
  <c r="E109" i="5"/>
  <c r="E108" i="5"/>
  <c r="E106" i="5"/>
  <c r="E105" i="5"/>
  <c r="E103" i="5"/>
  <c r="E102" i="5"/>
  <c r="I101" i="5"/>
  <c r="K101" i="5"/>
  <c r="I102" i="5"/>
  <c r="K102" i="5"/>
  <c r="I104" i="5"/>
  <c r="K104" i="5"/>
  <c r="I105" i="5"/>
  <c r="K105" i="5"/>
  <c r="I107" i="5"/>
  <c r="K107" i="5"/>
  <c r="I108" i="5"/>
  <c r="K108" i="5"/>
  <c r="I110" i="5"/>
  <c r="K110" i="5"/>
  <c r="I111" i="5"/>
  <c r="K111" i="5"/>
  <c r="I113" i="5"/>
  <c r="K113" i="5"/>
  <c r="I114" i="5"/>
  <c r="K114" i="5"/>
  <c r="I116" i="5"/>
  <c r="K116" i="5"/>
  <c r="I117" i="5"/>
  <c r="K117" i="5"/>
  <c r="I119" i="5"/>
  <c r="K119" i="5"/>
  <c r="I120" i="5"/>
  <c r="K120" i="5"/>
  <c r="I122" i="5"/>
  <c r="K122" i="5"/>
  <c r="I123" i="5"/>
  <c r="K123" i="5"/>
  <c r="I125" i="5"/>
  <c r="K125" i="5"/>
  <c r="I126" i="5"/>
  <c r="K126" i="5"/>
  <c r="I128" i="5"/>
  <c r="K128" i="5"/>
  <c r="I129" i="5"/>
  <c r="K129" i="5"/>
  <c r="I131" i="5"/>
  <c r="K131" i="5"/>
  <c r="I132" i="5"/>
  <c r="K132" i="5"/>
  <c r="I134" i="5"/>
  <c r="K134" i="5"/>
  <c r="I135" i="5"/>
  <c r="K135" i="5"/>
  <c r="I137" i="5"/>
  <c r="K137" i="5"/>
  <c r="I138" i="5"/>
  <c r="K138" i="5"/>
  <c r="E137" i="5"/>
  <c r="E104" i="5"/>
  <c r="E107" i="5"/>
  <c r="E110" i="5"/>
  <c r="E113" i="5"/>
  <c r="E116" i="5"/>
  <c r="E119" i="5"/>
  <c r="E122" i="5"/>
  <c r="E125" i="5"/>
  <c r="E128" i="5"/>
  <c r="E131" i="5"/>
  <c r="E134" i="5"/>
  <c r="E101" i="5"/>
  <c r="E91" i="5"/>
  <c r="E90" i="5"/>
  <c r="E100" i="5"/>
  <c r="E99" i="5"/>
  <c r="E97" i="5"/>
  <c r="E96" i="5"/>
  <c r="E94" i="5"/>
  <c r="E93" i="5"/>
  <c r="E88" i="5"/>
  <c r="E87" i="5"/>
  <c r="E85" i="5"/>
  <c r="E84" i="5"/>
  <c r="E82" i="5"/>
  <c r="E81" i="5"/>
  <c r="E79" i="5"/>
  <c r="E78" i="5"/>
  <c r="E76" i="5"/>
  <c r="E75" i="5"/>
  <c r="E73" i="5"/>
  <c r="E72" i="5"/>
  <c r="E70" i="5"/>
  <c r="E69" i="5"/>
  <c r="E67" i="5"/>
  <c r="E66" i="5"/>
  <c r="E64" i="5"/>
  <c r="E63" i="5"/>
  <c r="I62" i="5"/>
  <c r="K62" i="5"/>
  <c r="I63" i="5"/>
  <c r="K63" i="5"/>
  <c r="I65" i="5"/>
  <c r="K65" i="5"/>
  <c r="I66" i="5"/>
  <c r="K66" i="5"/>
  <c r="I68" i="5"/>
  <c r="K68" i="5"/>
  <c r="I69" i="5"/>
  <c r="K69" i="5"/>
  <c r="I71" i="5"/>
  <c r="K71" i="5"/>
  <c r="I72" i="5"/>
  <c r="K72" i="5"/>
  <c r="I74" i="5"/>
  <c r="K74" i="5"/>
  <c r="I75" i="5"/>
  <c r="K75" i="5"/>
  <c r="I77" i="5"/>
  <c r="K77" i="5"/>
  <c r="I78" i="5"/>
  <c r="K78" i="5"/>
  <c r="I80" i="5"/>
  <c r="K80" i="5"/>
  <c r="I81" i="5"/>
  <c r="K81" i="5"/>
  <c r="I83" i="5"/>
  <c r="K83" i="5"/>
  <c r="I84" i="5"/>
  <c r="K84" i="5"/>
  <c r="I86" i="5"/>
  <c r="K86" i="5"/>
  <c r="I87" i="5"/>
  <c r="K87" i="5"/>
  <c r="I89" i="5"/>
  <c r="K89" i="5"/>
  <c r="I90" i="5"/>
  <c r="K90" i="5"/>
  <c r="I92" i="5"/>
  <c r="K92" i="5"/>
  <c r="I93" i="5"/>
  <c r="K93" i="5"/>
  <c r="I95" i="5"/>
  <c r="K95" i="5"/>
  <c r="I96" i="5"/>
  <c r="K96" i="5"/>
  <c r="I98" i="5"/>
  <c r="K98" i="5"/>
  <c r="I99" i="5"/>
  <c r="K99" i="5"/>
  <c r="E98" i="5"/>
  <c r="E65" i="5"/>
  <c r="E68" i="5"/>
  <c r="E71" i="5"/>
  <c r="E74" i="5"/>
  <c r="E77" i="5"/>
  <c r="E80" i="5"/>
  <c r="E83" i="5"/>
  <c r="E86" i="5"/>
  <c r="E89" i="5"/>
  <c r="E92" i="5"/>
  <c r="E95" i="5"/>
  <c r="E62" i="5"/>
  <c r="E60" i="5"/>
  <c r="E59" i="5"/>
  <c r="E57" i="5"/>
  <c r="E56" i="5"/>
  <c r="E54" i="5"/>
  <c r="E53" i="5"/>
  <c r="E51" i="5"/>
  <c r="E50" i="5"/>
  <c r="E48" i="5"/>
  <c r="E47" i="5"/>
  <c r="E45" i="5"/>
  <c r="E44" i="5"/>
  <c r="I43" i="5"/>
  <c r="K43" i="5"/>
  <c r="I44" i="5"/>
  <c r="K44" i="5"/>
  <c r="I46" i="5"/>
  <c r="K46" i="5"/>
  <c r="I47" i="5"/>
  <c r="K47" i="5"/>
  <c r="I49" i="5"/>
  <c r="K49" i="5"/>
  <c r="I50" i="5"/>
  <c r="K50" i="5"/>
  <c r="I52" i="5"/>
  <c r="K52" i="5"/>
  <c r="I53" i="5"/>
  <c r="K53" i="5"/>
  <c r="I55" i="5"/>
  <c r="K55" i="5"/>
  <c r="I56" i="5"/>
  <c r="K56" i="5"/>
  <c r="I58" i="5"/>
  <c r="K58" i="5"/>
  <c r="I59" i="5"/>
  <c r="K59" i="5"/>
  <c r="E58" i="5"/>
  <c r="E46" i="5"/>
  <c r="E49" i="5"/>
  <c r="E52" i="5"/>
  <c r="E55" i="5"/>
  <c r="E43" i="5"/>
  <c r="E42" i="5"/>
  <c r="E41" i="5"/>
  <c r="E39" i="5"/>
  <c r="E38" i="5"/>
  <c r="E36" i="5"/>
  <c r="E35" i="5"/>
  <c r="E33" i="5"/>
  <c r="E32" i="5"/>
  <c r="E30" i="5"/>
  <c r="E29" i="5"/>
  <c r="E27" i="5"/>
  <c r="I25" i="5"/>
  <c r="K25" i="5"/>
  <c r="I26" i="5"/>
  <c r="K26" i="5"/>
  <c r="I28" i="5"/>
  <c r="K28" i="5"/>
  <c r="I29" i="5"/>
  <c r="K29" i="5"/>
  <c r="I31" i="5"/>
  <c r="K31" i="5"/>
  <c r="I32" i="5"/>
  <c r="K32" i="5"/>
  <c r="I34" i="5"/>
  <c r="K34" i="5"/>
  <c r="I35" i="5"/>
  <c r="K35" i="5"/>
  <c r="I37" i="5"/>
  <c r="K37" i="5"/>
  <c r="I38" i="5"/>
  <c r="K38" i="5"/>
  <c r="I40" i="5"/>
  <c r="K40" i="5"/>
  <c r="I41" i="5"/>
  <c r="K41" i="5"/>
  <c r="E26" i="5"/>
  <c r="E28" i="5"/>
  <c r="E31" i="5"/>
  <c r="E34" i="5"/>
  <c r="E37" i="5"/>
  <c r="E40" i="5"/>
  <c r="E25" i="5"/>
  <c r="N24" i="5"/>
  <c r="I23" i="5"/>
  <c r="K23" i="5"/>
  <c r="N23" i="5"/>
  <c r="H23" i="5"/>
  <c r="I21" i="5"/>
  <c r="K21" i="5"/>
  <c r="N21" i="5"/>
  <c r="H21" i="5"/>
  <c r="I20" i="5"/>
  <c r="K20" i="5"/>
  <c r="N20" i="5"/>
  <c r="H20" i="5"/>
  <c r="E22" i="5"/>
  <c r="E21" i="5"/>
  <c r="E20" i="5"/>
  <c r="I18" i="5"/>
  <c r="K18" i="5"/>
  <c r="N18" i="5"/>
  <c r="H18" i="5"/>
  <c r="I17" i="5"/>
  <c r="K17" i="5"/>
  <c r="N17" i="5"/>
  <c r="H17" i="5"/>
  <c r="E19" i="5"/>
  <c r="E18" i="5"/>
  <c r="E17" i="5"/>
  <c r="I15" i="5"/>
  <c r="K15" i="5"/>
  <c r="N15" i="5"/>
  <c r="H15" i="5"/>
  <c r="I14" i="5"/>
  <c r="K14" i="5"/>
  <c r="N14" i="5"/>
  <c r="H14" i="5"/>
  <c r="E16" i="5"/>
  <c r="E15" i="5"/>
  <c r="E14" i="5"/>
  <c r="I12" i="5"/>
  <c r="K12" i="5"/>
  <c r="N12" i="5"/>
  <c r="H12" i="5"/>
  <c r="I11" i="5"/>
  <c r="K11" i="5"/>
  <c r="N11" i="5"/>
  <c r="H11" i="5"/>
  <c r="E13" i="5"/>
  <c r="E12" i="5"/>
  <c r="E11" i="5"/>
  <c r="I9" i="5"/>
  <c r="K9" i="5"/>
  <c r="N9" i="5"/>
  <c r="H9" i="5"/>
  <c r="I8" i="5"/>
  <c r="K8" i="5"/>
  <c r="N8" i="5"/>
  <c r="H8" i="5"/>
  <c r="E10" i="5"/>
  <c r="E9" i="5"/>
  <c r="E8" i="5"/>
  <c r="I6" i="5"/>
  <c r="K6" i="5"/>
  <c r="N6" i="5"/>
  <c r="H6" i="5"/>
  <c r="I5" i="5"/>
  <c r="K5" i="5"/>
  <c r="N5" i="5"/>
  <c r="H5" i="5"/>
  <c r="N3" i="5"/>
  <c r="I3" i="5"/>
  <c r="K3" i="5"/>
  <c r="H3" i="5"/>
  <c r="I2" i="5"/>
  <c r="K2" i="5"/>
  <c r="N2" i="5"/>
  <c r="H2" i="5"/>
  <c r="G26" i="1" l="1"/>
  <c r="J26" i="1" s="1"/>
  <c r="G27" i="1"/>
  <c r="I27" i="1" s="1"/>
  <c r="J27" i="1" l="1"/>
  <c r="I26" i="1"/>
  <c r="G14" i="1"/>
  <c r="J14" i="1" s="1"/>
  <c r="M16" i="4"/>
  <c r="I67" i="5" s="1"/>
  <c r="O16" i="4"/>
  <c r="M18" i="4"/>
  <c r="O18" i="4"/>
  <c r="K70" i="5" s="1"/>
  <c r="M20" i="4"/>
  <c r="O20" i="4"/>
  <c r="M22" i="4"/>
  <c r="I76" i="5" s="1"/>
  <c r="O22" i="4"/>
  <c r="K76" i="5" s="1"/>
  <c r="M24" i="4"/>
  <c r="I79" i="5" s="1"/>
  <c r="O24" i="4"/>
  <c r="M26" i="4"/>
  <c r="I82" i="5" s="1"/>
  <c r="O26" i="4"/>
  <c r="K82" i="5" s="1"/>
  <c r="M28" i="4"/>
  <c r="I85" i="5" s="1"/>
  <c r="O28" i="4"/>
  <c r="M30" i="4"/>
  <c r="I88" i="5" s="1"/>
  <c r="O30" i="4"/>
  <c r="K88" i="5" s="1"/>
  <c r="M32" i="4"/>
  <c r="O32" i="4"/>
  <c r="M34" i="4"/>
  <c r="I94" i="5" s="1"/>
  <c r="O34" i="4"/>
  <c r="K94" i="5" s="1"/>
  <c r="M36" i="4"/>
  <c r="I97" i="5" s="1"/>
  <c r="O36" i="4"/>
  <c r="M38" i="4"/>
  <c r="O38" i="4"/>
  <c r="K100" i="5" s="1"/>
  <c r="M40" i="4"/>
  <c r="O40" i="4"/>
  <c r="K103" i="5" s="1"/>
  <c r="M42" i="4"/>
  <c r="O42" i="4"/>
  <c r="M44" i="4"/>
  <c r="I109" i="5" s="1"/>
  <c r="O44" i="4"/>
  <c r="M46" i="4"/>
  <c r="O46" i="4"/>
  <c r="M48" i="4"/>
  <c r="I115" i="5" s="1"/>
  <c r="O48" i="4"/>
  <c r="K115" i="5" s="1"/>
  <c r="M50" i="4"/>
  <c r="O50" i="4"/>
  <c r="K118" i="5" s="1"/>
  <c r="M52" i="4"/>
  <c r="I121" i="5" s="1"/>
  <c r="O52" i="4"/>
  <c r="M54" i="4"/>
  <c r="O54" i="4"/>
  <c r="K124" i="5" s="1"/>
  <c r="M56" i="4"/>
  <c r="I127" i="5" s="1"/>
  <c r="O56" i="4"/>
  <c r="K127" i="5" s="1"/>
  <c r="M58" i="4"/>
  <c r="I130" i="5" s="1"/>
  <c r="O58" i="4"/>
  <c r="K130" i="5" s="1"/>
  <c r="M60" i="4"/>
  <c r="I133" i="5" s="1"/>
  <c r="O60" i="4"/>
  <c r="M62" i="4"/>
  <c r="I136" i="5" s="1"/>
  <c r="O62" i="4"/>
  <c r="K136" i="5" s="1"/>
  <c r="M64" i="4"/>
  <c r="I139" i="5" s="1"/>
  <c r="O64" i="4"/>
  <c r="K139" i="5" s="1"/>
  <c r="O14" i="4"/>
  <c r="M14" i="4"/>
  <c r="M70" i="4" l="1"/>
  <c r="I142" i="5" s="1"/>
  <c r="I103" i="5"/>
  <c r="F25" i="1"/>
  <c r="K112" i="5"/>
  <c r="H25" i="1"/>
  <c r="K64" i="5"/>
  <c r="O70" i="4"/>
  <c r="I14" i="1"/>
  <c r="H24" i="1"/>
  <c r="I64" i="5"/>
  <c r="I91" i="5"/>
  <c r="K79" i="5"/>
  <c r="I73" i="5"/>
  <c r="I124" i="5"/>
  <c r="I112" i="5"/>
  <c r="I100" i="5"/>
  <c r="K91" i="5"/>
  <c r="K73" i="5"/>
  <c r="K133" i="5"/>
  <c r="K121" i="5"/>
  <c r="I118" i="5"/>
  <c r="K109" i="5"/>
  <c r="I106" i="5"/>
  <c r="K97" i="5"/>
  <c r="K85" i="5"/>
  <c r="K67" i="5"/>
  <c r="F24" i="1"/>
  <c r="I70" i="5"/>
  <c r="K106" i="5"/>
  <c r="F42" i="4"/>
  <c r="F43" i="4"/>
  <c r="H105" i="5" s="1"/>
  <c r="F44" i="4"/>
  <c r="F45" i="4"/>
  <c r="H108" i="5" s="1"/>
  <c r="F46" i="4"/>
  <c r="F47" i="4"/>
  <c r="H111" i="5" s="1"/>
  <c r="F48" i="4"/>
  <c r="F49" i="4"/>
  <c r="H114" i="5" s="1"/>
  <c r="F50" i="4"/>
  <c r="F51" i="4"/>
  <c r="H117" i="5" s="1"/>
  <c r="F52" i="4"/>
  <c r="F53" i="4"/>
  <c r="H120" i="5" s="1"/>
  <c r="F54" i="4"/>
  <c r="F55" i="4"/>
  <c r="H123" i="5" s="1"/>
  <c r="F56" i="4"/>
  <c r="F57" i="4"/>
  <c r="H126" i="5" s="1"/>
  <c r="F58" i="4"/>
  <c r="F59" i="4"/>
  <c r="H129" i="5" s="1"/>
  <c r="F60" i="4"/>
  <c r="F61" i="4"/>
  <c r="F62" i="4"/>
  <c r="F63" i="4"/>
  <c r="H135" i="5" s="1"/>
  <c r="F64" i="4"/>
  <c r="F65" i="4"/>
  <c r="F41" i="4"/>
  <c r="H102" i="5" s="1"/>
  <c r="F40" i="4"/>
  <c r="F39" i="4"/>
  <c r="H99" i="5" s="1"/>
  <c r="F38" i="4"/>
  <c r="F16" i="4"/>
  <c r="F17" i="4"/>
  <c r="H66" i="5" s="1"/>
  <c r="F18" i="4"/>
  <c r="F19" i="4"/>
  <c r="H69" i="5" s="1"/>
  <c r="F20" i="4"/>
  <c r="F21" i="4"/>
  <c r="H72" i="5" s="1"/>
  <c r="F22" i="4"/>
  <c r="F23" i="4"/>
  <c r="H75" i="5" s="1"/>
  <c r="F24" i="4"/>
  <c r="F25" i="4"/>
  <c r="H78" i="5" s="1"/>
  <c r="F26" i="4"/>
  <c r="F27" i="4"/>
  <c r="H81" i="5" s="1"/>
  <c r="F28" i="4"/>
  <c r="F29" i="4"/>
  <c r="H84" i="5" s="1"/>
  <c r="F30" i="4"/>
  <c r="F31" i="4"/>
  <c r="H87" i="5" s="1"/>
  <c r="F32" i="4"/>
  <c r="F33" i="4"/>
  <c r="H90" i="5" s="1"/>
  <c r="F34" i="4"/>
  <c r="F35" i="4"/>
  <c r="H93" i="5" s="1"/>
  <c r="F36" i="4"/>
  <c r="F37" i="4"/>
  <c r="H96" i="5" s="1"/>
  <c r="F15" i="4"/>
  <c r="F14" i="4"/>
  <c r="E25" i="1" l="1"/>
  <c r="F28" i="1"/>
  <c r="H83" i="5"/>
  <c r="H28" i="4"/>
  <c r="L28" i="4"/>
  <c r="H71" i="5"/>
  <c r="H20" i="4"/>
  <c r="L20" i="4"/>
  <c r="H134" i="5"/>
  <c r="H62" i="4"/>
  <c r="L62" i="4"/>
  <c r="H110" i="5"/>
  <c r="H46" i="4"/>
  <c r="L46" i="4"/>
  <c r="H98" i="5"/>
  <c r="H38" i="4"/>
  <c r="L38" i="4"/>
  <c r="H138" i="5"/>
  <c r="H132" i="5"/>
  <c r="H89" i="5"/>
  <c r="H32" i="4"/>
  <c r="L32" i="4"/>
  <c r="H122" i="5"/>
  <c r="H54" i="4"/>
  <c r="L54" i="4"/>
  <c r="H104" i="5"/>
  <c r="L42" i="4"/>
  <c r="H42" i="4"/>
  <c r="F70" i="4"/>
  <c r="H70" i="4" s="1"/>
  <c r="H62" i="5"/>
  <c r="H14" i="4"/>
  <c r="L14" i="4"/>
  <c r="H63" i="5"/>
  <c r="H92" i="5"/>
  <c r="L34" i="4"/>
  <c r="H34" i="4"/>
  <c r="H86" i="5"/>
  <c r="H30" i="4"/>
  <c r="L30" i="4"/>
  <c r="H80" i="5"/>
  <c r="L26" i="4"/>
  <c r="H26" i="4"/>
  <c r="H74" i="5"/>
  <c r="L22" i="4"/>
  <c r="H22" i="4"/>
  <c r="H68" i="5"/>
  <c r="H18" i="4"/>
  <c r="L18" i="4"/>
  <c r="H137" i="5"/>
  <c r="L64" i="4"/>
  <c r="H64" i="4"/>
  <c r="H131" i="5"/>
  <c r="L60" i="4"/>
  <c r="H60" i="4"/>
  <c r="H125" i="5"/>
  <c r="L56" i="4"/>
  <c r="H56" i="4"/>
  <c r="H119" i="5"/>
  <c r="H52" i="4"/>
  <c r="L52" i="4"/>
  <c r="H113" i="5"/>
  <c r="H48" i="4"/>
  <c r="L48" i="4"/>
  <c r="H107" i="5"/>
  <c r="H44" i="4"/>
  <c r="L44" i="4"/>
  <c r="H95" i="5"/>
  <c r="H36" i="4"/>
  <c r="L36" i="4"/>
  <c r="H77" i="5"/>
  <c r="H24" i="4"/>
  <c r="L24" i="4"/>
  <c r="H65" i="5"/>
  <c r="H16" i="4"/>
  <c r="L16" i="4"/>
  <c r="H128" i="5"/>
  <c r="L58" i="4"/>
  <c r="H58" i="4"/>
  <c r="H116" i="5"/>
  <c r="L50" i="4"/>
  <c r="H50" i="4"/>
  <c r="H101" i="5"/>
  <c r="H40" i="4"/>
  <c r="L40" i="4"/>
  <c r="K142" i="5"/>
  <c r="H28" i="1"/>
  <c r="D6" i="4"/>
  <c r="C6" i="4"/>
  <c r="E5" i="4"/>
  <c r="E4" i="4"/>
  <c r="J70" i="4" l="1"/>
  <c r="K70" i="4"/>
  <c r="L70" i="4"/>
  <c r="N70" i="4" s="1"/>
  <c r="P70" i="4" s="1"/>
  <c r="E24" i="1"/>
  <c r="J40" i="4"/>
  <c r="J101" i="5"/>
  <c r="K40" i="4"/>
  <c r="M101" i="5" s="1"/>
  <c r="H67" i="5"/>
  <c r="N16" i="4"/>
  <c r="N48" i="4"/>
  <c r="H115" i="5"/>
  <c r="K64" i="4"/>
  <c r="M137" i="5" s="1"/>
  <c r="J137" i="5"/>
  <c r="J64" i="4"/>
  <c r="N34" i="4"/>
  <c r="P34" i="4" s="1"/>
  <c r="H94" i="5"/>
  <c r="J104" i="5"/>
  <c r="K42" i="4"/>
  <c r="M104" i="5" s="1"/>
  <c r="J42" i="4"/>
  <c r="K62" i="4"/>
  <c r="M134" i="5" s="1"/>
  <c r="J134" i="5"/>
  <c r="J62" i="4"/>
  <c r="K58" i="4"/>
  <c r="M128" i="5" s="1"/>
  <c r="J128" i="5"/>
  <c r="J58" i="4"/>
  <c r="J16" i="4"/>
  <c r="J65" i="5"/>
  <c r="K16" i="4"/>
  <c r="M65" i="5" s="1"/>
  <c r="N44" i="4"/>
  <c r="H109" i="5"/>
  <c r="J48" i="4"/>
  <c r="J113" i="5"/>
  <c r="K48" i="4"/>
  <c r="M113" i="5" s="1"/>
  <c r="K60" i="4"/>
  <c r="M131" i="5" s="1"/>
  <c r="J131" i="5"/>
  <c r="J60" i="4"/>
  <c r="N64" i="4"/>
  <c r="H139" i="5"/>
  <c r="J80" i="5"/>
  <c r="K26" i="4"/>
  <c r="M80" i="5" s="1"/>
  <c r="J26" i="4"/>
  <c r="J86" i="5"/>
  <c r="K30" i="4"/>
  <c r="M86" i="5" s="1"/>
  <c r="J30" i="4"/>
  <c r="J62" i="5"/>
  <c r="J14" i="4"/>
  <c r="K14" i="4"/>
  <c r="M62" i="5" s="1"/>
  <c r="H106" i="5"/>
  <c r="N42" i="4"/>
  <c r="H100" i="5"/>
  <c r="N38" i="4"/>
  <c r="J110" i="5"/>
  <c r="K46" i="4"/>
  <c r="M110" i="5" s="1"/>
  <c r="J46" i="4"/>
  <c r="H85" i="5"/>
  <c r="N28" i="4"/>
  <c r="J52" i="4"/>
  <c r="J119" i="5"/>
  <c r="K52" i="4"/>
  <c r="M119" i="5" s="1"/>
  <c r="J68" i="5"/>
  <c r="K18" i="4"/>
  <c r="M68" i="5" s="1"/>
  <c r="J18" i="4"/>
  <c r="H64" i="5"/>
  <c r="N14" i="4"/>
  <c r="K54" i="4"/>
  <c r="M122" i="5" s="1"/>
  <c r="J122" i="5"/>
  <c r="J54" i="4"/>
  <c r="J116" i="5"/>
  <c r="K50" i="4"/>
  <c r="M116" i="5" s="1"/>
  <c r="J50" i="4"/>
  <c r="N58" i="4"/>
  <c r="H130" i="5"/>
  <c r="N36" i="4"/>
  <c r="H97" i="5"/>
  <c r="J44" i="4"/>
  <c r="J107" i="5"/>
  <c r="K44" i="4"/>
  <c r="M107" i="5" s="1"/>
  <c r="J56" i="4"/>
  <c r="J125" i="5"/>
  <c r="K56" i="4"/>
  <c r="M125" i="5" s="1"/>
  <c r="N60" i="4"/>
  <c r="H133" i="5"/>
  <c r="J74" i="5"/>
  <c r="K22" i="4"/>
  <c r="M74" i="5" s="1"/>
  <c r="J22" i="4"/>
  <c r="N26" i="4"/>
  <c r="H82" i="5"/>
  <c r="H91" i="5"/>
  <c r="N32" i="4"/>
  <c r="J98" i="5"/>
  <c r="K38" i="4"/>
  <c r="M98" i="5" s="1"/>
  <c r="J38" i="4"/>
  <c r="H73" i="5"/>
  <c r="N20" i="4"/>
  <c r="J28" i="4"/>
  <c r="J83" i="5"/>
  <c r="K28" i="4"/>
  <c r="M83" i="5" s="1"/>
  <c r="J24" i="4"/>
  <c r="J77" i="5"/>
  <c r="K24" i="4"/>
  <c r="M77" i="5" s="1"/>
  <c r="N30" i="4"/>
  <c r="H88" i="5"/>
  <c r="H112" i="5"/>
  <c r="N46" i="4"/>
  <c r="N40" i="4"/>
  <c r="H103" i="5"/>
  <c r="G25" i="1"/>
  <c r="H118" i="5"/>
  <c r="N50" i="4"/>
  <c r="H79" i="5"/>
  <c r="N24" i="4"/>
  <c r="J36" i="4"/>
  <c r="J95" i="5"/>
  <c r="K36" i="4"/>
  <c r="M95" i="5" s="1"/>
  <c r="N52" i="4"/>
  <c r="H121" i="5"/>
  <c r="N56" i="4"/>
  <c r="H127" i="5"/>
  <c r="H70" i="5"/>
  <c r="N18" i="4"/>
  <c r="N22" i="4"/>
  <c r="H76" i="5"/>
  <c r="J92" i="5"/>
  <c r="K34" i="4"/>
  <c r="M92" i="5" s="1"/>
  <c r="J34" i="4"/>
  <c r="H124" i="5"/>
  <c r="N54" i="4"/>
  <c r="J32" i="4"/>
  <c r="J89" i="5"/>
  <c r="K32" i="4"/>
  <c r="M89" i="5" s="1"/>
  <c r="N62" i="4"/>
  <c r="H136" i="5"/>
  <c r="J20" i="4"/>
  <c r="J71" i="5"/>
  <c r="K20" i="4"/>
  <c r="M71" i="5" s="1"/>
  <c r="E6" i="4"/>
  <c r="H30" i="3"/>
  <c r="K61" i="5" s="1"/>
  <c r="F30" i="3"/>
  <c r="I61" i="5" s="1"/>
  <c r="M20" i="2"/>
  <c r="F9" i="1" s="1"/>
  <c r="O20" i="2"/>
  <c r="H9" i="1" s="1"/>
  <c r="L20" i="2"/>
  <c r="E9" i="1" s="1"/>
  <c r="G20" i="2"/>
  <c r="J23" i="5" s="1"/>
  <c r="H21" i="2"/>
  <c r="K24" i="5" s="1"/>
  <c r="F21" i="2"/>
  <c r="I24" i="5" s="1"/>
  <c r="N20" i="2" l="1"/>
  <c r="G9" i="1" s="1"/>
  <c r="Q70" i="4"/>
  <c r="H33" i="4"/>
  <c r="L89" i="5"/>
  <c r="J82" i="5"/>
  <c r="Q26" i="4"/>
  <c r="M82" i="5" s="1"/>
  <c r="P26" i="4"/>
  <c r="L82" i="5" s="1"/>
  <c r="H57" i="4"/>
  <c r="L125" i="5"/>
  <c r="H51" i="4"/>
  <c r="L116" i="5"/>
  <c r="P28" i="4"/>
  <c r="L85" i="5" s="1"/>
  <c r="J85" i="5"/>
  <c r="Q28" i="4"/>
  <c r="M85" i="5" s="1"/>
  <c r="H31" i="4"/>
  <c r="L86" i="5"/>
  <c r="L131" i="5"/>
  <c r="H61" i="4"/>
  <c r="J136" i="5"/>
  <c r="P62" i="4"/>
  <c r="L136" i="5" s="1"/>
  <c r="Q62" i="4"/>
  <c r="M136" i="5" s="1"/>
  <c r="J124" i="5"/>
  <c r="Q54" i="4"/>
  <c r="M124" i="5" s="1"/>
  <c r="P54" i="4"/>
  <c r="L124" i="5" s="1"/>
  <c r="H35" i="4"/>
  <c r="L92" i="5"/>
  <c r="J76" i="5"/>
  <c r="P22" i="4"/>
  <c r="L76" i="5" s="1"/>
  <c r="Q22" i="4"/>
  <c r="M76" i="5" s="1"/>
  <c r="P56" i="4"/>
  <c r="L127" i="5" s="1"/>
  <c r="J127" i="5"/>
  <c r="Q56" i="4"/>
  <c r="M127" i="5" s="1"/>
  <c r="J118" i="5"/>
  <c r="P50" i="4"/>
  <c r="L118" i="5" s="1"/>
  <c r="Q50" i="4"/>
  <c r="M118" i="5" s="1"/>
  <c r="P40" i="4"/>
  <c r="L103" i="5" s="1"/>
  <c r="J103" i="5"/>
  <c r="Q40" i="4"/>
  <c r="M103" i="5" s="1"/>
  <c r="J88" i="5"/>
  <c r="P30" i="4"/>
  <c r="L88" i="5" s="1"/>
  <c r="Q30" i="4"/>
  <c r="M88" i="5" s="1"/>
  <c r="P32" i="4"/>
  <c r="L91" i="5" s="1"/>
  <c r="J91" i="5"/>
  <c r="Q32" i="4"/>
  <c r="M91" i="5" s="1"/>
  <c r="H23" i="4"/>
  <c r="L74" i="5"/>
  <c r="P60" i="4"/>
  <c r="L133" i="5" s="1"/>
  <c r="J133" i="5"/>
  <c r="Q60" i="4"/>
  <c r="M133" i="5" s="1"/>
  <c r="P36" i="4"/>
  <c r="L97" i="5" s="1"/>
  <c r="J97" i="5"/>
  <c r="Q36" i="4"/>
  <c r="M97" i="5" s="1"/>
  <c r="J100" i="5"/>
  <c r="Q38" i="4"/>
  <c r="M100" i="5" s="1"/>
  <c r="P38" i="4"/>
  <c r="L100" i="5" s="1"/>
  <c r="H49" i="4"/>
  <c r="L113" i="5"/>
  <c r="L104" i="5"/>
  <c r="H43" i="4"/>
  <c r="J94" i="5"/>
  <c r="Q34" i="4"/>
  <c r="M94" i="5" s="1"/>
  <c r="L94" i="5"/>
  <c r="H25" i="4"/>
  <c r="L77" i="5"/>
  <c r="H142" i="5"/>
  <c r="I20" i="2"/>
  <c r="J70" i="5"/>
  <c r="Q18" i="4"/>
  <c r="M70" i="5" s="1"/>
  <c r="P18" i="4"/>
  <c r="L70" i="5" s="1"/>
  <c r="H37" i="4"/>
  <c r="L95" i="5"/>
  <c r="J112" i="5"/>
  <c r="P46" i="4"/>
  <c r="L112" i="5" s="1"/>
  <c r="Q46" i="4"/>
  <c r="M112" i="5" s="1"/>
  <c r="H39" i="4"/>
  <c r="L98" i="5"/>
  <c r="E28" i="1"/>
  <c r="G28" i="1" s="1"/>
  <c r="G24" i="1"/>
  <c r="H19" i="4"/>
  <c r="L68" i="5"/>
  <c r="H47" i="4"/>
  <c r="L110" i="5"/>
  <c r="L62" i="5"/>
  <c r="H15" i="4"/>
  <c r="H17" i="4"/>
  <c r="L65" i="5"/>
  <c r="H63" i="4"/>
  <c r="L134" i="5"/>
  <c r="L137" i="5"/>
  <c r="H65" i="4"/>
  <c r="P48" i="4"/>
  <c r="L115" i="5" s="1"/>
  <c r="J115" i="5"/>
  <c r="Q48" i="4"/>
  <c r="M115" i="5" s="1"/>
  <c r="P20" i="4"/>
  <c r="L73" i="5" s="1"/>
  <c r="J73" i="5"/>
  <c r="Q20" i="4"/>
  <c r="M73" i="5" s="1"/>
  <c r="J20" i="2"/>
  <c r="H21" i="4"/>
  <c r="L71" i="5"/>
  <c r="P52" i="4"/>
  <c r="L121" i="5" s="1"/>
  <c r="J121" i="5"/>
  <c r="Q52" i="4"/>
  <c r="M121" i="5" s="1"/>
  <c r="P24" i="4"/>
  <c r="L79" i="5" s="1"/>
  <c r="J79" i="5"/>
  <c r="Q24" i="4"/>
  <c r="M79" i="5" s="1"/>
  <c r="I25" i="1"/>
  <c r="J25" i="1"/>
  <c r="H29" i="4"/>
  <c r="L83" i="5"/>
  <c r="H45" i="4"/>
  <c r="L107" i="5"/>
  <c r="J130" i="5"/>
  <c r="Q58" i="4"/>
  <c r="M130" i="5" s="1"/>
  <c r="P58" i="4"/>
  <c r="L130" i="5" s="1"/>
  <c r="H55" i="4"/>
  <c r="L122" i="5"/>
  <c r="J64" i="5"/>
  <c r="P14" i="4"/>
  <c r="L64" i="5" s="1"/>
  <c r="Q14" i="4"/>
  <c r="M64" i="5" s="1"/>
  <c r="H53" i="4"/>
  <c r="L119" i="5"/>
  <c r="J106" i="5"/>
  <c r="P42" i="4"/>
  <c r="L106" i="5" s="1"/>
  <c r="Q42" i="4"/>
  <c r="M106" i="5" s="1"/>
  <c r="H27" i="4"/>
  <c r="L80" i="5"/>
  <c r="P64" i="4"/>
  <c r="L139" i="5" s="1"/>
  <c r="J139" i="5"/>
  <c r="Q64" i="4"/>
  <c r="M139" i="5" s="1"/>
  <c r="P44" i="4"/>
  <c r="L109" i="5" s="1"/>
  <c r="J109" i="5"/>
  <c r="Q44" i="4"/>
  <c r="M109" i="5" s="1"/>
  <c r="H59" i="4"/>
  <c r="L128" i="5"/>
  <c r="P16" i="4"/>
  <c r="L67" i="5" s="1"/>
  <c r="J67" i="5"/>
  <c r="Q16" i="4"/>
  <c r="M67" i="5" s="1"/>
  <c r="H41" i="4"/>
  <c r="L101" i="5"/>
  <c r="L8" i="2"/>
  <c r="M8" i="2"/>
  <c r="O8" i="2"/>
  <c r="L10" i="2"/>
  <c r="M10" i="2"/>
  <c r="O10" i="2"/>
  <c r="L12" i="2"/>
  <c r="M12" i="2"/>
  <c r="I13" i="5" s="1"/>
  <c r="O12" i="2"/>
  <c r="L14" i="2"/>
  <c r="H16" i="5" s="1"/>
  <c r="M14" i="2"/>
  <c r="O14" i="2"/>
  <c r="K16" i="5" s="1"/>
  <c r="L16" i="2"/>
  <c r="M16" i="2"/>
  <c r="I19" i="5" s="1"/>
  <c r="O16" i="2"/>
  <c r="K19" i="5" s="1"/>
  <c r="L18" i="2"/>
  <c r="H22" i="5" s="1"/>
  <c r="M18" i="2"/>
  <c r="O18" i="2"/>
  <c r="K22" i="5" s="1"/>
  <c r="O6" i="2"/>
  <c r="M6" i="2"/>
  <c r="L6" i="2"/>
  <c r="G8" i="2"/>
  <c r="G10" i="2"/>
  <c r="J8" i="5" s="1"/>
  <c r="G12" i="2"/>
  <c r="G14" i="2"/>
  <c r="J14" i="5" s="1"/>
  <c r="G16" i="2"/>
  <c r="G18" i="2"/>
  <c r="J20" i="5" s="1"/>
  <c r="G6" i="2"/>
  <c r="J2" i="5" s="1"/>
  <c r="L8" i="3"/>
  <c r="I30" i="5" s="1"/>
  <c r="N8" i="3"/>
  <c r="K30" i="5" s="1"/>
  <c r="L10" i="3"/>
  <c r="I33" i="5" s="1"/>
  <c r="N10" i="3"/>
  <c r="K33" i="5" s="1"/>
  <c r="L12" i="3"/>
  <c r="I36" i="5" s="1"/>
  <c r="N12" i="3"/>
  <c r="K36" i="5" s="1"/>
  <c r="L14" i="3"/>
  <c r="I39" i="5" s="1"/>
  <c r="N14" i="3"/>
  <c r="K39" i="5" s="1"/>
  <c r="L16" i="3"/>
  <c r="N16" i="3"/>
  <c r="K42" i="5" s="1"/>
  <c r="L18" i="3"/>
  <c r="N18" i="3"/>
  <c r="K45" i="5" s="1"/>
  <c r="L20" i="3"/>
  <c r="I48" i="5" s="1"/>
  <c r="N20" i="3"/>
  <c r="K48" i="5" s="1"/>
  <c r="L22" i="3"/>
  <c r="I51" i="5" s="1"/>
  <c r="N22" i="3"/>
  <c r="K51" i="5" s="1"/>
  <c r="L24" i="3"/>
  <c r="I54" i="5" s="1"/>
  <c r="N24" i="3"/>
  <c r="L26" i="3"/>
  <c r="I57" i="5" s="1"/>
  <c r="N26" i="3"/>
  <c r="K57" i="5" s="1"/>
  <c r="L28" i="3"/>
  <c r="N28" i="3"/>
  <c r="K60" i="5" s="1"/>
  <c r="N6" i="3"/>
  <c r="L6" i="3"/>
  <c r="I10" i="2" l="1"/>
  <c r="G11" i="2" s="1"/>
  <c r="J9" i="5" s="1"/>
  <c r="I18" i="2"/>
  <c r="I14" i="2"/>
  <c r="G15" i="2" s="1"/>
  <c r="I4" i="5"/>
  <c r="F6" i="1"/>
  <c r="M21" i="2"/>
  <c r="N12" i="2"/>
  <c r="Q12" i="2" s="1"/>
  <c r="M13" i="5" s="1"/>
  <c r="H13" i="5"/>
  <c r="J81" i="5"/>
  <c r="J27" i="4"/>
  <c r="L81" i="5" s="1"/>
  <c r="K27" i="4"/>
  <c r="M81" i="5" s="1"/>
  <c r="J111" i="5"/>
  <c r="K47" i="4"/>
  <c r="M111" i="5" s="1"/>
  <c r="J47" i="4"/>
  <c r="L111" i="5" s="1"/>
  <c r="J61" i="4"/>
  <c r="L132" i="5" s="1"/>
  <c r="J132" i="5"/>
  <c r="K61" i="4"/>
  <c r="M132" i="5" s="1"/>
  <c r="N6" i="2"/>
  <c r="K10" i="5"/>
  <c r="H8" i="1"/>
  <c r="I7" i="5"/>
  <c r="F7" i="1"/>
  <c r="J120" i="5"/>
  <c r="J53" i="4"/>
  <c r="L120" i="5" s="1"/>
  <c r="K53" i="4"/>
  <c r="M120" i="5" s="1"/>
  <c r="J84" i="5"/>
  <c r="K29" i="4"/>
  <c r="M84" i="5" s="1"/>
  <c r="J29" i="4"/>
  <c r="L84" i="5" s="1"/>
  <c r="J63" i="5"/>
  <c r="J15" i="4"/>
  <c r="L63" i="5" s="1"/>
  <c r="K15" i="4"/>
  <c r="M63" i="5" s="1"/>
  <c r="J75" i="5"/>
  <c r="J23" i="4"/>
  <c r="L75" i="5" s="1"/>
  <c r="K23" i="4"/>
  <c r="M75" i="5" s="1"/>
  <c r="J93" i="5"/>
  <c r="K35" i="4"/>
  <c r="M93" i="5" s="1"/>
  <c r="J35" i="4"/>
  <c r="L93" i="5" s="1"/>
  <c r="G19" i="2"/>
  <c r="J21" i="5" s="1"/>
  <c r="L20" i="5"/>
  <c r="K7" i="5"/>
  <c r="H7" i="1"/>
  <c r="J129" i="5"/>
  <c r="J59" i="4"/>
  <c r="L129" i="5" s="1"/>
  <c r="K59" i="4"/>
  <c r="M129" i="5" s="1"/>
  <c r="M23" i="5"/>
  <c r="Q20" i="2"/>
  <c r="J9" i="1" s="1"/>
  <c r="J28" i="1"/>
  <c r="I28" i="1"/>
  <c r="J117" i="5"/>
  <c r="K51" i="4"/>
  <c r="M117" i="5" s="1"/>
  <c r="J51" i="4"/>
  <c r="L117" i="5" s="1"/>
  <c r="K27" i="5"/>
  <c r="H11" i="1"/>
  <c r="I60" i="5"/>
  <c r="I42" i="5"/>
  <c r="I6" i="2"/>
  <c r="I16" i="2"/>
  <c r="J17" i="5"/>
  <c r="I12" i="2"/>
  <c r="J11" i="5"/>
  <c r="I8" i="2"/>
  <c r="J5" i="5"/>
  <c r="K4" i="5"/>
  <c r="H6" i="1"/>
  <c r="O21" i="2"/>
  <c r="N18" i="2"/>
  <c r="J22" i="5" s="1"/>
  <c r="I22" i="5"/>
  <c r="N16" i="2"/>
  <c r="Q16" i="2" s="1"/>
  <c r="M19" i="5" s="1"/>
  <c r="H19" i="5"/>
  <c r="K13" i="5"/>
  <c r="N10" i="2"/>
  <c r="P10" i="2" s="1"/>
  <c r="I10" i="5"/>
  <c r="F8" i="1"/>
  <c r="N8" i="2"/>
  <c r="H7" i="5"/>
  <c r="E7" i="1"/>
  <c r="J123" i="5"/>
  <c r="J55" i="4"/>
  <c r="L123" i="5" s="1"/>
  <c r="K55" i="4"/>
  <c r="M123" i="5" s="1"/>
  <c r="J135" i="5"/>
  <c r="J63" i="4"/>
  <c r="L135" i="5" s="1"/>
  <c r="K63" i="4"/>
  <c r="M135" i="5" s="1"/>
  <c r="J69" i="5"/>
  <c r="K19" i="4"/>
  <c r="M69" i="5" s="1"/>
  <c r="J19" i="4"/>
  <c r="L69" i="5" s="1"/>
  <c r="J99" i="5"/>
  <c r="K39" i="4"/>
  <c r="M99" i="5" s="1"/>
  <c r="J39" i="4"/>
  <c r="L99" i="5" s="1"/>
  <c r="J114" i="5"/>
  <c r="J49" i="4"/>
  <c r="L114" i="5" s="1"/>
  <c r="K49" i="4"/>
  <c r="M114" i="5" s="1"/>
  <c r="J126" i="5"/>
  <c r="J57" i="4"/>
  <c r="L126" i="5" s="1"/>
  <c r="K57" i="4"/>
  <c r="M126" i="5" s="1"/>
  <c r="I27" i="5"/>
  <c r="F11" i="1"/>
  <c r="L30" i="3"/>
  <c r="N14" i="2"/>
  <c r="J16" i="5" s="1"/>
  <c r="I16" i="5"/>
  <c r="J66" i="5"/>
  <c r="J17" i="4"/>
  <c r="L66" i="5" s="1"/>
  <c r="K17" i="4"/>
  <c r="M66" i="5" s="1"/>
  <c r="J142" i="5"/>
  <c r="M142" i="5"/>
  <c r="L142" i="5"/>
  <c r="I45" i="5"/>
  <c r="F12" i="1"/>
  <c r="J6" i="2"/>
  <c r="M2" i="5" s="1"/>
  <c r="J18" i="2"/>
  <c r="M20" i="5" s="1"/>
  <c r="J14" i="2"/>
  <c r="M14" i="5" s="1"/>
  <c r="J10" i="2"/>
  <c r="M8" i="5" s="1"/>
  <c r="H4" i="5"/>
  <c r="E6" i="1"/>
  <c r="L21" i="2"/>
  <c r="H10" i="5"/>
  <c r="E8" i="1"/>
  <c r="J102" i="5"/>
  <c r="J41" i="4"/>
  <c r="L102" i="5" s="1"/>
  <c r="K41" i="4"/>
  <c r="M102" i="5" s="1"/>
  <c r="J108" i="5"/>
  <c r="J45" i="4"/>
  <c r="L108" i="5" s="1"/>
  <c r="K45" i="4"/>
  <c r="M108" i="5" s="1"/>
  <c r="J72" i="5"/>
  <c r="J21" i="4"/>
  <c r="L72" i="5" s="1"/>
  <c r="K21" i="4"/>
  <c r="M72" i="5" s="1"/>
  <c r="J65" i="4"/>
  <c r="L138" i="5" s="1"/>
  <c r="J138" i="5"/>
  <c r="K65" i="4"/>
  <c r="M138" i="5" s="1"/>
  <c r="I24" i="1"/>
  <c r="J24" i="1"/>
  <c r="J96" i="5"/>
  <c r="K37" i="4"/>
  <c r="M96" i="5" s="1"/>
  <c r="J37" i="4"/>
  <c r="L96" i="5" s="1"/>
  <c r="L23" i="5"/>
  <c r="P20" i="2"/>
  <c r="I9" i="1" s="1"/>
  <c r="J78" i="5"/>
  <c r="J25" i="4"/>
  <c r="L78" i="5" s="1"/>
  <c r="K25" i="4"/>
  <c r="M78" i="5" s="1"/>
  <c r="J105" i="5"/>
  <c r="K43" i="4"/>
  <c r="M105" i="5" s="1"/>
  <c r="J43" i="4"/>
  <c r="L105" i="5" s="1"/>
  <c r="J87" i="5"/>
  <c r="J31" i="4"/>
  <c r="L87" i="5" s="1"/>
  <c r="K31" i="4"/>
  <c r="M87" i="5" s="1"/>
  <c r="J90" i="5"/>
  <c r="J33" i="4"/>
  <c r="L90" i="5" s="1"/>
  <c r="K33" i="4"/>
  <c r="M90" i="5" s="1"/>
  <c r="K54" i="5"/>
  <c r="N30" i="3"/>
  <c r="H12" i="1"/>
  <c r="Q8" i="2"/>
  <c r="Q18" i="2"/>
  <c r="M22" i="5" s="1"/>
  <c r="P18" i="2"/>
  <c r="L22" i="5" s="1"/>
  <c r="J16" i="2"/>
  <c r="M17" i="5" s="1"/>
  <c r="J12" i="2"/>
  <c r="M11" i="5" s="1"/>
  <c r="J8" i="2"/>
  <c r="M5" i="5" s="1"/>
  <c r="E21" i="2"/>
  <c r="J19" i="2" l="1"/>
  <c r="M21" i="5" s="1"/>
  <c r="L8" i="5"/>
  <c r="P14" i="2"/>
  <c r="L16" i="5" s="1"/>
  <c r="I19" i="2"/>
  <c r="L21" i="5" s="1"/>
  <c r="Q14" i="2"/>
  <c r="M16" i="5" s="1"/>
  <c r="Q10" i="2"/>
  <c r="M10" i="5" s="1"/>
  <c r="N21" i="2"/>
  <c r="Q21" i="2" s="1"/>
  <c r="F13" i="1"/>
  <c r="L14" i="5"/>
  <c r="J15" i="5"/>
  <c r="I15" i="2"/>
  <c r="L15" i="5" s="1"/>
  <c r="J15" i="2"/>
  <c r="M15" i="5" s="1"/>
  <c r="H13" i="1"/>
  <c r="F10" i="1"/>
  <c r="M7" i="5"/>
  <c r="J7" i="1"/>
  <c r="P8" i="2"/>
  <c r="J7" i="5"/>
  <c r="G7" i="1"/>
  <c r="L10" i="5"/>
  <c r="G13" i="2"/>
  <c r="L11" i="5"/>
  <c r="I11" i="2"/>
  <c r="L9" i="5" s="1"/>
  <c r="G9" i="2"/>
  <c r="L5" i="5"/>
  <c r="G17" i="2"/>
  <c r="L17" i="5"/>
  <c r="P12" i="2"/>
  <c r="L13" i="5" s="1"/>
  <c r="J13" i="5"/>
  <c r="H24" i="5"/>
  <c r="G21" i="2"/>
  <c r="J11" i="2"/>
  <c r="M9" i="5" s="1"/>
  <c r="E10" i="1"/>
  <c r="J10" i="5"/>
  <c r="G8" i="1"/>
  <c r="P16" i="2"/>
  <c r="L19" i="5" s="1"/>
  <c r="J19" i="5"/>
  <c r="H10" i="1"/>
  <c r="L2" i="5"/>
  <c r="G7" i="2"/>
  <c r="J4" i="5"/>
  <c r="G6" i="1"/>
  <c r="P6" i="2"/>
  <c r="Q6" i="2"/>
  <c r="E25" i="3"/>
  <c r="E24" i="3"/>
  <c r="E19" i="3"/>
  <c r="H44" i="5" s="1"/>
  <c r="E18" i="3"/>
  <c r="E27" i="3"/>
  <c r="H56" i="5" s="1"/>
  <c r="E26" i="3"/>
  <c r="E29" i="3"/>
  <c r="E28" i="3"/>
  <c r="E23" i="3"/>
  <c r="H50" i="5" s="1"/>
  <c r="E22" i="3"/>
  <c r="E21" i="3"/>
  <c r="E20" i="3"/>
  <c r="E13" i="3"/>
  <c r="H35" i="5" s="1"/>
  <c r="E12" i="3"/>
  <c r="E7" i="3"/>
  <c r="E6" i="3"/>
  <c r="E15" i="3"/>
  <c r="E14" i="3"/>
  <c r="E17" i="3"/>
  <c r="E16" i="3"/>
  <c r="E11" i="3"/>
  <c r="E10" i="3"/>
  <c r="E9" i="3"/>
  <c r="H29" i="5" s="1"/>
  <c r="E8" i="3"/>
  <c r="P21" i="2" l="1"/>
  <c r="J8" i="1"/>
  <c r="F15" i="1"/>
  <c r="H31" i="5"/>
  <c r="K10" i="3"/>
  <c r="G10" i="3"/>
  <c r="H55" i="5"/>
  <c r="K26" i="3"/>
  <c r="G26" i="3"/>
  <c r="L7" i="5"/>
  <c r="I7" i="1"/>
  <c r="H37" i="5"/>
  <c r="K14" i="3"/>
  <c r="G14" i="3"/>
  <c r="H49" i="5"/>
  <c r="G22" i="3"/>
  <c r="K22" i="3"/>
  <c r="L4" i="5"/>
  <c r="I6" i="1"/>
  <c r="J24" i="5"/>
  <c r="I21" i="2"/>
  <c r="L24" i="5" s="1"/>
  <c r="J21" i="2"/>
  <c r="M24" i="5" s="1"/>
  <c r="J6" i="5"/>
  <c r="J9" i="2"/>
  <c r="M6" i="5" s="1"/>
  <c r="I9" i="2"/>
  <c r="L6" i="5" s="1"/>
  <c r="H38" i="5"/>
  <c r="H28" i="5"/>
  <c r="G8" i="3"/>
  <c r="K8" i="3"/>
  <c r="H40" i="5"/>
  <c r="K16" i="3"/>
  <c r="G16" i="3"/>
  <c r="H25" i="5"/>
  <c r="K6" i="3"/>
  <c r="G6" i="3"/>
  <c r="E30" i="3"/>
  <c r="H46" i="5"/>
  <c r="K20" i="3"/>
  <c r="G20" i="3"/>
  <c r="H58" i="5"/>
  <c r="K28" i="3"/>
  <c r="G28" i="3"/>
  <c r="H43" i="5"/>
  <c r="G18" i="3"/>
  <c r="K18" i="3"/>
  <c r="G10" i="1"/>
  <c r="I10" i="1" s="1"/>
  <c r="J18" i="5"/>
  <c r="J17" i="2"/>
  <c r="M18" i="5" s="1"/>
  <c r="I17" i="2"/>
  <c r="L18" i="5" s="1"/>
  <c r="J12" i="5"/>
  <c r="I13" i="2"/>
  <c r="L12" i="5" s="1"/>
  <c r="J13" i="2"/>
  <c r="M12" i="5" s="1"/>
  <c r="H34" i="5"/>
  <c r="G12" i="3"/>
  <c r="K12" i="3"/>
  <c r="H52" i="5"/>
  <c r="K24" i="3"/>
  <c r="G24" i="3"/>
  <c r="H32" i="5"/>
  <c r="H53" i="5"/>
  <c r="H41" i="5"/>
  <c r="H26" i="5"/>
  <c r="H47" i="5"/>
  <c r="H59" i="5"/>
  <c r="M4" i="5"/>
  <c r="J6" i="1"/>
  <c r="J3" i="5"/>
  <c r="I7" i="2"/>
  <c r="L3" i="5" s="1"/>
  <c r="J7" i="2"/>
  <c r="M3" i="5" s="1"/>
  <c r="I8" i="1"/>
  <c r="H45" i="5" l="1"/>
  <c r="E12" i="1"/>
  <c r="M18" i="3"/>
  <c r="J12" i="3"/>
  <c r="M34" i="5" s="1"/>
  <c r="J34" i="5"/>
  <c r="I12" i="3"/>
  <c r="J43" i="5"/>
  <c r="J18" i="3"/>
  <c r="M43" i="5" s="1"/>
  <c r="I18" i="3"/>
  <c r="H61" i="5"/>
  <c r="G30" i="3"/>
  <c r="J16" i="3"/>
  <c r="M40" i="5" s="1"/>
  <c r="J40" i="5"/>
  <c r="I16" i="3"/>
  <c r="J8" i="3"/>
  <c r="M28" i="5" s="1"/>
  <c r="J28" i="5"/>
  <c r="I8" i="3"/>
  <c r="M22" i="3"/>
  <c r="H51" i="5"/>
  <c r="M14" i="3"/>
  <c r="H39" i="5"/>
  <c r="J10" i="1"/>
  <c r="J31" i="5"/>
  <c r="I10" i="3"/>
  <c r="J10" i="3"/>
  <c r="M31" i="5" s="1"/>
  <c r="H60" i="5"/>
  <c r="M28" i="3"/>
  <c r="J37" i="5"/>
  <c r="I14" i="3"/>
  <c r="J14" i="3"/>
  <c r="M37" i="5" s="1"/>
  <c r="J24" i="3"/>
  <c r="M52" i="5" s="1"/>
  <c r="J52" i="5"/>
  <c r="I24" i="3"/>
  <c r="M24" i="3"/>
  <c r="H54" i="5"/>
  <c r="J20" i="3"/>
  <c r="M46" i="5" s="1"/>
  <c r="J46" i="5"/>
  <c r="I20" i="3"/>
  <c r="J25" i="5"/>
  <c r="J6" i="3"/>
  <c r="M25" i="5" s="1"/>
  <c r="I6" i="3"/>
  <c r="H42" i="5"/>
  <c r="M16" i="3"/>
  <c r="J49" i="5"/>
  <c r="I22" i="3"/>
  <c r="J22" i="3"/>
  <c r="M49" i="5" s="1"/>
  <c r="J55" i="5"/>
  <c r="I26" i="3"/>
  <c r="J26" i="3"/>
  <c r="M55" i="5" s="1"/>
  <c r="H33" i="5"/>
  <c r="M10" i="3"/>
  <c r="M12" i="3"/>
  <c r="H36" i="5"/>
  <c r="M8" i="3"/>
  <c r="H30" i="5"/>
  <c r="H15" i="1"/>
  <c r="J28" i="3"/>
  <c r="M58" i="5" s="1"/>
  <c r="J58" i="5"/>
  <c r="I28" i="3"/>
  <c r="M20" i="3"/>
  <c r="H48" i="5"/>
  <c r="H27" i="5"/>
  <c r="K30" i="3"/>
  <c r="M30" i="3" s="1"/>
  <c r="E11" i="1"/>
  <c r="M6" i="3"/>
  <c r="H57" i="5"/>
  <c r="M26" i="3"/>
  <c r="E13" i="1" l="1"/>
  <c r="G13" i="1" s="1"/>
  <c r="I13" i="1" s="1"/>
  <c r="P30" i="3"/>
  <c r="O30" i="3"/>
  <c r="J36" i="5"/>
  <c r="O12" i="3"/>
  <c r="L36" i="5" s="1"/>
  <c r="P12" i="3"/>
  <c r="M36" i="5" s="1"/>
  <c r="L31" i="5"/>
  <c r="G11" i="3"/>
  <c r="P10" i="3"/>
  <c r="M33" i="5" s="1"/>
  <c r="J33" i="5"/>
  <c r="O10" i="3"/>
  <c r="L33" i="5" s="1"/>
  <c r="J42" i="5"/>
  <c r="P16" i="3"/>
  <c r="M42" i="5" s="1"/>
  <c r="O16" i="3"/>
  <c r="L42" i="5" s="1"/>
  <c r="J60" i="5"/>
  <c r="P28" i="3"/>
  <c r="M60" i="5" s="1"/>
  <c r="O28" i="3"/>
  <c r="L60" i="5" s="1"/>
  <c r="J61" i="5"/>
  <c r="J30" i="3"/>
  <c r="M61" i="5" s="1"/>
  <c r="I30" i="3"/>
  <c r="L61" i="5" s="1"/>
  <c r="P18" i="3"/>
  <c r="J45" i="5"/>
  <c r="G12" i="1"/>
  <c r="O18" i="3"/>
  <c r="P26" i="3"/>
  <c r="M57" i="5" s="1"/>
  <c r="J57" i="5"/>
  <c r="O26" i="3"/>
  <c r="L57" i="5" s="1"/>
  <c r="L58" i="5"/>
  <c r="G29" i="3"/>
  <c r="G27" i="3"/>
  <c r="L55" i="5"/>
  <c r="J39" i="5"/>
  <c r="O14" i="3"/>
  <c r="L39" i="5" s="1"/>
  <c r="P14" i="3"/>
  <c r="M39" i="5" s="1"/>
  <c r="J27" i="5"/>
  <c r="G11" i="1"/>
  <c r="O6" i="3"/>
  <c r="P6" i="3"/>
  <c r="J30" i="5"/>
  <c r="O8" i="3"/>
  <c r="L30" i="5" s="1"/>
  <c r="P8" i="3"/>
  <c r="M30" i="5" s="1"/>
  <c r="L46" i="5"/>
  <c r="G21" i="3"/>
  <c r="J54" i="5"/>
  <c r="P24" i="3"/>
  <c r="M54" i="5" s="1"/>
  <c r="O24" i="3"/>
  <c r="L54" i="5" s="1"/>
  <c r="J51" i="5"/>
  <c r="P22" i="3"/>
  <c r="M51" i="5" s="1"/>
  <c r="O22" i="3"/>
  <c r="L51" i="5" s="1"/>
  <c r="L40" i="5"/>
  <c r="G17" i="3"/>
  <c r="G13" i="3"/>
  <c r="L34" i="5"/>
  <c r="J48" i="5"/>
  <c r="O20" i="3"/>
  <c r="L48" i="5" s="1"/>
  <c r="P20" i="3"/>
  <c r="M48" i="5" s="1"/>
  <c r="G23" i="3"/>
  <c r="L49" i="5"/>
  <c r="L25" i="5"/>
  <c r="G7" i="3"/>
  <c r="L52" i="5"/>
  <c r="G25" i="3"/>
  <c r="L37" i="5"/>
  <c r="G15" i="3"/>
  <c r="G9" i="3"/>
  <c r="L28" i="5"/>
  <c r="G19" i="3"/>
  <c r="L43" i="5"/>
  <c r="E15" i="1" l="1"/>
  <c r="G15" i="1" s="1"/>
  <c r="I15" i="1" s="1"/>
  <c r="J13" i="1"/>
  <c r="J53" i="5"/>
  <c r="I25" i="3"/>
  <c r="L53" i="5" s="1"/>
  <c r="J25" i="3"/>
  <c r="M53" i="5" s="1"/>
  <c r="L27" i="5"/>
  <c r="I11" i="1"/>
  <c r="I29" i="3"/>
  <c r="L59" i="5" s="1"/>
  <c r="J59" i="5"/>
  <c r="J29" i="3"/>
  <c r="M59" i="5" s="1"/>
  <c r="J29" i="5"/>
  <c r="I9" i="3"/>
  <c r="L29" i="5" s="1"/>
  <c r="J9" i="3"/>
  <c r="M29" i="5" s="1"/>
  <c r="J50" i="5"/>
  <c r="I23" i="3"/>
  <c r="L50" i="5" s="1"/>
  <c r="J23" i="3"/>
  <c r="M50" i="5" s="1"/>
  <c r="J35" i="5"/>
  <c r="J13" i="3"/>
  <c r="M35" i="5" s="1"/>
  <c r="I13" i="3"/>
  <c r="L35" i="5" s="1"/>
  <c r="L45" i="5"/>
  <c r="I12" i="1"/>
  <c r="I11" i="3"/>
  <c r="L32" i="5" s="1"/>
  <c r="J32" i="5"/>
  <c r="J11" i="3"/>
  <c r="M32" i="5" s="1"/>
  <c r="M45" i="5"/>
  <c r="J12" i="1"/>
  <c r="I15" i="3"/>
  <c r="L38" i="5" s="1"/>
  <c r="J38" i="5"/>
  <c r="J15" i="3"/>
  <c r="M38" i="5" s="1"/>
  <c r="I17" i="3"/>
  <c r="L41" i="5" s="1"/>
  <c r="J41" i="5"/>
  <c r="J17" i="3"/>
  <c r="M41" i="5" s="1"/>
  <c r="I21" i="3"/>
  <c r="L47" i="5" s="1"/>
  <c r="J47" i="5"/>
  <c r="J21" i="3"/>
  <c r="M47" i="5" s="1"/>
  <c r="J26" i="5"/>
  <c r="J7" i="3"/>
  <c r="M26" i="5" s="1"/>
  <c r="I7" i="3"/>
  <c r="L26" i="5" s="1"/>
  <c r="J44" i="5"/>
  <c r="I19" i="3"/>
  <c r="L44" i="5" s="1"/>
  <c r="J19" i="3"/>
  <c r="M44" i="5" s="1"/>
  <c r="M27" i="5"/>
  <c r="J11" i="1"/>
  <c r="J56" i="5"/>
  <c r="J27" i="3"/>
  <c r="M56" i="5" s="1"/>
  <c r="I27" i="3"/>
  <c r="L56" i="5" s="1"/>
  <c r="J1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Mario Cea</author>
  </authors>
  <commentList>
    <comment ref="F10" authorId="0" shapeId="0" xr:uid="{C0EBB39F-42FC-40BA-8EF6-8E48303F0D1E}">
      <text>
        <r>
          <rPr>
            <b/>
            <sz val="9"/>
            <color indexed="81"/>
            <rFont val="Tahoma"/>
            <family val="2"/>
          </rPr>
          <t>Mario Cea:</t>
        </r>
        <r>
          <rPr>
            <sz val="9"/>
            <color indexed="81"/>
            <rFont val="Tahoma"/>
            <family val="2"/>
          </rPr>
          <t xml:space="preserve">
Cesion de 69,044 Ton a Bracpesca S.A. IV (Res. Ex. N° 000002)</t>
        </r>
      </text>
    </comment>
    <comment ref="F12" authorId="0" shapeId="0" xr:uid="{51DB5A59-0B94-4DAB-BBF0-F9F722CBA034}">
      <text>
        <r>
          <rPr>
            <b/>
            <sz val="9"/>
            <color indexed="81"/>
            <rFont val="Tahoma"/>
            <family val="2"/>
          </rPr>
          <t>Mario Cea:</t>
        </r>
        <r>
          <rPr>
            <sz val="9"/>
            <color indexed="81"/>
            <rFont val="Tahoma"/>
            <family val="2"/>
          </rPr>
          <t xml:space="preserve">
Cesion de 2,6 Ton desde Rubio y Mauad Ltda. IV (Res. Ex. N°1808-20)
Cesion de 100 Ton a Emb. Chafic I  (Res. Ex. N° 000015-2020)</t>
        </r>
      </text>
    </comment>
    <comment ref="F16" authorId="0" shapeId="0" xr:uid="{0143847E-7ABC-4080-B61E-CD4BAA2C90D9}">
      <text>
        <r>
          <rPr>
            <b/>
            <sz val="9"/>
            <color indexed="81"/>
            <rFont val="Tahoma"/>
            <family val="2"/>
          </rPr>
          <t>Mario Cea:</t>
        </r>
        <r>
          <rPr>
            <sz val="9"/>
            <color indexed="81"/>
            <rFont val="Tahoma"/>
            <family val="2"/>
          </rPr>
          <t xml:space="preserve">
Cesion de 60 Ton a Antartic Seafood S.A. IV (Res. Ex. N°000001)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Mario Cea</author>
  </authors>
  <commentList>
    <comment ref="E6" authorId="0" shapeId="0" xr:uid="{8FA2679F-183C-47B9-AD9B-31CEDDB1698C}">
      <text>
        <r>
          <rPr>
            <b/>
            <sz val="9"/>
            <color indexed="81"/>
            <rFont val="Tahoma"/>
            <family val="2"/>
          </rPr>
          <t>Mario Cea:</t>
        </r>
        <r>
          <rPr>
            <sz val="9"/>
            <color indexed="81"/>
            <rFont val="Tahoma"/>
            <family val="2"/>
          </rPr>
          <t xml:space="preserve">
Cesion de 100 Ton desde Emb. Trauwun I (Res. Ex. N° 000015-2020)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Mario Cea</author>
  </authors>
  <commentList>
    <comment ref="F18" authorId="0" shapeId="0" xr:uid="{18777900-DFC8-4AC5-90D7-2E55F56E3360}">
      <text>
        <r>
          <rPr>
            <b/>
            <sz val="9"/>
            <color indexed="81"/>
            <rFont val="Tahoma"/>
            <family val="2"/>
          </rPr>
          <t>Mario Cea:</t>
        </r>
        <r>
          <rPr>
            <sz val="9"/>
            <color indexed="81"/>
            <rFont val="Tahoma"/>
            <family val="2"/>
          </rPr>
          <t xml:space="preserve">
Cesion de 60 Ton desde Emb Isla Tabon IV Región (Res. Ex. N°000001)</t>
        </r>
      </text>
    </comment>
    <comment ref="F24" authorId="0" shapeId="0" xr:uid="{2E1B6B4A-D65C-4F62-B61B-AB0091E103F3}">
      <text>
        <r>
          <rPr>
            <b/>
            <sz val="9"/>
            <color indexed="81"/>
            <rFont val="Tahoma"/>
            <family val="2"/>
          </rPr>
          <t>Mario Cea:</t>
        </r>
        <r>
          <rPr>
            <sz val="9"/>
            <color indexed="81"/>
            <rFont val="Tahoma"/>
            <family val="2"/>
          </rPr>
          <t xml:space="preserve">
Cesion de 69,044 Ton desde Emb. Punta Talca IV Región (Res. Ex. N° 000002)</t>
        </r>
      </text>
    </comment>
    <comment ref="F28" authorId="0" shapeId="0" xr:uid="{964004FF-F231-4776-A042-6BF6EE0C766E}">
      <text>
        <r>
          <rPr>
            <b/>
            <sz val="9"/>
            <color indexed="81"/>
            <rFont val="Tahoma"/>
            <family val="2"/>
          </rPr>
          <t>Mario Cea:</t>
        </r>
        <r>
          <rPr>
            <sz val="9"/>
            <color indexed="81"/>
            <rFont val="Tahoma"/>
            <family val="2"/>
          </rPr>
          <t xml:space="preserve">
Cesion de 2,6 Ton a Emb. Trauwun I IV Región (Res. Ex. N° 1808-20)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Mario Cea</author>
    <author>CEA TELLO, MARIO ANDRES</author>
  </authors>
  <commentList>
    <comment ref="G14" authorId="0" shapeId="0" xr:uid="{CFD80161-97F9-4420-B387-16EE34079CD8}">
      <text>
        <r>
          <rPr>
            <b/>
            <sz val="9"/>
            <color indexed="81"/>
            <rFont val="Tahoma"/>
            <family val="2"/>
          </rPr>
          <t>Mario Cea:</t>
        </r>
        <r>
          <rPr>
            <sz val="9"/>
            <color indexed="81"/>
            <rFont val="Tahoma"/>
            <family val="2"/>
          </rPr>
          <t xml:space="preserve">
Certificado N° XXXXX-2020: 262,727 Ton desde Camanchaca Pesca Sur S.A. V-VI</t>
        </r>
      </text>
    </comment>
    <comment ref="G18" authorId="0" shapeId="0" xr:uid="{ED354A43-9A5C-4B26-BEC4-9DC47EE877C2}">
      <text>
        <r>
          <rPr>
            <b/>
            <sz val="9"/>
            <color indexed="81"/>
            <rFont val="Tahoma"/>
            <family val="2"/>
          </rPr>
          <t>Mario Cea:</t>
        </r>
        <r>
          <rPr>
            <sz val="9"/>
            <color indexed="81"/>
            <rFont val="Tahoma"/>
            <family val="2"/>
          </rPr>
          <t xml:space="preserve">
Certificado N° XXXXXX-2020: 250 Ton desde Camanchaca Pesca Sur S.A. V-VI</t>
        </r>
      </text>
    </comment>
    <comment ref="G20" authorId="1" shapeId="0" xr:uid="{00000000-0006-0000-0300-000001000000}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Certificado N° 163596-2020: 129,198 Ton desde Pacificblu SPA V-VI
Certificado N° 165721-2020: 200,7922 Ton a Isladamas S.A. Pesq. V-VI
Certificado N° XXXXX-2020: 262,727 Ton a Antartic Seafood S.A. Pesq. V-VI
Certificado N° XXXXX-2020: 250 Ton a Bracpesca S.A. V-VI</t>
        </r>
      </text>
    </comment>
    <comment ref="G26" authorId="0" shapeId="0" xr:uid="{8E95CE3F-45E0-4F61-BE41-59E70CA52D8A}">
      <text>
        <r>
          <rPr>
            <b/>
            <sz val="9"/>
            <color indexed="81"/>
            <rFont val="Tahoma"/>
            <family val="2"/>
          </rPr>
          <t>Mario Cea:</t>
        </r>
        <r>
          <rPr>
            <sz val="9"/>
            <color indexed="81"/>
            <rFont val="Tahoma"/>
            <family val="2"/>
          </rPr>
          <t xml:space="preserve">
Certificado N° 165721-2020: 200,7922 Ton desde Camanchaca Pesca Sur S.A. V-VI</t>
        </r>
      </text>
    </comment>
    <comment ref="G32" authorId="1" shapeId="0" xr:uid="{00000000-0006-0000-0300-000002000000}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Certificado N° 163596-2020: 129,198 Ton a Camanchaca Pesca Sur S.A. V-VI</t>
        </r>
      </text>
    </comment>
    <comment ref="G40" authorId="0" shapeId="0" xr:uid="{B463E6AB-FFE9-4AEB-B7B4-CEB2F36D8DB3}">
      <text>
        <r>
          <rPr>
            <b/>
            <sz val="9"/>
            <color indexed="81"/>
            <rFont val="Tahoma"/>
            <family val="2"/>
          </rPr>
          <t>Mario Cea:</t>
        </r>
        <r>
          <rPr>
            <sz val="9"/>
            <color indexed="81"/>
            <rFont val="Tahoma"/>
            <family val="2"/>
          </rPr>
          <t xml:space="preserve">
Certificado N° XXXXX-2020: 222,727  Ton a Camanchaca Pesca Sur S.A. VII-VIII</t>
        </r>
      </text>
    </comment>
    <comment ref="G44" authorId="0" shapeId="0" xr:uid="{B02FBFFC-1D17-40B8-B5E5-29C1408402BD}">
      <text>
        <r>
          <rPr>
            <b/>
            <sz val="9"/>
            <color indexed="81"/>
            <rFont val="Tahoma"/>
            <family val="2"/>
          </rPr>
          <t>Mario Cea:</t>
        </r>
        <r>
          <rPr>
            <sz val="9"/>
            <color indexed="81"/>
            <rFont val="Tahoma"/>
            <family val="2"/>
          </rPr>
          <t xml:space="preserve">
Certificado N° XXXXXX-2020: 230 Ton a Camanchaca Pesca Sur S.A. VII-VIII</t>
        </r>
      </text>
    </comment>
    <comment ref="G46" authorId="1" shapeId="0" xr:uid="{00000000-0006-0000-0300-000003000000}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Certificado N° 163596-2020: 432,551 Ton desde Pacificblu SPA VII-VIII
Certificado N° 165080-2020: 489,342 Ton a Jorge Cofre Toledo VII-VIII
Certificado N° XXXXX-2020: 223,279 Ton a Pesquera CMK Ltda. VII-VIII
Certificado N° XXXXX-2020: 230 Ton desde Bracpesca S.A. VII-VIII
Certificado N° XXXXX-2020: 222,727 Ton desde Antartic Seafood S.A. VII-VIII</t>
        </r>
      </text>
    </comment>
    <comment ref="G58" authorId="1" shapeId="0" xr:uid="{00000000-0006-0000-0300-000004000000}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Certificado N° 163596-2020: 432,551 Ton a Camanchaca Pesca Sur S.A. VII-VIII</t>
        </r>
      </text>
    </comment>
    <comment ref="G66" authorId="0" shapeId="0" xr:uid="{F6C69CAE-E15F-49E8-BF2C-A10187E8A236}">
      <text>
        <r>
          <rPr>
            <b/>
            <sz val="9"/>
            <color indexed="81"/>
            <rFont val="Tahoma"/>
            <family val="2"/>
          </rPr>
          <t>Mario Cea:</t>
        </r>
        <r>
          <rPr>
            <sz val="9"/>
            <color indexed="81"/>
            <rFont val="Tahoma"/>
            <family val="2"/>
          </rPr>
          <t xml:space="preserve">
Certificado N° 165080-2020: 489,342 Ton desde Camanchaca Pesca Sur S.A. VII-VIII</t>
        </r>
      </text>
    </comment>
    <comment ref="G68" authorId="0" shapeId="0" xr:uid="{85300850-744D-4DF1-8223-3879364EBFD3}">
      <text>
        <r>
          <rPr>
            <b/>
            <sz val="9"/>
            <color indexed="81"/>
            <rFont val="Tahoma"/>
            <family val="2"/>
          </rPr>
          <t>Mario Cea:</t>
        </r>
        <r>
          <rPr>
            <sz val="9"/>
            <color indexed="81"/>
            <rFont val="Tahoma"/>
            <family val="2"/>
          </rPr>
          <t xml:space="preserve">
Certificado N° XXXXXX-2020: 223,279 Ton desde Camanchaca Pesca Sur S.A. VII-VIII</t>
        </r>
      </text>
    </comment>
  </commentList>
</comments>
</file>

<file path=xl/sharedStrings.xml><?xml version="1.0" encoding="utf-8"?>
<sst xmlns="http://schemas.openxmlformats.org/spreadsheetml/2006/main" count="1303" uniqueCount="146">
  <si>
    <t>UNIDAD DE PESQUERIA</t>
  </si>
  <si>
    <t>FRACCIONAMIENTO</t>
  </si>
  <si>
    <t>CUOTA ASIGNADA (TON)</t>
  </si>
  <si>
    <t>MOVIMIENTO (TON)</t>
  </si>
  <si>
    <t>CUOTA EFECTIVA (TON)</t>
  </si>
  <si>
    <t>CAPTURA (TON)</t>
  </si>
  <si>
    <t>SALDO (TON)</t>
  </si>
  <si>
    <t>% CONSUMIDO</t>
  </si>
  <si>
    <t>SECTOR</t>
  </si>
  <si>
    <t>ARTESANAL III</t>
  </si>
  <si>
    <t>FAUNA ACOMPAÑANTE</t>
  </si>
  <si>
    <t>FRACCION ARTESANAL</t>
  </si>
  <si>
    <t>FRACCIÓN INDUSTRIAL</t>
  </si>
  <si>
    <t>TOTALES</t>
  </si>
  <si>
    <t>ARTESANAL</t>
  </si>
  <si>
    <t>INDUSTRIAL</t>
  </si>
  <si>
    <t>REGIÓN</t>
  </si>
  <si>
    <t>ASIGNATARIO</t>
  </si>
  <si>
    <t>PERIODO</t>
  </si>
  <si>
    <t>FECHA CIERRE</t>
  </si>
  <si>
    <t>% CONSUMO</t>
  </si>
  <si>
    <t>III REGION DE ATACAMA</t>
  </si>
  <si>
    <t>IV REGION DE COQUIMBO</t>
  </si>
  <si>
    <t>TITULAR DE CUOTA LTP</t>
  </si>
  <si>
    <t>ANTARTIC SEAFOOD S.A.</t>
  </si>
  <si>
    <t>QUINTERO S.A. PESQ.</t>
  </si>
  <si>
    <t>BRACPESCA S.A.</t>
  </si>
  <si>
    <t>CAMANCHACA PESCA SUR S.A.</t>
  </si>
  <si>
    <t>ANTONIO CRUZ CORDOVA NAKOUZI E.I.R.L.</t>
  </si>
  <si>
    <t>GRIMAR S.A. PESQ.</t>
  </si>
  <si>
    <t>ISLADAMAS S.A. PESQ.</t>
  </si>
  <si>
    <t>LANDES S.A. PESQ.</t>
  </si>
  <si>
    <t>ZUÑIGA ROMERO GONZALO</t>
  </si>
  <si>
    <t>PACIFICBLU SPA.</t>
  </si>
  <si>
    <t>DA VENEZIA RETAMALES ANTONIO</t>
  </si>
  <si>
    <t>ENFERMAR LTDA. SOC. PESQ.</t>
  </si>
  <si>
    <t>RUBIO Y MAUAD LTDA.</t>
  </si>
  <si>
    <t>ARTESANAL IV</t>
  </si>
  <si>
    <t>INDUSTRIAL LTP III</t>
  </si>
  <si>
    <t>INDUSTRIAL LTP IV</t>
  </si>
  <si>
    <t>INVESTIGACIÓN III-IV</t>
  </si>
  <si>
    <t>LICITADA PEP V-VI</t>
  </si>
  <si>
    <t>LICITADA PEP VII-VIII</t>
  </si>
  <si>
    <t>FAUNA ACOMPAÑANTE V-VIII</t>
  </si>
  <si>
    <t>LANGOSTINO COLORADO IV</t>
  </si>
  <si>
    <t>LANGOSTINO COLORADO XV-IV</t>
  </si>
  <si>
    <t>MAR-AGO</t>
  </si>
  <si>
    <t>OCT-DIC</t>
  </si>
  <si>
    <t>II REGIÓN DE ANTOFAGASTA</t>
  </si>
  <si>
    <t>ENE-DIC</t>
  </si>
  <si>
    <t>PUNTA TALCA</t>
  </si>
  <si>
    <t>TRAUWUN I</t>
  </si>
  <si>
    <t>CHAFIC I</t>
  </si>
  <si>
    <t>ISLA TABON</t>
  </si>
  <si>
    <t>RESIDUAL</t>
  </si>
  <si>
    <t>ARTESANAL II</t>
  </si>
  <si>
    <t>V-VI</t>
  </si>
  <si>
    <t>VII-VIII</t>
  </si>
  <si>
    <t>TOTAL</t>
  </si>
  <si>
    <t>% LICITADO</t>
  </si>
  <si>
    <t>ARTESANAL-INDUSTRIAL</t>
  </si>
  <si>
    <t>unidad</t>
  </si>
  <si>
    <t>recurso</t>
  </si>
  <si>
    <t>zona</t>
  </si>
  <si>
    <t>tipo_asignatario</t>
  </si>
  <si>
    <t>organizacion_titular_area</t>
  </si>
  <si>
    <t>periodo_inicio</t>
  </si>
  <si>
    <t>periodo_final</t>
  </si>
  <si>
    <t>cuota</t>
  </si>
  <si>
    <t>cesiones_descuentos</t>
  </si>
  <si>
    <t>cuota_efectiva</t>
  </si>
  <si>
    <t>captura</t>
  </si>
  <si>
    <t>saldo</t>
  </si>
  <si>
    <t>consumo_porcentaje</t>
  </si>
  <si>
    <t>cierre</t>
  </si>
  <si>
    <t>preliminar</t>
  </si>
  <si>
    <t>año</t>
  </si>
  <si>
    <t>mensaje</t>
  </si>
  <si>
    <t>LANGOSTINO COLORADO</t>
  </si>
  <si>
    <t>II</t>
  </si>
  <si>
    <t>REGION</t>
  </si>
  <si>
    <t>MARZO</t>
  </si>
  <si>
    <t>AGOSTO</t>
  </si>
  <si>
    <t xml:space="preserve">OCTUBRE </t>
  </si>
  <si>
    <t>DICIEMBRE</t>
  </si>
  <si>
    <t>ENERO</t>
  </si>
  <si>
    <t>-</t>
  </si>
  <si>
    <t>III</t>
  </si>
  <si>
    <t>IV</t>
  </si>
  <si>
    <t>EMBARCACION</t>
  </si>
  <si>
    <t>XV-IV</t>
  </si>
  <si>
    <t>TOTAL ARTESANAL</t>
  </si>
  <si>
    <t>TOTAL ASIGANATARIO ARTESANAL</t>
  </si>
  <si>
    <t>II-III</t>
  </si>
  <si>
    <t>TITULAR LTP</t>
  </si>
  <si>
    <t>TOTAL LTP</t>
  </si>
  <si>
    <t>TOTAL ASIGNATARIO LTP</t>
  </si>
  <si>
    <t>LANGOSTINO COLORADO V-VIII</t>
  </si>
  <si>
    <t>TITULAR PEP</t>
  </si>
  <si>
    <t>V-VIII</t>
  </si>
  <si>
    <t>TOTAL PEP</t>
  </si>
  <si>
    <t>TOTAL ASIGNATARIO PEP</t>
  </si>
  <si>
    <t>CONTROL CUOTA GLOBAL LANGOSTINO COLORADO XV-IV AÑO 2020</t>
  </si>
  <si>
    <t>CONTROL CUOTA LANGOSTINO COLORADO FRACCION ARTESANAL AÑO 2020</t>
  </si>
  <si>
    <t>CONTROL CUOTA LANGOSTINO COLORADO FRACCION INDUSTRIAL AÑO 2020</t>
  </si>
  <si>
    <t>CONTROL CUOTA LANGOSTINO COLORADO PEP V-VIII AÑO 2020</t>
  </si>
  <si>
    <t>II-IV</t>
  </si>
  <si>
    <t>LANGOSTINO COLORADO PEP V-VI</t>
  </si>
  <si>
    <t>LANGOSTINO COLORADO PEP VII-VIII</t>
  </si>
  <si>
    <t>INVESTIGACION V-VIII</t>
  </si>
  <si>
    <t>LANGOSTINO COLORADO PEP V-VIII</t>
  </si>
  <si>
    <t>CONTROL CUOTA GLOBAL LANGOSTINO COLORADO PEP V-VIII AÑO 2020</t>
  </si>
  <si>
    <t>757 Ton.</t>
  </si>
  <si>
    <t>Decreto Ex. N° 311-2020</t>
  </si>
  <si>
    <t>JORGE ANDRES COFRE TOLEDO</t>
  </si>
  <si>
    <t>LANGOSTINO COLORADO II-III</t>
  </si>
  <si>
    <t>PESQUERA CMK LTDA.</t>
  </si>
  <si>
    <t>TITULAR DE CUOTA PEP</t>
  </si>
  <si>
    <t>CESIONES DE CUOTAS INDIVIDUALES</t>
  </si>
  <si>
    <t>N° Resolución</t>
  </si>
  <si>
    <t>RPA</t>
  </si>
  <si>
    <t>Embarcación</t>
  </si>
  <si>
    <t>Cuota</t>
  </si>
  <si>
    <t>Captura</t>
  </si>
  <si>
    <t>Saldo</t>
  </si>
  <si>
    <t>Consumo</t>
  </si>
  <si>
    <t>0000015-2020</t>
  </si>
  <si>
    <t>CONTROL PESCA DE INVESTIGACION</t>
  </si>
  <si>
    <t>N° RESOLUCION</t>
  </si>
  <si>
    <t>EMBARCACION TITULAR</t>
  </si>
  <si>
    <t>EMBARCACION SUPLENTE</t>
  </si>
  <si>
    <t>CUOTA V-VIII</t>
  </si>
  <si>
    <t>CUOTA TOTAL</t>
  </si>
  <si>
    <t>CAPTURA TOTAL</t>
  </si>
  <si>
    <t>CONSUMO</t>
  </si>
  <si>
    <t>E-2020-414</t>
  </si>
  <si>
    <t>RAUTEN</t>
  </si>
  <si>
    <t>ELBE</t>
  </si>
  <si>
    <t>ALTAIR</t>
  </si>
  <si>
    <t>NTRA. SRA. DE LA TIRANA II</t>
  </si>
  <si>
    <t>CUOTA XV-IV</t>
  </si>
  <si>
    <t>CAPTURA XV-IV</t>
  </si>
  <si>
    <t>CAPTURA V-VIII</t>
  </si>
  <si>
    <t>SALDO XV-IV</t>
  </si>
  <si>
    <t>SALDO V-VIII</t>
  </si>
  <si>
    <t>SALDO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</si>
</sst>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00"/>
    <numFmt numFmtId="165" formatCode="0.000%"/>
    <numFmt numFmtId="166" formatCode="yyyy/mm/dd;@"/>
    <numFmt numFmtId="167" formatCode="0.000000"/>
    <numFmt numFmtId="168" formatCode="[$-F800]dddd\,\ mmmm\ dd\,\ yyyy"/>
    <numFmt numFmtId="169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000000"/>
      <name val="Calibri"/>
      <family val="2"/>
    </font>
    <font>
      <b/>
      <sz val="9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theme="7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B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7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5" fontId="3" fillId="0" borderId="1" xfId="1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166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14" fontId="3" fillId="0" borderId="0" xfId="0" applyNumberFormat="1" applyFont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165" fontId="3" fillId="0" borderId="1" xfId="1" applyNumberFormat="1" applyFont="1" applyBorder="1" applyAlignment="1">
      <alignment horizontal="center"/>
    </xf>
    <xf numFmtId="165" fontId="4" fillId="0" borderId="1" xfId="1" applyNumberFormat="1" applyFont="1" applyFill="1" applyBorder="1" applyAlignment="1">
      <alignment horizontal="center" vertical="center"/>
    </xf>
    <xf numFmtId="165" fontId="3" fillId="0" borderId="0" xfId="1" applyNumberFormat="1" applyFont="1" applyAlignment="1">
      <alignment horizontal="center"/>
    </xf>
    <xf numFmtId="165" fontId="3" fillId="0" borderId="1" xfId="1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5" fontId="2" fillId="0" borderId="1" xfId="1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2" fillId="4" borderId="1" xfId="0" applyFont="1" applyFill="1" applyBorder="1" applyAlignment="1">
      <alignment horizontal="center" vertical="center"/>
    </xf>
    <xf numFmtId="9" fontId="2" fillId="4" borderId="1" xfId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9" fontId="2" fillId="5" borderId="1" xfId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9" fontId="2" fillId="2" borderId="1" xfId="1" applyFont="1" applyFill="1" applyBorder="1" applyAlignment="1">
      <alignment horizontal="center" vertical="center"/>
    </xf>
    <xf numFmtId="0" fontId="2" fillId="0" borderId="1" xfId="0" applyFont="1" applyBorder="1"/>
    <xf numFmtId="164" fontId="2" fillId="0" borderId="1" xfId="0" applyNumberFormat="1" applyFont="1" applyBorder="1" applyAlignment="1">
      <alignment horizontal="center"/>
    </xf>
    <xf numFmtId="165" fontId="2" fillId="0" borderId="1" xfId="1" applyNumberFormat="1" applyFont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164" fontId="3" fillId="6" borderId="1" xfId="0" applyNumberFormat="1" applyFont="1" applyFill="1" applyBorder="1" applyAlignment="1">
      <alignment horizontal="center"/>
    </xf>
    <xf numFmtId="165" fontId="3" fillId="6" borderId="1" xfId="1" applyNumberFormat="1" applyFont="1" applyFill="1" applyBorder="1" applyAlignment="1">
      <alignment horizontal="center"/>
    </xf>
    <xf numFmtId="14" fontId="3" fillId="6" borderId="1" xfId="0" applyNumberFormat="1" applyFont="1" applyFill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5" fontId="3" fillId="0" borderId="1" xfId="1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5" fontId="3" fillId="0" borderId="1" xfId="1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5" fontId="3" fillId="0" borderId="1" xfId="1" applyNumberFormat="1" applyFont="1" applyFill="1" applyBorder="1" applyAlignment="1">
      <alignment horizontal="center" vertical="center"/>
    </xf>
    <xf numFmtId="167" fontId="2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4" fontId="2" fillId="8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9" fontId="3" fillId="0" borderId="1" xfId="1" applyNumberFormat="1" applyFont="1" applyBorder="1" applyAlignment="1">
      <alignment horizontal="center" vertical="center"/>
    </xf>
    <xf numFmtId="169" fontId="2" fillId="0" borderId="1" xfId="1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0" fontId="2" fillId="0" borderId="1" xfId="1" applyNumberFormat="1" applyFont="1" applyBorder="1" applyAlignment="1">
      <alignment horizontal="center" vertical="center"/>
    </xf>
    <xf numFmtId="164" fontId="3" fillId="11" borderId="1" xfId="0" applyNumberFormat="1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168" fontId="2" fillId="3" borderId="10" xfId="0" applyNumberFormat="1" applyFont="1" applyFill="1" applyBorder="1" applyAlignment="1">
      <alignment horizontal="center" vertical="center"/>
    </xf>
    <xf numFmtId="168" fontId="2" fillId="3" borderId="11" xfId="0" applyNumberFormat="1" applyFont="1" applyFill="1" applyBorder="1" applyAlignment="1">
      <alignment horizontal="center" vertical="center"/>
    </xf>
    <xf numFmtId="168" fontId="2" fillId="3" borderId="12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65" fontId="3" fillId="0" borderId="2" xfId="1" applyNumberFormat="1" applyFont="1" applyBorder="1" applyAlignment="1">
      <alignment horizontal="center" vertical="center"/>
    </xf>
    <xf numFmtId="165" fontId="3" fillId="0" borderId="4" xfId="1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14" fontId="2" fillId="4" borderId="10" xfId="0" applyNumberFormat="1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9" borderId="5" xfId="0" applyFont="1" applyFill="1" applyBorder="1" applyAlignment="1">
      <alignment horizontal="center" vertical="center"/>
    </xf>
    <xf numFmtId="0" fontId="2" fillId="9" borderId="15" xfId="0" applyFont="1" applyFill="1" applyBorder="1" applyAlignment="1">
      <alignment horizontal="center" vertical="center"/>
    </xf>
    <xf numFmtId="0" fontId="2" fillId="9" borderId="6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10" borderId="5" xfId="0" applyFont="1" applyFill="1" applyBorder="1" applyAlignment="1">
      <alignment horizontal="center" vertical="center"/>
    </xf>
    <xf numFmtId="0" fontId="2" fillId="10" borderId="15" xfId="0" applyFont="1" applyFill="1" applyBorder="1" applyAlignment="1">
      <alignment horizontal="center" vertical="center"/>
    </xf>
    <xf numFmtId="0" fontId="2" fillId="10" borderId="6" xfId="0" applyFont="1" applyFill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10" fontId="3" fillId="0" borderId="2" xfId="1" applyNumberFormat="1" applyFont="1" applyBorder="1" applyAlignment="1">
      <alignment horizontal="center" vertical="center"/>
    </xf>
    <xf numFmtId="10" fontId="3" fillId="0" borderId="3" xfId="1" applyNumberFormat="1" applyFont="1" applyBorder="1" applyAlignment="1">
      <alignment horizontal="center" vertical="center"/>
    </xf>
    <xf numFmtId="10" fontId="3" fillId="0" borderId="4" xfId="1" applyNumberFormat="1" applyFont="1" applyBorder="1" applyAlignment="1">
      <alignment horizontal="center" vertical="center"/>
    </xf>
    <xf numFmtId="165" fontId="3" fillId="0" borderId="1" xfId="1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5" borderId="7" xfId="0" applyFont="1" applyFill="1" applyBorder="1" applyAlignment="1">
      <alignment horizontal="center"/>
    </xf>
    <xf numFmtId="0" fontId="2" fillId="5" borderId="8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14" fontId="2" fillId="5" borderId="10" xfId="0" applyNumberFormat="1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/>
    </xf>
    <xf numFmtId="0" fontId="2" fillId="5" borderId="12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167" fontId="3" fillId="11" borderId="2" xfId="0" applyNumberFormat="1" applyFont="1" applyFill="1" applyBorder="1" applyAlignment="1">
      <alignment horizontal="center" vertical="center"/>
    </xf>
    <xf numFmtId="167" fontId="3" fillId="11" borderId="4" xfId="0" applyNumberFormat="1" applyFont="1" applyFill="1" applyBorder="1" applyAlignment="1">
      <alignment horizontal="center" vertical="center"/>
    </xf>
    <xf numFmtId="167" fontId="3" fillId="11" borderId="1" xfId="0" applyNumberFormat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14" fontId="2" fillId="2" borderId="10" xfId="0" applyNumberFormat="1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 textRotation="90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textRotation="90"/>
    </xf>
    <xf numFmtId="0" fontId="3" fillId="0" borderId="3" xfId="0" applyFont="1" applyBorder="1" applyAlignment="1">
      <alignment horizontal="center" vertical="center" textRotation="90"/>
    </xf>
    <xf numFmtId="0" fontId="3" fillId="0" borderId="4" xfId="0" applyFont="1" applyBorder="1" applyAlignment="1">
      <alignment horizontal="center" vertical="center" textRotation="90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4"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CCCC00"/>
      <color rgb="FF33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28"/>
  <sheetViews>
    <sheetView showGridLines="0" tabSelected="1" workbookViewId="0">
      <selection activeCell="B6" sqref="B6:B15"/>
    </sheetView>
  </sheetViews>
  <sheetFormatPr baseColWidth="10" defaultColWidth="11.44140625" defaultRowHeight="12" x14ac:dyDescent="0.3"/>
  <cols>
    <col min="1" max="1" width="11.44140625" style="3"/>
    <col min="2" max="2" width="27.44140625" style="3" bestFit="1" customWidth="1"/>
    <col min="3" max="3" width="19.109375" style="3" bestFit="1" customWidth="1"/>
    <col min="4" max="4" width="22.88671875" style="3" bestFit="1" customWidth="1"/>
    <col min="5" max="5" width="19" style="3" bestFit="1" customWidth="1"/>
    <col min="6" max="6" width="15.5546875" style="3" bestFit="1" customWidth="1"/>
    <col min="7" max="7" width="18" style="3" bestFit="1" customWidth="1"/>
    <col min="8" max="8" width="12.44140625" style="3" bestFit="1" customWidth="1"/>
    <col min="9" max="9" width="10.5546875" style="3" bestFit="1" customWidth="1"/>
    <col min="10" max="10" width="12" style="3" bestFit="1" customWidth="1"/>
    <col min="11" max="16384" width="11.44140625" style="3"/>
  </cols>
  <sheetData>
    <row r="2" spans="2:10" x14ac:dyDescent="0.3">
      <c r="B2" s="69" t="s">
        <v>102</v>
      </c>
      <c r="C2" s="70"/>
      <c r="D2" s="70"/>
      <c r="E2" s="70"/>
      <c r="F2" s="70"/>
      <c r="G2" s="70"/>
      <c r="H2" s="70"/>
      <c r="I2" s="70"/>
      <c r="J2" s="71"/>
    </row>
    <row r="3" spans="2:10" x14ac:dyDescent="0.3">
      <c r="B3" s="72">
        <v>44095</v>
      </c>
      <c r="C3" s="73"/>
      <c r="D3" s="73"/>
      <c r="E3" s="73"/>
      <c r="F3" s="73"/>
      <c r="G3" s="73"/>
      <c r="H3" s="73"/>
      <c r="I3" s="73"/>
      <c r="J3" s="74"/>
    </row>
    <row r="5" spans="2:10" x14ac:dyDescent="0.3">
      <c r="B5" s="28" t="s">
        <v>0</v>
      </c>
      <c r="C5" s="28" t="s">
        <v>8</v>
      </c>
      <c r="D5" s="28" t="s">
        <v>1</v>
      </c>
      <c r="E5" s="28" t="s">
        <v>2</v>
      </c>
      <c r="F5" s="28" t="s">
        <v>3</v>
      </c>
      <c r="G5" s="28" t="s">
        <v>4</v>
      </c>
      <c r="H5" s="28" t="s">
        <v>5</v>
      </c>
      <c r="I5" s="28" t="s">
        <v>6</v>
      </c>
      <c r="J5" s="28" t="s">
        <v>7</v>
      </c>
    </row>
    <row r="6" spans="2:10" x14ac:dyDescent="0.3">
      <c r="B6" s="75" t="s">
        <v>45</v>
      </c>
      <c r="C6" s="76" t="s">
        <v>14</v>
      </c>
      <c r="D6" s="32" t="s">
        <v>55</v>
      </c>
      <c r="E6" s="9">
        <f>'CUOTA ARTESANAL'!L6:L7</f>
        <v>5</v>
      </c>
      <c r="F6" s="5">
        <f>'CUOTA ARTESANAL'!M6:M7</f>
        <v>0</v>
      </c>
      <c r="G6" s="5">
        <f>'CUOTA ARTESANAL'!N6:N7</f>
        <v>5</v>
      </c>
      <c r="H6" s="5">
        <f>'CUOTA ARTESANAL'!O6:O7</f>
        <v>0</v>
      </c>
      <c r="I6" s="5">
        <f>'CUOTA ARTESANAL'!P6:P7</f>
        <v>5</v>
      </c>
      <c r="J6" s="6">
        <f>'CUOTA ARTESANAL'!Q6:Q7</f>
        <v>0</v>
      </c>
    </row>
    <row r="7" spans="2:10" x14ac:dyDescent="0.3">
      <c r="B7" s="76"/>
      <c r="C7" s="76"/>
      <c r="D7" s="32" t="s">
        <v>9</v>
      </c>
      <c r="E7" s="9">
        <f>'CUOTA ARTESANAL'!L8</f>
        <v>10</v>
      </c>
      <c r="F7" s="5">
        <f>'CUOTA ARTESANAL'!M8</f>
        <v>0</v>
      </c>
      <c r="G7" s="5">
        <f>'CUOTA ARTESANAL'!N8</f>
        <v>10</v>
      </c>
      <c r="H7" s="5">
        <f>'CUOTA ARTESANAL'!O8</f>
        <v>0</v>
      </c>
      <c r="I7" s="5">
        <f>'CUOTA ARTESANAL'!P8</f>
        <v>10</v>
      </c>
      <c r="J7" s="6">
        <f>'CUOTA ARTESANAL'!Q8</f>
        <v>0</v>
      </c>
    </row>
    <row r="8" spans="2:10" x14ac:dyDescent="0.3">
      <c r="B8" s="76"/>
      <c r="C8" s="76"/>
      <c r="D8" s="32" t="s">
        <v>37</v>
      </c>
      <c r="E8" s="9">
        <f>SUM('CUOTA ARTESANAL'!L10:L19)</f>
        <v>671.00999999999988</v>
      </c>
      <c r="F8" s="5">
        <f>SUM('CUOTA ARTESANAL'!M10:M19)</f>
        <v>-226.44400000000002</v>
      </c>
      <c r="G8" s="5">
        <f>SUM('CUOTA ARTESANAL'!N10:N19)</f>
        <v>444.56600000000003</v>
      </c>
      <c r="H8" s="5">
        <f>SUM('CUOTA ARTESANAL'!O10:O19)</f>
        <v>254.93100000000004</v>
      </c>
      <c r="I8" s="5">
        <f>SUM('CUOTA ARTESANAL'!P10:P19)</f>
        <v>189.63499999999996</v>
      </c>
      <c r="J8" s="6">
        <f>SUM('CUOTA ARTESANAL'!Q10:Q19)</f>
        <v>2.4740872696632401</v>
      </c>
    </row>
    <row r="9" spans="2:10" x14ac:dyDescent="0.3">
      <c r="B9" s="76"/>
      <c r="C9" s="76"/>
      <c r="D9" s="32" t="s">
        <v>10</v>
      </c>
      <c r="E9" s="9">
        <f>'CUOTA ARTESANAL'!L20</f>
        <v>14</v>
      </c>
      <c r="F9" s="5">
        <f>'CUOTA ARTESANAL'!M20</f>
        <v>0</v>
      </c>
      <c r="G9" s="5">
        <f>'CUOTA ARTESANAL'!N20</f>
        <v>14</v>
      </c>
      <c r="H9" s="5">
        <f>'CUOTA ARTESANAL'!O20</f>
        <v>0</v>
      </c>
      <c r="I9" s="5">
        <f>'CUOTA ARTESANAL'!P20</f>
        <v>14</v>
      </c>
      <c r="J9" s="6">
        <f>'CUOTA ARTESANAL'!Q20</f>
        <v>0</v>
      </c>
    </row>
    <row r="10" spans="2:10" x14ac:dyDescent="0.3">
      <c r="B10" s="76"/>
      <c r="C10" s="77"/>
      <c r="D10" s="32" t="s">
        <v>11</v>
      </c>
      <c r="E10" s="9">
        <f>SUM(E6:E9)</f>
        <v>700.00999999999988</v>
      </c>
      <c r="F10" s="5">
        <f>SUM(F6:F9)</f>
        <v>-226.44400000000002</v>
      </c>
      <c r="G10" s="5">
        <f>E10+F10</f>
        <v>473.56599999999986</v>
      </c>
      <c r="H10" s="5">
        <f>SUM(H6:H9)</f>
        <v>254.93100000000004</v>
      </c>
      <c r="I10" s="5">
        <f>G10-H10</f>
        <v>218.63499999999982</v>
      </c>
      <c r="J10" s="6">
        <f>H10/G10</f>
        <v>0.53832200791441975</v>
      </c>
    </row>
    <row r="11" spans="2:10" x14ac:dyDescent="0.3">
      <c r="B11" s="76"/>
      <c r="C11" s="75" t="s">
        <v>15</v>
      </c>
      <c r="D11" s="32" t="s">
        <v>38</v>
      </c>
      <c r="E11" s="9">
        <f>SUM('CUOTA LTP'!K6:K17)</f>
        <v>1.9999800000000003</v>
      </c>
      <c r="F11" s="5">
        <f>SUM('CUOTA LTP'!L6:L17)</f>
        <v>0</v>
      </c>
      <c r="G11" s="5">
        <f>SUM('CUOTA LTP'!M6:M17)</f>
        <v>1.9999800000000003</v>
      </c>
      <c r="H11" s="5">
        <f>SUM('CUOTA LTP'!N6:N17)</f>
        <v>0</v>
      </c>
      <c r="I11" s="5">
        <f>SUM('CUOTA LTP'!O6:O17)</f>
        <v>1.9999800000000003</v>
      </c>
      <c r="J11" s="6">
        <f>SUM('CUOTA LTP'!P6:P17)</f>
        <v>0</v>
      </c>
    </row>
    <row r="12" spans="2:10" x14ac:dyDescent="0.3">
      <c r="B12" s="76"/>
      <c r="C12" s="76"/>
      <c r="D12" s="32" t="s">
        <v>39</v>
      </c>
      <c r="E12" s="9">
        <f>SUM('CUOTA LTP'!K18:K29)</f>
        <v>41</v>
      </c>
      <c r="F12" s="5">
        <f>SUM('CUOTA LTP'!L18:L29)</f>
        <v>126.44399999999999</v>
      </c>
      <c r="G12" s="5">
        <f>SUM('CUOTA LTP'!M18:M29)</f>
        <v>167.44399999999999</v>
      </c>
      <c r="H12" s="5">
        <f>SUM('CUOTA LTP'!N18:N29)</f>
        <v>24.173000000000002</v>
      </c>
      <c r="I12" s="5">
        <f>SUM('CUOTA LTP'!O18:O29)</f>
        <v>143.27099999999999</v>
      </c>
      <c r="J12" s="6">
        <f>SUM('CUOTA LTP'!P18:P29)</f>
        <v>1.0141513016193415</v>
      </c>
    </row>
    <row r="13" spans="2:10" x14ac:dyDescent="0.3">
      <c r="B13" s="76"/>
      <c r="C13" s="76"/>
      <c r="D13" s="32" t="s">
        <v>12</v>
      </c>
      <c r="E13" s="9">
        <f>SUM(E11:E12)</f>
        <v>42.999980000000001</v>
      </c>
      <c r="F13" s="5">
        <f>SUM(F11:F12)</f>
        <v>126.44399999999999</v>
      </c>
      <c r="G13" s="5">
        <f>E13+F13</f>
        <v>169.44397999999998</v>
      </c>
      <c r="H13" s="5">
        <f>SUM(H11:H12)</f>
        <v>24.173000000000002</v>
      </c>
      <c r="I13" s="5">
        <f>G13-H13</f>
        <v>145.27097999999998</v>
      </c>
      <c r="J13" s="6">
        <f>H13/G13</f>
        <v>0.14266071889954429</v>
      </c>
    </row>
    <row r="14" spans="2:10" x14ac:dyDescent="0.3">
      <c r="B14" s="76"/>
      <c r="C14" s="76"/>
      <c r="D14" s="32" t="s">
        <v>40</v>
      </c>
      <c r="E14" s="9">
        <v>14</v>
      </c>
      <c r="F14" s="5">
        <v>0</v>
      </c>
      <c r="G14" s="5">
        <f>E14+F14</f>
        <v>14</v>
      </c>
      <c r="H14" s="9">
        <f>'PESCA INVESTIGACION'!H9</f>
        <v>0.14799999999999999</v>
      </c>
      <c r="I14" s="5">
        <f>G14-H14</f>
        <v>13.852</v>
      </c>
      <c r="J14" s="6">
        <f>H14/G14</f>
        <v>1.057142857142857E-2</v>
      </c>
    </row>
    <row r="15" spans="2:10" x14ac:dyDescent="0.3">
      <c r="B15" s="77"/>
      <c r="C15" s="78" t="s">
        <v>13</v>
      </c>
      <c r="D15" s="79"/>
      <c r="E15" s="29">
        <f>SUM(E10+E13+E14)</f>
        <v>757.00997999999993</v>
      </c>
      <c r="F15" s="30">
        <f>SUM(F10+F13+F14)</f>
        <v>-100.00000000000003</v>
      </c>
      <c r="G15" s="30">
        <f>E15+F15</f>
        <v>657.00997999999993</v>
      </c>
      <c r="H15" s="30">
        <f>SUM(H10+H13+H14)</f>
        <v>279.25200000000007</v>
      </c>
      <c r="I15" s="30">
        <f>G15-H15</f>
        <v>377.75797999999986</v>
      </c>
      <c r="J15" s="31">
        <f>H15/G15</f>
        <v>0.42503463950425852</v>
      </c>
    </row>
    <row r="16" spans="2:10" ht="12.6" thickBot="1" x14ac:dyDescent="0.35"/>
    <row r="17" spans="2:10" ht="12.6" thickBot="1" x14ac:dyDescent="0.35">
      <c r="B17" s="47" t="s">
        <v>113</v>
      </c>
      <c r="C17" s="46" t="s">
        <v>112</v>
      </c>
    </row>
    <row r="20" spans="2:10" x14ac:dyDescent="0.3">
      <c r="B20" s="69" t="s">
        <v>111</v>
      </c>
      <c r="C20" s="70"/>
      <c r="D20" s="70"/>
      <c r="E20" s="70"/>
      <c r="F20" s="70"/>
      <c r="G20" s="70"/>
      <c r="H20" s="70"/>
      <c r="I20" s="70"/>
      <c r="J20" s="71"/>
    </row>
    <row r="21" spans="2:10" x14ac:dyDescent="0.3">
      <c r="B21" s="72">
        <f>B3</f>
        <v>44095</v>
      </c>
      <c r="C21" s="73"/>
      <c r="D21" s="73"/>
      <c r="E21" s="73"/>
      <c r="F21" s="73"/>
      <c r="G21" s="73"/>
      <c r="H21" s="73"/>
      <c r="I21" s="73"/>
      <c r="J21" s="74"/>
    </row>
    <row r="23" spans="2:10" x14ac:dyDescent="0.3">
      <c r="B23" s="28" t="s">
        <v>0</v>
      </c>
      <c r="C23" s="28" t="s">
        <v>8</v>
      </c>
      <c r="D23" s="28" t="s">
        <v>1</v>
      </c>
      <c r="E23" s="28" t="s">
        <v>2</v>
      </c>
      <c r="F23" s="28" t="s">
        <v>3</v>
      </c>
      <c r="G23" s="28" t="s">
        <v>4</v>
      </c>
      <c r="H23" s="28" t="s">
        <v>5</v>
      </c>
      <c r="I23" s="28" t="s">
        <v>6</v>
      </c>
      <c r="J23" s="28" t="s">
        <v>7</v>
      </c>
    </row>
    <row r="24" spans="2:10" x14ac:dyDescent="0.3">
      <c r="B24" s="75" t="s">
        <v>110</v>
      </c>
      <c r="C24" s="75" t="s">
        <v>60</v>
      </c>
      <c r="D24" s="32" t="s">
        <v>41</v>
      </c>
      <c r="E24" s="5">
        <f>SUM('CUOTA LICITADA'!L14:L39)</f>
        <v>1223.8500553499998</v>
      </c>
      <c r="F24" s="5">
        <f>SUM('CUOTA LICITADA'!M14:M39)</f>
        <v>-2.8421709430404007E-14</v>
      </c>
      <c r="G24" s="5">
        <f>E24+F24</f>
        <v>1223.8500553499998</v>
      </c>
      <c r="H24" s="5">
        <f>SUM('CUOTA LICITADA'!O14:O39)</f>
        <v>601.755</v>
      </c>
      <c r="I24" s="5">
        <f>G24-H24</f>
        <v>622.09505534999983</v>
      </c>
      <c r="J24" s="26">
        <f>H24/G24</f>
        <v>0.49169013587036897</v>
      </c>
    </row>
    <row r="25" spans="2:10" x14ac:dyDescent="0.3">
      <c r="B25" s="76"/>
      <c r="C25" s="76"/>
      <c r="D25" s="32" t="s">
        <v>42</v>
      </c>
      <c r="E25" s="5">
        <f>SUM('CUOTA LICITADA'!F40:F69)</f>
        <v>4097.4101853100001</v>
      </c>
      <c r="F25" s="5">
        <f>SUM('CUOTA LICITADA'!M40:M69)</f>
        <v>0</v>
      </c>
      <c r="G25" s="5">
        <f>E25+F25</f>
        <v>4097.4101853100001</v>
      </c>
      <c r="H25" s="5">
        <f>SUM('CUOTA LICITADA'!O40:O69)</f>
        <v>2732.82</v>
      </c>
      <c r="I25" s="5">
        <f>G25-H25</f>
        <v>1364.5901853099999</v>
      </c>
      <c r="J25" s="26">
        <f>H25/G25</f>
        <v>0.6669627585243193</v>
      </c>
    </row>
    <row r="26" spans="2:10" x14ac:dyDescent="0.3">
      <c r="B26" s="76"/>
      <c r="C26" s="77"/>
      <c r="D26" s="32" t="s">
        <v>109</v>
      </c>
      <c r="E26" s="5">
        <v>100</v>
      </c>
      <c r="F26" s="5">
        <v>0</v>
      </c>
      <c r="G26" s="5">
        <f t="shared" ref="G26:G28" si="0">E26+F26</f>
        <v>100</v>
      </c>
      <c r="H26" s="5">
        <f>'PESCA INVESTIGACION'!I9</f>
        <v>5.68</v>
      </c>
      <c r="I26" s="5">
        <f t="shared" ref="I26:I28" si="1">G26-H26</f>
        <v>94.32</v>
      </c>
      <c r="J26" s="26">
        <f t="shared" ref="J26:J28" si="2">H26/G26</f>
        <v>5.6799999999999996E-2</v>
      </c>
    </row>
    <row r="27" spans="2:10" x14ac:dyDescent="0.3">
      <c r="B27" s="76"/>
      <c r="C27" s="4" t="s">
        <v>14</v>
      </c>
      <c r="D27" s="32" t="s">
        <v>43</v>
      </c>
      <c r="E27" s="5">
        <v>70</v>
      </c>
      <c r="F27" s="5">
        <v>0</v>
      </c>
      <c r="G27" s="5">
        <f t="shared" si="0"/>
        <v>70</v>
      </c>
      <c r="H27" s="5">
        <v>0</v>
      </c>
      <c r="I27" s="5">
        <f t="shared" si="1"/>
        <v>70</v>
      </c>
      <c r="J27" s="26">
        <f t="shared" si="2"/>
        <v>0</v>
      </c>
    </row>
    <row r="28" spans="2:10" x14ac:dyDescent="0.3">
      <c r="B28" s="77"/>
      <c r="C28" s="78" t="s">
        <v>13</v>
      </c>
      <c r="D28" s="79"/>
      <c r="E28" s="30">
        <f>SUM(E24:E27)</f>
        <v>5491.2602406599999</v>
      </c>
      <c r="F28" s="30">
        <f>SUM(F24:F27)</f>
        <v>-2.8421709430404007E-14</v>
      </c>
      <c r="G28" s="30">
        <f t="shared" si="0"/>
        <v>5491.2602406599999</v>
      </c>
      <c r="H28" s="30">
        <f>SUM(H24:H27)</f>
        <v>3340.2550000000001</v>
      </c>
      <c r="I28" s="30">
        <f t="shared" si="1"/>
        <v>2151.0052406599998</v>
      </c>
      <c r="J28" s="31">
        <f t="shared" si="2"/>
        <v>0.60828568554575213</v>
      </c>
    </row>
  </sheetData>
  <mergeCells count="11">
    <mergeCell ref="B2:J2"/>
    <mergeCell ref="B3:J3"/>
    <mergeCell ref="B20:J20"/>
    <mergeCell ref="B21:J21"/>
    <mergeCell ref="B24:B28"/>
    <mergeCell ref="B6:B15"/>
    <mergeCell ref="C28:D28"/>
    <mergeCell ref="C6:C10"/>
    <mergeCell ref="C11:C14"/>
    <mergeCell ref="C15:D15"/>
    <mergeCell ref="C24:C2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Q21"/>
  <sheetViews>
    <sheetView showGridLines="0" workbookViewId="0">
      <selection activeCell="H16" activeCellId="3" sqref="H10 H12 H14 H16"/>
    </sheetView>
  </sheetViews>
  <sheetFormatPr baseColWidth="10" defaultColWidth="11.44140625" defaultRowHeight="12" x14ac:dyDescent="0.3"/>
  <cols>
    <col min="1" max="1" width="11.44140625" style="3"/>
    <col min="2" max="2" width="22.44140625" style="3" bestFit="1" customWidth="1"/>
    <col min="3" max="3" width="11" style="3" bestFit="1" customWidth="1"/>
    <col min="4" max="4" width="8.33203125" style="3" bestFit="1" customWidth="1"/>
    <col min="5" max="5" width="19" style="3" bestFit="1" customWidth="1"/>
    <col min="6" max="6" width="15.5546875" style="3" bestFit="1" customWidth="1"/>
    <col min="7" max="7" width="18" style="3" bestFit="1" customWidth="1"/>
    <col min="8" max="8" width="12.44140625" style="3" bestFit="1" customWidth="1"/>
    <col min="9" max="9" width="10.5546875" style="3" bestFit="1" customWidth="1"/>
    <col min="10" max="10" width="12" style="3" bestFit="1" customWidth="1"/>
    <col min="11" max="11" width="11.109375" style="3" bestFit="1" customWidth="1"/>
    <col min="12" max="12" width="19" style="3" bestFit="1" customWidth="1"/>
    <col min="13" max="13" width="15.5546875" style="3" bestFit="1" customWidth="1"/>
    <col min="14" max="14" width="18" style="3" bestFit="1" customWidth="1"/>
    <col min="15" max="15" width="12.44140625" style="3" bestFit="1" customWidth="1"/>
    <col min="16" max="16" width="10.5546875" style="3" bestFit="1" customWidth="1"/>
    <col min="17" max="17" width="10.44140625" style="3" bestFit="1" customWidth="1"/>
    <col min="18" max="16384" width="11.44140625" style="3"/>
  </cols>
  <sheetData>
    <row r="2" spans="2:17" x14ac:dyDescent="0.3">
      <c r="B2" s="84" t="s">
        <v>103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6"/>
    </row>
    <row r="3" spans="2:17" x14ac:dyDescent="0.3">
      <c r="B3" s="87">
        <f>'RESUMEN '!B3:J3</f>
        <v>44095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9"/>
    </row>
    <row r="5" spans="2:17" x14ac:dyDescent="0.3">
      <c r="B5" s="33" t="s">
        <v>16</v>
      </c>
      <c r="C5" s="33" t="s">
        <v>17</v>
      </c>
      <c r="D5" s="33" t="s">
        <v>18</v>
      </c>
      <c r="E5" s="33" t="s">
        <v>2</v>
      </c>
      <c r="F5" s="33" t="s">
        <v>3</v>
      </c>
      <c r="G5" s="33" t="s">
        <v>4</v>
      </c>
      <c r="H5" s="33" t="s">
        <v>5</v>
      </c>
      <c r="I5" s="33" t="s">
        <v>6</v>
      </c>
      <c r="J5" s="34" t="s">
        <v>7</v>
      </c>
      <c r="K5" s="33" t="s">
        <v>19</v>
      </c>
      <c r="L5" s="33" t="s">
        <v>2</v>
      </c>
      <c r="M5" s="33" t="s">
        <v>3</v>
      </c>
      <c r="N5" s="33" t="s">
        <v>4</v>
      </c>
      <c r="O5" s="33" t="s">
        <v>5</v>
      </c>
      <c r="P5" s="33" t="s">
        <v>6</v>
      </c>
      <c r="Q5" s="33" t="s">
        <v>20</v>
      </c>
    </row>
    <row r="6" spans="2:17" x14ac:dyDescent="0.3">
      <c r="B6" s="75" t="s">
        <v>48</v>
      </c>
      <c r="C6" s="75" t="s">
        <v>16</v>
      </c>
      <c r="D6" s="8" t="s">
        <v>46</v>
      </c>
      <c r="E6" s="9">
        <v>4</v>
      </c>
      <c r="F6" s="5"/>
      <c r="G6" s="5">
        <f>E6+F6</f>
        <v>4</v>
      </c>
      <c r="H6" s="5"/>
      <c r="I6" s="5">
        <f>G6-H6</f>
        <v>4</v>
      </c>
      <c r="J6" s="6">
        <f>H6/G6</f>
        <v>0</v>
      </c>
      <c r="K6" s="8" t="s">
        <v>86</v>
      </c>
      <c r="L6" s="82">
        <f>E6+E7</f>
        <v>5</v>
      </c>
      <c r="M6" s="82">
        <f>F6+F7</f>
        <v>0</v>
      </c>
      <c r="N6" s="82">
        <f>L6+M6</f>
        <v>5</v>
      </c>
      <c r="O6" s="82">
        <f>H6+H7</f>
        <v>0</v>
      </c>
      <c r="P6" s="82">
        <f>N6-O6</f>
        <v>5</v>
      </c>
      <c r="Q6" s="80">
        <f>O6/N6</f>
        <v>0</v>
      </c>
    </row>
    <row r="7" spans="2:17" x14ac:dyDescent="0.3">
      <c r="B7" s="77"/>
      <c r="C7" s="77"/>
      <c r="D7" s="8" t="s">
        <v>47</v>
      </c>
      <c r="E7" s="9">
        <v>1</v>
      </c>
      <c r="F7" s="5"/>
      <c r="G7" s="5">
        <f>E7+F7+I6</f>
        <v>5</v>
      </c>
      <c r="H7" s="5"/>
      <c r="I7" s="5">
        <f>G7-H7</f>
        <v>5</v>
      </c>
      <c r="J7" s="6">
        <f>H7/G7</f>
        <v>0</v>
      </c>
      <c r="K7" s="8" t="s">
        <v>86</v>
      </c>
      <c r="L7" s="83"/>
      <c r="M7" s="83"/>
      <c r="N7" s="83"/>
      <c r="O7" s="83"/>
      <c r="P7" s="83"/>
      <c r="Q7" s="81"/>
    </row>
    <row r="8" spans="2:17" x14ac:dyDescent="0.3">
      <c r="B8" s="75" t="s">
        <v>21</v>
      </c>
      <c r="C8" s="75" t="s">
        <v>16</v>
      </c>
      <c r="D8" s="8" t="s">
        <v>46</v>
      </c>
      <c r="E8" s="9">
        <v>9</v>
      </c>
      <c r="F8" s="5"/>
      <c r="G8" s="5">
        <f t="shared" ref="G8" si="0">E8+F8</f>
        <v>9</v>
      </c>
      <c r="H8" s="5"/>
      <c r="I8" s="5">
        <f t="shared" ref="I8:I19" si="1">G8-H8</f>
        <v>9</v>
      </c>
      <c r="J8" s="6">
        <f t="shared" ref="J8:J19" si="2">H8/G8</f>
        <v>0</v>
      </c>
      <c r="K8" s="8" t="s">
        <v>86</v>
      </c>
      <c r="L8" s="82">
        <f t="shared" ref="L8" si="3">E8+E9</f>
        <v>10</v>
      </c>
      <c r="M8" s="82">
        <f t="shared" ref="M8" si="4">F8+F9</f>
        <v>0</v>
      </c>
      <c r="N8" s="82">
        <f t="shared" ref="N8" si="5">L8+M8</f>
        <v>10</v>
      </c>
      <c r="O8" s="82">
        <f t="shared" ref="O8" si="6">H8+H9</f>
        <v>0</v>
      </c>
      <c r="P8" s="82">
        <f t="shared" ref="P8" si="7">N8-O8</f>
        <v>10</v>
      </c>
      <c r="Q8" s="80">
        <f t="shared" ref="Q8" si="8">O8/N8</f>
        <v>0</v>
      </c>
    </row>
    <row r="9" spans="2:17" x14ac:dyDescent="0.3">
      <c r="B9" s="77"/>
      <c r="C9" s="77"/>
      <c r="D9" s="8" t="s">
        <v>47</v>
      </c>
      <c r="E9" s="9">
        <v>1</v>
      </c>
      <c r="F9" s="5"/>
      <c r="G9" s="5">
        <f t="shared" ref="G9" si="9">E9+F9+I8</f>
        <v>10</v>
      </c>
      <c r="H9" s="5"/>
      <c r="I9" s="5">
        <f t="shared" si="1"/>
        <v>10</v>
      </c>
      <c r="J9" s="6">
        <f t="shared" si="2"/>
        <v>0</v>
      </c>
      <c r="K9" s="8" t="s">
        <v>86</v>
      </c>
      <c r="L9" s="83"/>
      <c r="M9" s="83"/>
      <c r="N9" s="83"/>
      <c r="O9" s="83"/>
      <c r="P9" s="83"/>
      <c r="Q9" s="81"/>
    </row>
    <row r="10" spans="2:17" x14ac:dyDescent="0.3">
      <c r="B10" s="75" t="s">
        <v>22</v>
      </c>
      <c r="C10" s="75" t="s">
        <v>50</v>
      </c>
      <c r="D10" s="8" t="s">
        <v>46</v>
      </c>
      <c r="E10" s="9">
        <v>177.58</v>
      </c>
      <c r="F10" s="5">
        <f>-69.044</f>
        <v>-69.043999999999997</v>
      </c>
      <c r="G10" s="5">
        <f t="shared" ref="G10" si="10">E10+F10</f>
        <v>108.53600000000002</v>
      </c>
      <c r="H10" s="68">
        <v>28.204000000000001</v>
      </c>
      <c r="I10" s="5">
        <f t="shared" si="1"/>
        <v>80.332000000000022</v>
      </c>
      <c r="J10" s="6">
        <f t="shared" si="2"/>
        <v>0.25985848013562318</v>
      </c>
      <c r="K10" s="8" t="s">
        <v>86</v>
      </c>
      <c r="L10" s="82">
        <f t="shared" ref="L10" si="11">E10+E11</f>
        <v>197.28</v>
      </c>
      <c r="M10" s="82">
        <f t="shared" ref="M10" si="12">F10+F11</f>
        <v>-69.043999999999997</v>
      </c>
      <c r="N10" s="82">
        <f t="shared" ref="N10" si="13">L10+M10</f>
        <v>128.23599999999999</v>
      </c>
      <c r="O10" s="82">
        <f t="shared" ref="O10" si="14">H10+H11</f>
        <v>28.204000000000001</v>
      </c>
      <c r="P10" s="82">
        <f t="shared" ref="P10" si="15">N10-O10</f>
        <v>100.03199999999998</v>
      </c>
      <c r="Q10" s="80">
        <f t="shared" ref="Q10" si="16">O10/N10</f>
        <v>0.21993823887207964</v>
      </c>
    </row>
    <row r="11" spans="2:17" x14ac:dyDescent="0.3">
      <c r="B11" s="76"/>
      <c r="C11" s="77"/>
      <c r="D11" s="8" t="s">
        <v>47</v>
      </c>
      <c r="E11" s="9">
        <v>19.7</v>
      </c>
      <c r="F11" s="5"/>
      <c r="G11" s="5">
        <f t="shared" ref="G11" si="17">E11+F11+I10</f>
        <v>100.03200000000002</v>
      </c>
      <c r="H11" s="5"/>
      <c r="I11" s="5">
        <f t="shared" si="1"/>
        <v>100.03200000000002</v>
      </c>
      <c r="J11" s="6">
        <f t="shared" si="2"/>
        <v>0</v>
      </c>
      <c r="K11" s="8" t="s">
        <v>86</v>
      </c>
      <c r="L11" s="83"/>
      <c r="M11" s="83"/>
      <c r="N11" s="83"/>
      <c r="O11" s="83"/>
      <c r="P11" s="83"/>
      <c r="Q11" s="81"/>
    </row>
    <row r="12" spans="2:17" x14ac:dyDescent="0.3">
      <c r="B12" s="76"/>
      <c r="C12" s="75" t="s">
        <v>51</v>
      </c>
      <c r="D12" s="8" t="s">
        <v>46</v>
      </c>
      <c r="E12" s="9">
        <v>165.5</v>
      </c>
      <c r="F12" s="5">
        <f>2.6-100</f>
        <v>-97.4</v>
      </c>
      <c r="G12" s="5">
        <f t="shared" ref="G12" si="18">E12+F12</f>
        <v>68.099999999999994</v>
      </c>
      <c r="H12" s="68">
        <v>54.024999999999999</v>
      </c>
      <c r="I12" s="5">
        <f t="shared" si="1"/>
        <v>14.074999999999996</v>
      </c>
      <c r="J12" s="6">
        <f t="shared" si="2"/>
        <v>0.7933186490455213</v>
      </c>
      <c r="K12" s="8" t="s">
        <v>86</v>
      </c>
      <c r="L12" s="82">
        <f t="shared" ref="L12" si="19">E12+E13</f>
        <v>183.86</v>
      </c>
      <c r="M12" s="82">
        <f t="shared" ref="M12" si="20">F12+F13</f>
        <v>-97.4</v>
      </c>
      <c r="N12" s="82">
        <f t="shared" ref="N12" si="21">L12+M12</f>
        <v>86.460000000000008</v>
      </c>
      <c r="O12" s="82">
        <f t="shared" ref="O12" si="22">H12+H13</f>
        <v>54.024999999999999</v>
      </c>
      <c r="P12" s="82">
        <f t="shared" ref="P12" si="23">N12-O12</f>
        <v>32.435000000000009</v>
      </c>
      <c r="Q12" s="80">
        <f t="shared" ref="Q12" si="24">O12/N12</f>
        <v>0.62485542447374498</v>
      </c>
    </row>
    <row r="13" spans="2:17" x14ac:dyDescent="0.3">
      <c r="B13" s="76"/>
      <c r="C13" s="77"/>
      <c r="D13" s="8" t="s">
        <v>47</v>
      </c>
      <c r="E13" s="9">
        <v>18.36</v>
      </c>
      <c r="F13" s="5"/>
      <c r="G13" s="5">
        <f t="shared" ref="G13" si="25">E13+F13+I12</f>
        <v>32.434999999999995</v>
      </c>
      <c r="H13" s="9"/>
      <c r="I13" s="5">
        <f t="shared" si="1"/>
        <v>32.434999999999995</v>
      </c>
      <c r="J13" s="6">
        <f t="shared" si="2"/>
        <v>0</v>
      </c>
      <c r="K13" s="8" t="s">
        <v>86</v>
      </c>
      <c r="L13" s="83"/>
      <c r="M13" s="83"/>
      <c r="N13" s="83"/>
      <c r="O13" s="83"/>
      <c r="P13" s="83"/>
      <c r="Q13" s="81"/>
    </row>
    <row r="14" spans="2:17" x14ac:dyDescent="0.3">
      <c r="B14" s="76"/>
      <c r="C14" s="75" t="s">
        <v>52</v>
      </c>
      <c r="D14" s="8" t="s">
        <v>46</v>
      </c>
      <c r="E14" s="9">
        <v>128.05000000000001</v>
      </c>
      <c r="F14" s="5"/>
      <c r="G14" s="5">
        <f t="shared" ref="G14" si="26">E14+F14</f>
        <v>128.05000000000001</v>
      </c>
      <c r="H14" s="68">
        <v>108.29900000000001</v>
      </c>
      <c r="I14" s="5">
        <f t="shared" si="1"/>
        <v>19.751000000000005</v>
      </c>
      <c r="J14" s="6">
        <f t="shared" si="2"/>
        <v>0.84575556423272158</v>
      </c>
      <c r="K14" s="8" t="s">
        <v>86</v>
      </c>
      <c r="L14" s="82">
        <f t="shared" ref="L14" si="27">E14+E15</f>
        <v>142.25</v>
      </c>
      <c r="M14" s="82">
        <f t="shared" ref="M14" si="28">F14+F15</f>
        <v>0</v>
      </c>
      <c r="N14" s="82">
        <f t="shared" ref="N14" si="29">L14+M14</f>
        <v>142.25</v>
      </c>
      <c r="O14" s="82">
        <f t="shared" ref="O14" si="30">H14+H15</f>
        <v>108.29900000000001</v>
      </c>
      <c r="P14" s="82">
        <f t="shared" ref="P14" si="31">N14-O14</f>
        <v>33.950999999999993</v>
      </c>
      <c r="Q14" s="80">
        <f t="shared" ref="Q14" si="32">O14/N14</f>
        <v>0.76132864674868195</v>
      </c>
    </row>
    <row r="15" spans="2:17" x14ac:dyDescent="0.3">
      <c r="B15" s="76"/>
      <c r="C15" s="77"/>
      <c r="D15" s="8" t="s">
        <v>47</v>
      </c>
      <c r="E15" s="9">
        <v>14.2</v>
      </c>
      <c r="F15" s="5"/>
      <c r="G15" s="5">
        <f t="shared" ref="G15" si="33">E15+F15+I14</f>
        <v>33.951000000000008</v>
      </c>
      <c r="H15" s="9"/>
      <c r="I15" s="5">
        <f t="shared" si="1"/>
        <v>33.951000000000008</v>
      </c>
      <c r="J15" s="6">
        <f t="shared" si="2"/>
        <v>0</v>
      </c>
      <c r="K15" s="8" t="s">
        <v>86</v>
      </c>
      <c r="L15" s="83"/>
      <c r="M15" s="83"/>
      <c r="N15" s="83"/>
      <c r="O15" s="83"/>
      <c r="P15" s="83"/>
      <c r="Q15" s="81"/>
    </row>
    <row r="16" spans="2:17" x14ac:dyDescent="0.3">
      <c r="B16" s="76"/>
      <c r="C16" s="75" t="s">
        <v>53</v>
      </c>
      <c r="D16" s="8" t="s">
        <v>46</v>
      </c>
      <c r="E16" s="9">
        <v>120.8</v>
      </c>
      <c r="F16" s="5">
        <f>-60</f>
        <v>-60</v>
      </c>
      <c r="G16" s="5">
        <f t="shared" ref="G16" si="34">E16+F16</f>
        <v>60.8</v>
      </c>
      <c r="H16" s="68">
        <v>64.403000000000006</v>
      </c>
      <c r="I16" s="5">
        <f t="shared" si="1"/>
        <v>-3.6030000000000086</v>
      </c>
      <c r="J16" s="6">
        <f t="shared" si="2"/>
        <v>1.0592598684210528</v>
      </c>
      <c r="K16" s="58">
        <v>44046</v>
      </c>
      <c r="L16" s="82">
        <f t="shared" ref="L16" si="35">E16+E17</f>
        <v>134.19999999999999</v>
      </c>
      <c r="M16" s="82">
        <f t="shared" ref="M16" si="36">F16+F17</f>
        <v>-60</v>
      </c>
      <c r="N16" s="82">
        <f t="shared" ref="N16" si="37">L16+M16</f>
        <v>74.199999999999989</v>
      </c>
      <c r="O16" s="82">
        <f t="shared" ref="O16" si="38">H16+H17</f>
        <v>64.403000000000006</v>
      </c>
      <c r="P16" s="82">
        <f t="shared" ref="P16" si="39">N16-O16</f>
        <v>9.7969999999999828</v>
      </c>
      <c r="Q16" s="80">
        <f t="shared" ref="Q16" si="40">O16/N16</f>
        <v>0.86796495956873332</v>
      </c>
    </row>
    <row r="17" spans="2:17" x14ac:dyDescent="0.3">
      <c r="B17" s="76"/>
      <c r="C17" s="77"/>
      <c r="D17" s="8" t="s">
        <v>47</v>
      </c>
      <c r="E17" s="9">
        <v>13.4</v>
      </c>
      <c r="F17" s="5"/>
      <c r="G17" s="5">
        <f t="shared" ref="G17" si="41">E17+F17+I16</f>
        <v>9.7969999999999917</v>
      </c>
      <c r="H17" s="5"/>
      <c r="I17" s="5">
        <f t="shared" si="1"/>
        <v>9.7969999999999917</v>
      </c>
      <c r="J17" s="6">
        <f t="shared" si="2"/>
        <v>0</v>
      </c>
      <c r="K17" s="8" t="s">
        <v>86</v>
      </c>
      <c r="L17" s="83"/>
      <c r="M17" s="83"/>
      <c r="N17" s="83"/>
      <c r="O17" s="83"/>
      <c r="P17" s="83"/>
      <c r="Q17" s="81"/>
    </row>
    <row r="18" spans="2:17" x14ac:dyDescent="0.3">
      <c r="B18" s="76"/>
      <c r="C18" s="75" t="s">
        <v>54</v>
      </c>
      <c r="D18" s="8" t="s">
        <v>46</v>
      </c>
      <c r="E18" s="9">
        <v>12.08</v>
      </c>
      <c r="F18" s="5"/>
      <c r="G18" s="5">
        <f t="shared" ref="G18" si="42">E18+F18</f>
        <v>12.08</v>
      </c>
      <c r="H18" s="5"/>
      <c r="I18" s="5">
        <f t="shared" si="1"/>
        <v>12.08</v>
      </c>
      <c r="J18" s="6">
        <f t="shared" si="2"/>
        <v>0</v>
      </c>
      <c r="K18" s="8" t="s">
        <v>86</v>
      </c>
      <c r="L18" s="82">
        <f t="shared" ref="L18" si="43">E18+E19</f>
        <v>13.42</v>
      </c>
      <c r="M18" s="82">
        <f t="shared" ref="M18" si="44">F18+F19</f>
        <v>0</v>
      </c>
      <c r="N18" s="82">
        <f t="shared" ref="N18" si="45">L18+M18</f>
        <v>13.42</v>
      </c>
      <c r="O18" s="82">
        <f t="shared" ref="O18" si="46">H18+H19</f>
        <v>0</v>
      </c>
      <c r="P18" s="82">
        <f t="shared" ref="P18" si="47">N18-O18</f>
        <v>13.42</v>
      </c>
      <c r="Q18" s="80">
        <f t="shared" ref="Q18" si="48">O18/N18</f>
        <v>0</v>
      </c>
    </row>
    <row r="19" spans="2:17" x14ac:dyDescent="0.3">
      <c r="B19" s="77"/>
      <c r="C19" s="77"/>
      <c r="D19" s="8" t="s">
        <v>47</v>
      </c>
      <c r="E19" s="9">
        <v>1.34</v>
      </c>
      <c r="F19" s="5"/>
      <c r="G19" s="5">
        <f t="shared" ref="G19" si="49">E19+F19+I18</f>
        <v>13.42</v>
      </c>
      <c r="H19" s="5"/>
      <c r="I19" s="5">
        <f t="shared" si="1"/>
        <v>13.42</v>
      </c>
      <c r="J19" s="6">
        <f t="shared" si="2"/>
        <v>0</v>
      </c>
      <c r="K19" s="8" t="s">
        <v>86</v>
      </c>
      <c r="L19" s="83"/>
      <c r="M19" s="83"/>
      <c r="N19" s="83"/>
      <c r="O19" s="83"/>
      <c r="P19" s="83"/>
      <c r="Q19" s="81"/>
    </row>
    <row r="20" spans="2:17" x14ac:dyDescent="0.3">
      <c r="B20" s="8" t="s">
        <v>10</v>
      </c>
      <c r="C20" s="8" t="s">
        <v>106</v>
      </c>
      <c r="D20" s="8" t="s">
        <v>49</v>
      </c>
      <c r="E20" s="9">
        <v>14</v>
      </c>
      <c r="F20" s="5"/>
      <c r="G20" s="5">
        <f>E20+F20</f>
        <v>14</v>
      </c>
      <c r="H20" s="5"/>
      <c r="I20" s="5">
        <f>G20-H20</f>
        <v>14</v>
      </c>
      <c r="J20" s="6">
        <f>H20/G20</f>
        <v>0</v>
      </c>
      <c r="K20" s="8" t="s">
        <v>86</v>
      </c>
      <c r="L20" s="5">
        <f>E20</f>
        <v>14</v>
      </c>
      <c r="M20" s="5">
        <f t="shared" ref="M20:Q20" si="50">F20</f>
        <v>0</v>
      </c>
      <c r="N20" s="5">
        <f t="shared" si="50"/>
        <v>14</v>
      </c>
      <c r="O20" s="5">
        <f t="shared" si="50"/>
        <v>0</v>
      </c>
      <c r="P20" s="5">
        <f t="shared" si="50"/>
        <v>14</v>
      </c>
      <c r="Q20" s="6">
        <f t="shared" si="50"/>
        <v>0</v>
      </c>
    </row>
    <row r="21" spans="2:17" x14ac:dyDescent="0.3">
      <c r="B21" s="1" t="s">
        <v>13</v>
      </c>
      <c r="C21" s="1"/>
      <c r="D21" s="1" t="s">
        <v>49</v>
      </c>
      <c r="E21" s="29">
        <f>SUM(E6:E20)</f>
        <v>700.0100000000001</v>
      </c>
      <c r="F21" s="30">
        <f>SUM(F6:F20)</f>
        <v>-226.44400000000002</v>
      </c>
      <c r="G21" s="30">
        <f>E21+F21</f>
        <v>473.56600000000009</v>
      </c>
      <c r="H21" s="30">
        <f>SUM(H6:H20)</f>
        <v>254.93100000000004</v>
      </c>
      <c r="I21" s="30">
        <f>G21-H21</f>
        <v>218.63500000000005</v>
      </c>
      <c r="J21" s="31">
        <f>H21/G21</f>
        <v>0.53832200791441953</v>
      </c>
      <c r="K21" s="1" t="s">
        <v>86</v>
      </c>
      <c r="L21" s="30">
        <f>SUM(L6:L20)</f>
        <v>700.00999999999988</v>
      </c>
      <c r="M21" s="30">
        <f>SUM(M6:M20)</f>
        <v>-226.44400000000002</v>
      </c>
      <c r="N21" s="30">
        <f>L21+M21</f>
        <v>473.56599999999986</v>
      </c>
      <c r="O21" s="30">
        <f>SUM(O6:O20)</f>
        <v>254.93100000000004</v>
      </c>
      <c r="P21" s="30">
        <f>N21-O21</f>
        <v>218.63499999999982</v>
      </c>
      <c r="Q21" s="31">
        <f>O21/N21</f>
        <v>0.53832200791441975</v>
      </c>
    </row>
  </sheetData>
  <mergeCells count="54">
    <mergeCell ref="B2:Q2"/>
    <mergeCell ref="B3:Q3"/>
    <mergeCell ref="B6:B7"/>
    <mergeCell ref="C6:C7"/>
    <mergeCell ref="C16:C17"/>
    <mergeCell ref="Q6:Q7"/>
    <mergeCell ref="L8:L9"/>
    <mergeCell ref="M8:M9"/>
    <mergeCell ref="N8:N9"/>
    <mergeCell ref="O8:O9"/>
    <mergeCell ref="P8:P9"/>
    <mergeCell ref="Q8:Q9"/>
    <mergeCell ref="L6:L7"/>
    <mergeCell ref="M6:M7"/>
    <mergeCell ref="N6:N7"/>
    <mergeCell ref="O6:O7"/>
    <mergeCell ref="C18:C19"/>
    <mergeCell ref="B8:B9"/>
    <mergeCell ref="B10:B19"/>
    <mergeCell ref="C8:C9"/>
    <mergeCell ref="C10:C11"/>
    <mergeCell ref="C12:C13"/>
    <mergeCell ref="C14:C15"/>
    <mergeCell ref="P6:P7"/>
    <mergeCell ref="Q10:Q11"/>
    <mergeCell ref="L12:L13"/>
    <mergeCell ref="M12:M13"/>
    <mergeCell ref="N12:N13"/>
    <mergeCell ref="O12:O13"/>
    <mergeCell ref="P12:P13"/>
    <mergeCell ref="Q12:Q13"/>
    <mergeCell ref="L10:L11"/>
    <mergeCell ref="M10:M11"/>
    <mergeCell ref="N10:N11"/>
    <mergeCell ref="O10:O11"/>
    <mergeCell ref="P10:P11"/>
    <mergeCell ref="Q14:Q15"/>
    <mergeCell ref="L16:L17"/>
    <mergeCell ref="M16:M17"/>
    <mergeCell ref="N16:N17"/>
    <mergeCell ref="O16:O17"/>
    <mergeCell ref="P16:P17"/>
    <mergeCell ref="Q16:Q17"/>
    <mergeCell ref="L14:L15"/>
    <mergeCell ref="M14:M15"/>
    <mergeCell ref="N14:N15"/>
    <mergeCell ref="O14:O15"/>
    <mergeCell ref="P14:P15"/>
    <mergeCell ref="Q18:Q19"/>
    <mergeCell ref="L18:L19"/>
    <mergeCell ref="M18:M19"/>
    <mergeCell ref="N18:N19"/>
    <mergeCell ref="O18:O19"/>
    <mergeCell ref="P18:P19"/>
  </mergeCells>
  <conditionalFormatting sqref="J6:J20">
    <cfRule type="cellIs" dxfId="3" priority="1" operator="greaterThan">
      <formula>95%</formula>
    </cfRule>
  </conditionalFormatting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78DD64-98E8-436E-A818-67366729D86E}">
  <dimension ref="B4:H7"/>
  <sheetViews>
    <sheetView showGridLines="0" workbookViewId="0">
      <selection activeCell="F6" sqref="F6"/>
    </sheetView>
  </sheetViews>
  <sheetFormatPr baseColWidth="10" defaultRowHeight="14.4" x14ac:dyDescent="0.3"/>
  <cols>
    <col min="1" max="1" width="25.77734375" customWidth="1"/>
  </cols>
  <sheetData>
    <row r="4" spans="2:8" x14ac:dyDescent="0.3">
      <c r="B4" s="90" t="s">
        <v>118</v>
      </c>
      <c r="C4" s="91"/>
      <c r="D4" s="91"/>
      <c r="E4" s="91"/>
      <c r="F4" s="91"/>
      <c r="G4" s="91"/>
      <c r="H4" s="92"/>
    </row>
    <row r="5" spans="2:8" x14ac:dyDescent="0.3">
      <c r="B5" s="1" t="s">
        <v>119</v>
      </c>
      <c r="C5" s="1" t="s">
        <v>120</v>
      </c>
      <c r="D5" s="1" t="s">
        <v>121</v>
      </c>
      <c r="E5" s="1" t="s">
        <v>122</v>
      </c>
      <c r="F5" s="1" t="s">
        <v>123</v>
      </c>
      <c r="G5" s="1" t="s">
        <v>124</v>
      </c>
      <c r="H5" s="1" t="s">
        <v>125</v>
      </c>
    </row>
    <row r="6" spans="2:8" x14ac:dyDescent="0.3">
      <c r="B6" s="60" t="s">
        <v>126</v>
      </c>
      <c r="C6" s="60">
        <v>966964</v>
      </c>
      <c r="D6" s="60" t="s">
        <v>52</v>
      </c>
      <c r="E6" s="59">
        <v>100</v>
      </c>
      <c r="F6" s="68">
        <v>9.5549999999999997</v>
      </c>
      <c r="G6" s="59">
        <f>E6-F6</f>
        <v>90.444999999999993</v>
      </c>
      <c r="H6" s="63">
        <f>F6/E6</f>
        <v>9.5549999999999996E-2</v>
      </c>
    </row>
    <row r="7" spans="2:8" x14ac:dyDescent="0.3">
      <c r="B7" s="78" t="s">
        <v>58</v>
      </c>
      <c r="C7" s="93"/>
      <c r="D7" s="79"/>
      <c r="E7" s="30">
        <f>E6</f>
        <v>100</v>
      </c>
      <c r="F7" s="30">
        <f>F6</f>
        <v>9.5549999999999997</v>
      </c>
      <c r="G7" s="30">
        <f>E7-F7</f>
        <v>90.444999999999993</v>
      </c>
      <c r="H7" s="64">
        <f>F7/E7</f>
        <v>9.5549999999999996E-2</v>
      </c>
    </row>
  </sheetData>
  <mergeCells count="2">
    <mergeCell ref="B4:H4"/>
    <mergeCell ref="B7:D7"/>
  </mergeCell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576510-0C8C-42F2-BAA7-6145E686D732}">
  <dimension ref="B4:N9"/>
  <sheetViews>
    <sheetView showGridLines="0" workbookViewId="0">
      <selection activeCell="H17" sqref="H17"/>
    </sheetView>
  </sheetViews>
  <sheetFormatPr baseColWidth="10" defaultRowHeight="14.4" x14ac:dyDescent="0.3"/>
  <cols>
    <col min="1" max="1" width="19.33203125" customWidth="1"/>
    <col min="2" max="2" width="11.6640625" bestFit="1" customWidth="1"/>
    <col min="3" max="3" width="17.33203125" bestFit="1" customWidth="1"/>
    <col min="4" max="4" width="19.44140625" bestFit="1" customWidth="1"/>
  </cols>
  <sheetData>
    <row r="4" spans="2:14" x14ac:dyDescent="0.3">
      <c r="B4" s="94" t="s">
        <v>127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6"/>
    </row>
    <row r="5" spans="2:14" x14ac:dyDescent="0.3">
      <c r="B5" s="1" t="s">
        <v>128</v>
      </c>
      <c r="C5" s="1" t="s">
        <v>129</v>
      </c>
      <c r="D5" s="1" t="s">
        <v>130</v>
      </c>
      <c r="E5" s="1" t="s">
        <v>140</v>
      </c>
      <c r="F5" s="1" t="s">
        <v>131</v>
      </c>
      <c r="G5" s="1" t="s">
        <v>132</v>
      </c>
      <c r="H5" s="1" t="s">
        <v>141</v>
      </c>
      <c r="I5" s="1" t="s">
        <v>142</v>
      </c>
      <c r="J5" s="1" t="s">
        <v>133</v>
      </c>
      <c r="K5" s="1" t="s">
        <v>143</v>
      </c>
      <c r="L5" s="1" t="s">
        <v>144</v>
      </c>
      <c r="M5" s="1" t="s">
        <v>145</v>
      </c>
      <c r="N5" s="1" t="s">
        <v>134</v>
      </c>
    </row>
    <row r="6" spans="2:14" x14ac:dyDescent="0.3">
      <c r="B6" s="75" t="s">
        <v>135</v>
      </c>
      <c r="C6" s="62" t="s">
        <v>51</v>
      </c>
      <c r="D6" s="62" t="s">
        <v>136</v>
      </c>
      <c r="E6" s="82">
        <v>12</v>
      </c>
      <c r="F6" s="82">
        <v>80</v>
      </c>
      <c r="G6" s="82">
        <f>E6+F6</f>
        <v>92</v>
      </c>
      <c r="H6" s="68">
        <v>0.14799999999999999</v>
      </c>
      <c r="I6" s="9"/>
      <c r="J6" s="82">
        <f>H6+H7+H8+I6+I7+I8</f>
        <v>5.8279999999999994</v>
      </c>
      <c r="K6" s="82">
        <f>E9-H9</f>
        <v>11.852</v>
      </c>
      <c r="L6" s="82">
        <f>F9-I9</f>
        <v>74.319999999999993</v>
      </c>
      <c r="M6" s="82">
        <f>G6-J6</f>
        <v>86.171999999999997</v>
      </c>
      <c r="N6" s="98">
        <f>J6/G6</f>
        <v>6.3347826086956521E-2</v>
      </c>
    </row>
    <row r="7" spans="2:14" x14ac:dyDescent="0.3">
      <c r="B7" s="76"/>
      <c r="C7" s="62" t="s">
        <v>137</v>
      </c>
      <c r="D7" s="62" t="s">
        <v>136</v>
      </c>
      <c r="E7" s="97"/>
      <c r="F7" s="97"/>
      <c r="G7" s="97"/>
      <c r="H7" s="66"/>
      <c r="I7" s="68">
        <v>5.641</v>
      </c>
      <c r="J7" s="97"/>
      <c r="K7" s="97"/>
      <c r="L7" s="97"/>
      <c r="M7" s="97"/>
      <c r="N7" s="99"/>
    </row>
    <row r="8" spans="2:14" x14ac:dyDescent="0.3">
      <c r="B8" s="77"/>
      <c r="C8" s="62" t="s">
        <v>138</v>
      </c>
      <c r="D8" s="65" t="s">
        <v>139</v>
      </c>
      <c r="E8" s="83"/>
      <c r="F8" s="83"/>
      <c r="G8" s="83"/>
      <c r="H8" s="66"/>
      <c r="I8" s="68">
        <v>3.9E-2</v>
      </c>
      <c r="J8" s="83"/>
      <c r="K8" s="83"/>
      <c r="L8" s="83"/>
      <c r="M8" s="83"/>
      <c r="N8" s="100"/>
    </row>
    <row r="9" spans="2:14" x14ac:dyDescent="0.3">
      <c r="B9" s="78" t="s">
        <v>58</v>
      </c>
      <c r="C9" s="79"/>
      <c r="D9" s="61"/>
      <c r="E9" s="30">
        <f>E6</f>
        <v>12</v>
      </c>
      <c r="F9" s="30">
        <f>F6</f>
        <v>80</v>
      </c>
      <c r="G9" s="30">
        <f>G6</f>
        <v>92</v>
      </c>
      <c r="H9" s="30">
        <f>H6+H7+H8</f>
        <v>0.14799999999999999</v>
      </c>
      <c r="I9" s="30">
        <f>I6+I7+I8</f>
        <v>5.68</v>
      </c>
      <c r="J9" s="30">
        <f>J6</f>
        <v>5.8279999999999994</v>
      </c>
      <c r="K9" s="30">
        <f>K6</f>
        <v>11.852</v>
      </c>
      <c r="L9" s="30">
        <f>L6</f>
        <v>74.319999999999993</v>
      </c>
      <c r="M9" s="30">
        <f>G9-J9</f>
        <v>86.171999999999997</v>
      </c>
      <c r="N9" s="67">
        <f>J9/G9</f>
        <v>6.3347826086956521E-2</v>
      </c>
    </row>
  </sheetData>
  <mergeCells count="11">
    <mergeCell ref="B9:C9"/>
    <mergeCell ref="B4:N4"/>
    <mergeCell ref="B6:B8"/>
    <mergeCell ref="E6:E8"/>
    <mergeCell ref="F6:F8"/>
    <mergeCell ref="G6:G8"/>
    <mergeCell ref="J6:J8"/>
    <mergeCell ref="M6:M8"/>
    <mergeCell ref="N6:N8"/>
    <mergeCell ref="K6:K8"/>
    <mergeCell ref="L6:L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P30"/>
  <sheetViews>
    <sheetView showGridLines="0" workbookViewId="0">
      <selection activeCell="E15" sqref="E15"/>
    </sheetView>
  </sheetViews>
  <sheetFormatPr baseColWidth="10" defaultColWidth="11.44140625" defaultRowHeight="12" x14ac:dyDescent="0.25"/>
  <cols>
    <col min="1" max="1" width="11.44140625" style="2"/>
    <col min="2" max="2" width="23" style="2" bestFit="1" customWidth="1"/>
    <col min="3" max="3" width="21.6640625" style="2" bestFit="1" customWidth="1"/>
    <col min="4" max="4" width="8.33203125" style="2" bestFit="1" customWidth="1"/>
    <col min="5" max="5" width="19" style="3" bestFit="1" customWidth="1"/>
    <col min="6" max="6" width="15.5546875" style="2" bestFit="1" customWidth="1"/>
    <col min="7" max="7" width="18" style="2" bestFit="1" customWidth="1"/>
    <col min="8" max="8" width="12.44140625" style="2" bestFit="1" customWidth="1"/>
    <col min="9" max="9" width="10.5546875" style="2" bestFit="1" customWidth="1"/>
    <col min="10" max="10" width="12" style="2" bestFit="1" customWidth="1"/>
    <col min="11" max="11" width="19" style="2" bestFit="1" customWidth="1"/>
    <col min="12" max="12" width="15.5546875" style="2" bestFit="1" customWidth="1"/>
    <col min="13" max="13" width="18" style="2" bestFit="1" customWidth="1"/>
    <col min="14" max="14" width="12.44140625" style="2" bestFit="1" customWidth="1"/>
    <col min="15" max="15" width="10.5546875" style="2" bestFit="1" customWidth="1"/>
    <col min="16" max="16" width="10.44140625" style="2" bestFit="1" customWidth="1"/>
    <col min="17" max="16384" width="11.44140625" style="2"/>
  </cols>
  <sheetData>
    <row r="2" spans="2:16" x14ac:dyDescent="0.25">
      <c r="B2" s="104" t="s">
        <v>104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6"/>
    </row>
    <row r="3" spans="2:16" x14ac:dyDescent="0.25">
      <c r="B3" s="107">
        <f>'RESUMEN '!B3:J3</f>
        <v>44095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9"/>
    </row>
    <row r="5" spans="2:16" x14ac:dyDescent="0.25">
      <c r="B5" s="35" t="s">
        <v>0</v>
      </c>
      <c r="C5" s="35" t="s">
        <v>23</v>
      </c>
      <c r="D5" s="35" t="s">
        <v>18</v>
      </c>
      <c r="E5" s="35" t="s">
        <v>2</v>
      </c>
      <c r="F5" s="35" t="s">
        <v>3</v>
      </c>
      <c r="G5" s="35" t="s">
        <v>4</v>
      </c>
      <c r="H5" s="35" t="s">
        <v>5</v>
      </c>
      <c r="I5" s="35" t="s">
        <v>6</v>
      </c>
      <c r="J5" s="36" t="s">
        <v>7</v>
      </c>
      <c r="K5" s="35" t="s">
        <v>2</v>
      </c>
      <c r="L5" s="35" t="s">
        <v>3</v>
      </c>
      <c r="M5" s="35" t="s">
        <v>4</v>
      </c>
      <c r="N5" s="35" t="s">
        <v>5</v>
      </c>
      <c r="O5" s="35" t="s">
        <v>6</v>
      </c>
      <c r="P5" s="35" t="s">
        <v>20</v>
      </c>
    </row>
    <row r="6" spans="2:16" x14ac:dyDescent="0.25">
      <c r="B6" s="103" t="s">
        <v>115</v>
      </c>
      <c r="C6" s="103" t="s">
        <v>24</v>
      </c>
      <c r="D6" s="27" t="s">
        <v>46</v>
      </c>
      <c r="E6" s="9">
        <f>0.21471+0.02655</f>
        <v>0.24126</v>
      </c>
      <c r="F6" s="5"/>
      <c r="G6" s="5">
        <f>E6+F6</f>
        <v>0.24126</v>
      </c>
      <c r="H6" s="5"/>
      <c r="I6" s="5">
        <f>G6-H6</f>
        <v>0.24126</v>
      </c>
      <c r="J6" s="6">
        <f>H6/G6</f>
        <v>0</v>
      </c>
      <c r="K6" s="102">
        <f>E6+E7</f>
        <v>0.48252</v>
      </c>
      <c r="L6" s="102">
        <f>F6+F7</f>
        <v>0</v>
      </c>
      <c r="M6" s="102">
        <f>K6+L6</f>
        <v>0.48252</v>
      </c>
      <c r="N6" s="102">
        <f>H6+H7</f>
        <v>0</v>
      </c>
      <c r="O6" s="102">
        <f>M6-N6</f>
        <v>0.48252</v>
      </c>
      <c r="P6" s="101">
        <f>N6/M6</f>
        <v>0</v>
      </c>
    </row>
    <row r="7" spans="2:16" x14ac:dyDescent="0.25">
      <c r="B7" s="103"/>
      <c r="C7" s="103"/>
      <c r="D7" s="27" t="s">
        <v>47</v>
      </c>
      <c r="E7" s="9">
        <f>0.21471+0.02655</f>
        <v>0.24126</v>
      </c>
      <c r="F7" s="5"/>
      <c r="G7" s="5">
        <f>E7+F7+I6</f>
        <v>0.48252</v>
      </c>
      <c r="H7" s="5"/>
      <c r="I7" s="5">
        <f>G7-H7</f>
        <v>0.48252</v>
      </c>
      <c r="J7" s="6">
        <f>H7/G7</f>
        <v>0</v>
      </c>
      <c r="K7" s="103"/>
      <c r="L7" s="103"/>
      <c r="M7" s="103"/>
      <c r="N7" s="103"/>
      <c r="O7" s="103"/>
      <c r="P7" s="101"/>
    </row>
    <row r="8" spans="2:16" x14ac:dyDescent="0.25">
      <c r="B8" s="103"/>
      <c r="C8" s="103" t="s">
        <v>25</v>
      </c>
      <c r="D8" s="27" t="s">
        <v>46</v>
      </c>
      <c r="E8" s="9">
        <f>0.00173</f>
        <v>1.73E-3</v>
      </c>
      <c r="F8" s="5"/>
      <c r="G8" s="5">
        <f t="shared" ref="G8" si="0">E8+F8</f>
        <v>1.73E-3</v>
      </c>
      <c r="H8" s="5"/>
      <c r="I8" s="5">
        <f t="shared" ref="I8:I29" si="1">G8-H8</f>
        <v>1.73E-3</v>
      </c>
      <c r="J8" s="6">
        <f t="shared" ref="J8:J29" si="2">H8/G8</f>
        <v>0</v>
      </c>
      <c r="K8" s="102">
        <f t="shared" ref="K8" si="3">E8+E9</f>
        <v>3.46E-3</v>
      </c>
      <c r="L8" s="102">
        <f t="shared" ref="L8" si="4">F8+F9</f>
        <v>0</v>
      </c>
      <c r="M8" s="102">
        <f t="shared" ref="M8" si="5">K8+L8</f>
        <v>3.46E-3</v>
      </c>
      <c r="N8" s="102">
        <f t="shared" ref="N8" si="6">H8+H9</f>
        <v>0</v>
      </c>
      <c r="O8" s="102">
        <f t="shared" ref="O8" si="7">M8-N8</f>
        <v>3.46E-3</v>
      </c>
      <c r="P8" s="101">
        <f t="shared" ref="P8" si="8">N8/M8</f>
        <v>0</v>
      </c>
    </row>
    <row r="9" spans="2:16" x14ac:dyDescent="0.25">
      <c r="B9" s="103"/>
      <c r="C9" s="103"/>
      <c r="D9" s="27" t="s">
        <v>47</v>
      </c>
      <c r="E9" s="9">
        <f>0.00173</f>
        <v>1.73E-3</v>
      </c>
      <c r="F9" s="5"/>
      <c r="G9" s="5">
        <f t="shared" ref="G9" si="9">E9+F9+I8</f>
        <v>3.46E-3</v>
      </c>
      <c r="H9" s="5"/>
      <c r="I9" s="5">
        <f t="shared" si="1"/>
        <v>3.46E-3</v>
      </c>
      <c r="J9" s="6">
        <f t="shared" si="2"/>
        <v>0</v>
      </c>
      <c r="K9" s="103"/>
      <c r="L9" s="103"/>
      <c r="M9" s="103"/>
      <c r="N9" s="103"/>
      <c r="O9" s="103"/>
      <c r="P9" s="101"/>
    </row>
    <row r="10" spans="2:16" x14ac:dyDescent="0.25">
      <c r="B10" s="103"/>
      <c r="C10" s="103" t="s">
        <v>32</v>
      </c>
      <c r="D10" s="27" t="s">
        <v>46</v>
      </c>
      <c r="E10" s="9">
        <f>0.00047</f>
        <v>4.6999999999999999E-4</v>
      </c>
      <c r="F10" s="5"/>
      <c r="G10" s="5">
        <f t="shared" ref="G10" si="10">E10+F10</f>
        <v>4.6999999999999999E-4</v>
      </c>
      <c r="H10" s="5"/>
      <c r="I10" s="5">
        <f t="shared" si="1"/>
        <v>4.6999999999999999E-4</v>
      </c>
      <c r="J10" s="6">
        <f t="shared" si="2"/>
        <v>0</v>
      </c>
      <c r="K10" s="102">
        <f t="shared" ref="K10" si="11">E10+E11</f>
        <v>9.3999999999999997E-4</v>
      </c>
      <c r="L10" s="102">
        <f t="shared" ref="L10" si="12">F10+F11</f>
        <v>0</v>
      </c>
      <c r="M10" s="102">
        <f t="shared" ref="M10" si="13">K10+L10</f>
        <v>9.3999999999999997E-4</v>
      </c>
      <c r="N10" s="102">
        <f t="shared" ref="N10" si="14">H10+H11</f>
        <v>0</v>
      </c>
      <c r="O10" s="102">
        <f t="shared" ref="O10" si="15">M10-N10</f>
        <v>9.3999999999999997E-4</v>
      </c>
      <c r="P10" s="101">
        <f t="shared" ref="P10" si="16">N10/M10</f>
        <v>0</v>
      </c>
    </row>
    <row r="11" spans="2:16" x14ac:dyDescent="0.25">
      <c r="B11" s="103"/>
      <c r="C11" s="103"/>
      <c r="D11" s="27" t="s">
        <v>47</v>
      </c>
      <c r="E11" s="9">
        <f>0.00047</f>
        <v>4.6999999999999999E-4</v>
      </c>
      <c r="F11" s="5"/>
      <c r="G11" s="5">
        <f t="shared" ref="G11" si="17">E11+F11+I10</f>
        <v>9.3999999999999997E-4</v>
      </c>
      <c r="H11" s="5"/>
      <c r="I11" s="5">
        <f t="shared" si="1"/>
        <v>9.3999999999999997E-4</v>
      </c>
      <c r="J11" s="6">
        <f t="shared" si="2"/>
        <v>0</v>
      </c>
      <c r="K11" s="103"/>
      <c r="L11" s="103"/>
      <c r="M11" s="103"/>
      <c r="N11" s="103"/>
      <c r="O11" s="103"/>
      <c r="P11" s="101"/>
    </row>
    <row r="12" spans="2:16" x14ac:dyDescent="0.25">
      <c r="B12" s="103"/>
      <c r="C12" s="103" t="s">
        <v>26</v>
      </c>
      <c r="D12" s="27" t="s">
        <v>46</v>
      </c>
      <c r="E12" s="9">
        <f>0.42762+0.00465+0.01095+0.0375</f>
        <v>0.48071999999999998</v>
      </c>
      <c r="F12" s="5"/>
      <c r="G12" s="5">
        <f t="shared" ref="G12" si="18">E12+F12</f>
        <v>0.48071999999999998</v>
      </c>
      <c r="H12" s="5"/>
      <c r="I12" s="5">
        <f t="shared" si="1"/>
        <v>0.48071999999999998</v>
      </c>
      <c r="J12" s="6">
        <f t="shared" si="2"/>
        <v>0</v>
      </c>
      <c r="K12" s="102">
        <f t="shared" ref="K12" si="19">E12+E13</f>
        <v>0.96143999999999996</v>
      </c>
      <c r="L12" s="102">
        <f t="shared" ref="L12" si="20">F12+F13</f>
        <v>0</v>
      </c>
      <c r="M12" s="102">
        <f t="shared" ref="M12" si="21">K12+L12</f>
        <v>0.96143999999999996</v>
      </c>
      <c r="N12" s="102">
        <f t="shared" ref="N12" si="22">H12+H13</f>
        <v>0</v>
      </c>
      <c r="O12" s="102">
        <f t="shared" ref="O12" si="23">M12-N12</f>
        <v>0.96143999999999996</v>
      </c>
      <c r="P12" s="101">
        <f t="shared" ref="P12" si="24">N12/M12</f>
        <v>0</v>
      </c>
    </row>
    <row r="13" spans="2:16" x14ac:dyDescent="0.25">
      <c r="B13" s="103"/>
      <c r="C13" s="103"/>
      <c r="D13" s="27" t="s">
        <v>47</v>
      </c>
      <c r="E13" s="9">
        <f>0.42762+0.00465+0.01095+0.0375</f>
        <v>0.48071999999999998</v>
      </c>
      <c r="F13" s="5"/>
      <c r="G13" s="5">
        <f t="shared" ref="G13" si="25">E13+F13+I12</f>
        <v>0.96143999999999996</v>
      </c>
      <c r="H13" s="5"/>
      <c r="I13" s="5">
        <f t="shared" si="1"/>
        <v>0.96143999999999996</v>
      </c>
      <c r="J13" s="6">
        <f t="shared" si="2"/>
        <v>0</v>
      </c>
      <c r="K13" s="103"/>
      <c r="L13" s="103"/>
      <c r="M13" s="103"/>
      <c r="N13" s="103"/>
      <c r="O13" s="103"/>
      <c r="P13" s="101"/>
    </row>
    <row r="14" spans="2:16" x14ac:dyDescent="0.25">
      <c r="B14" s="103"/>
      <c r="C14" s="103" t="s">
        <v>30</v>
      </c>
      <c r="D14" s="27" t="s">
        <v>46</v>
      </c>
      <c r="E14" s="9">
        <f>0.0979+0.08949+0.0231</f>
        <v>0.21049000000000001</v>
      </c>
      <c r="F14" s="5"/>
      <c r="G14" s="5">
        <f t="shared" ref="G14" si="26">E14+F14</f>
        <v>0.21049000000000001</v>
      </c>
      <c r="H14" s="5"/>
      <c r="I14" s="5">
        <f t="shared" si="1"/>
        <v>0.21049000000000001</v>
      </c>
      <c r="J14" s="6">
        <f t="shared" si="2"/>
        <v>0</v>
      </c>
      <c r="K14" s="102">
        <f t="shared" ref="K14" si="27">E14+E15</f>
        <v>0.42098000000000002</v>
      </c>
      <c r="L14" s="102">
        <f t="shared" ref="L14" si="28">F14+F15</f>
        <v>0</v>
      </c>
      <c r="M14" s="102">
        <f t="shared" ref="M14" si="29">K14+L14</f>
        <v>0.42098000000000002</v>
      </c>
      <c r="N14" s="102">
        <f t="shared" ref="N14" si="30">H14+H15</f>
        <v>0</v>
      </c>
      <c r="O14" s="102">
        <f t="shared" ref="O14" si="31">M14-N14</f>
        <v>0.42098000000000002</v>
      </c>
      <c r="P14" s="101">
        <f t="shared" ref="P14" si="32">N14/M14</f>
        <v>0</v>
      </c>
    </row>
    <row r="15" spans="2:16" x14ac:dyDescent="0.25">
      <c r="B15" s="103"/>
      <c r="C15" s="103"/>
      <c r="D15" s="27" t="s">
        <v>47</v>
      </c>
      <c r="E15" s="9">
        <f>0.0979+0.08949+0.0231</f>
        <v>0.21049000000000001</v>
      </c>
      <c r="F15" s="5"/>
      <c r="G15" s="5">
        <f t="shared" ref="G15" si="33">E15+F15+I14</f>
        <v>0.42098000000000002</v>
      </c>
      <c r="H15" s="5"/>
      <c r="I15" s="5">
        <f t="shared" si="1"/>
        <v>0.42098000000000002</v>
      </c>
      <c r="J15" s="6">
        <f t="shared" si="2"/>
        <v>0</v>
      </c>
      <c r="K15" s="103"/>
      <c r="L15" s="103"/>
      <c r="M15" s="103"/>
      <c r="N15" s="103"/>
      <c r="O15" s="103"/>
      <c r="P15" s="101"/>
    </row>
    <row r="16" spans="2:16" x14ac:dyDescent="0.25">
      <c r="B16" s="103"/>
      <c r="C16" s="103" t="s">
        <v>36</v>
      </c>
      <c r="D16" s="27" t="s">
        <v>46</v>
      </c>
      <c r="E16" s="9">
        <f>0.01807+0.0225+0.0225+0.00225</f>
        <v>6.5319999999999989E-2</v>
      </c>
      <c r="F16" s="5"/>
      <c r="G16" s="5">
        <f t="shared" ref="G16" si="34">E16+F16</f>
        <v>6.5319999999999989E-2</v>
      </c>
      <c r="H16" s="5"/>
      <c r="I16" s="5">
        <f t="shared" si="1"/>
        <v>6.5319999999999989E-2</v>
      </c>
      <c r="J16" s="6">
        <f t="shared" si="2"/>
        <v>0</v>
      </c>
      <c r="K16" s="102">
        <f t="shared" ref="K16" si="35">E16+E17</f>
        <v>0.13063999999999998</v>
      </c>
      <c r="L16" s="102">
        <f t="shared" ref="L16" si="36">F16+F17</f>
        <v>0</v>
      </c>
      <c r="M16" s="102">
        <f t="shared" ref="M16" si="37">K16+L16</f>
        <v>0.13063999999999998</v>
      </c>
      <c r="N16" s="102">
        <f t="shared" ref="N16" si="38">H16+H17</f>
        <v>0</v>
      </c>
      <c r="O16" s="102">
        <f t="shared" ref="O16" si="39">M16-N16</f>
        <v>0.13063999999999998</v>
      </c>
      <c r="P16" s="101">
        <f t="shared" ref="P16" si="40">N16/M16</f>
        <v>0</v>
      </c>
    </row>
    <row r="17" spans="2:16" x14ac:dyDescent="0.25">
      <c r="B17" s="103"/>
      <c r="C17" s="103"/>
      <c r="D17" s="27" t="s">
        <v>47</v>
      </c>
      <c r="E17" s="9">
        <f>0.01807+0.0225+0.0225+0.00225</f>
        <v>6.5319999999999989E-2</v>
      </c>
      <c r="F17" s="5"/>
      <c r="G17" s="5">
        <f t="shared" ref="G17" si="41">E17+F17+I16</f>
        <v>0.13063999999999998</v>
      </c>
      <c r="H17" s="5"/>
      <c r="I17" s="5">
        <f t="shared" si="1"/>
        <v>0.13063999999999998</v>
      </c>
      <c r="J17" s="6">
        <f t="shared" si="2"/>
        <v>0</v>
      </c>
      <c r="K17" s="103"/>
      <c r="L17" s="103"/>
      <c r="M17" s="103"/>
      <c r="N17" s="103"/>
      <c r="O17" s="103"/>
      <c r="P17" s="101"/>
    </row>
    <row r="18" spans="2:16" x14ac:dyDescent="0.25">
      <c r="B18" s="103" t="s">
        <v>44</v>
      </c>
      <c r="C18" s="103" t="s">
        <v>24</v>
      </c>
      <c r="D18" s="27" t="s">
        <v>46</v>
      </c>
      <c r="E18" s="9">
        <f>7.94445+0.98235</f>
        <v>8.9268000000000001</v>
      </c>
      <c r="F18" s="5">
        <f>60</f>
        <v>60</v>
      </c>
      <c r="G18" s="5">
        <f t="shared" ref="G18" si="42">E18+F18</f>
        <v>68.9268</v>
      </c>
      <c r="H18" s="68">
        <v>17.524000000000001</v>
      </c>
      <c r="I18" s="5">
        <f t="shared" si="1"/>
        <v>51.402799999999999</v>
      </c>
      <c r="J18" s="6">
        <f t="shared" si="2"/>
        <v>0.25424073074624093</v>
      </c>
      <c r="K18" s="102">
        <f t="shared" ref="K18" si="43">E18+E19</f>
        <v>9.8918599999999994</v>
      </c>
      <c r="L18" s="102">
        <f t="shared" ref="L18" si="44">F18+F19</f>
        <v>60</v>
      </c>
      <c r="M18" s="102">
        <f t="shared" ref="M18" si="45">K18+L18</f>
        <v>69.891859999999994</v>
      </c>
      <c r="N18" s="102">
        <f t="shared" ref="N18" si="46">H18+H19</f>
        <v>17.524000000000001</v>
      </c>
      <c r="O18" s="102">
        <f t="shared" ref="O18" si="47">M18-N18</f>
        <v>52.367859999999993</v>
      </c>
      <c r="P18" s="101">
        <f t="shared" ref="P18" si="48">N18/M18</f>
        <v>0.25073019948245767</v>
      </c>
    </row>
    <row r="19" spans="2:16" x14ac:dyDescent="0.25">
      <c r="B19" s="103"/>
      <c r="C19" s="103"/>
      <c r="D19" s="27" t="s">
        <v>47</v>
      </c>
      <c r="E19" s="9">
        <f>0.85886+0.1062</f>
        <v>0.96505999999999992</v>
      </c>
      <c r="F19" s="5"/>
      <c r="G19" s="5">
        <f t="shared" ref="G19" si="49">E19+F19+I18</f>
        <v>52.36786</v>
      </c>
      <c r="H19" s="9"/>
      <c r="I19" s="5">
        <f t="shared" si="1"/>
        <v>52.36786</v>
      </c>
      <c r="J19" s="6">
        <f t="shared" si="2"/>
        <v>0</v>
      </c>
      <c r="K19" s="103"/>
      <c r="L19" s="103"/>
      <c r="M19" s="103"/>
      <c r="N19" s="103"/>
      <c r="O19" s="103"/>
      <c r="P19" s="101"/>
    </row>
    <row r="20" spans="2:16" x14ac:dyDescent="0.25">
      <c r="B20" s="103"/>
      <c r="C20" s="103" t="s">
        <v>25</v>
      </c>
      <c r="D20" s="27" t="s">
        <v>46</v>
      </c>
      <c r="E20" s="9">
        <f>0.06401</f>
        <v>6.4009999999999997E-2</v>
      </c>
      <c r="F20" s="5"/>
      <c r="G20" s="5">
        <f t="shared" ref="G20" si="50">E20+F20</f>
        <v>6.4009999999999997E-2</v>
      </c>
      <c r="H20" s="9"/>
      <c r="I20" s="5">
        <f t="shared" si="1"/>
        <v>6.4009999999999997E-2</v>
      </c>
      <c r="J20" s="6">
        <f t="shared" si="2"/>
        <v>0</v>
      </c>
      <c r="K20" s="102">
        <f t="shared" ref="K20" si="51">E20+E21</f>
        <v>7.0929999999999993E-2</v>
      </c>
      <c r="L20" s="102">
        <f t="shared" ref="L20" si="52">F20+F21</f>
        <v>0</v>
      </c>
      <c r="M20" s="102">
        <f t="shared" ref="M20" si="53">K20+L20</f>
        <v>7.0929999999999993E-2</v>
      </c>
      <c r="N20" s="102">
        <f t="shared" ref="N20" si="54">H20+H21</f>
        <v>0</v>
      </c>
      <c r="O20" s="102">
        <f t="shared" ref="O20" si="55">M20-N20</f>
        <v>7.0929999999999993E-2</v>
      </c>
      <c r="P20" s="101">
        <f t="shared" ref="P20" si="56">N20/M20</f>
        <v>0</v>
      </c>
    </row>
    <row r="21" spans="2:16" x14ac:dyDescent="0.25">
      <c r="B21" s="103"/>
      <c r="C21" s="103"/>
      <c r="D21" s="27" t="s">
        <v>47</v>
      </c>
      <c r="E21" s="9">
        <f>0.00692</f>
        <v>6.9199999999999999E-3</v>
      </c>
      <c r="F21" s="5"/>
      <c r="G21" s="5">
        <f t="shared" ref="G21" si="57">E21+F21+I20</f>
        <v>7.0929999999999993E-2</v>
      </c>
      <c r="H21" s="9"/>
      <c r="I21" s="5">
        <f t="shared" si="1"/>
        <v>7.0929999999999993E-2</v>
      </c>
      <c r="J21" s="6">
        <f t="shared" si="2"/>
        <v>0</v>
      </c>
      <c r="K21" s="103"/>
      <c r="L21" s="103"/>
      <c r="M21" s="103"/>
      <c r="N21" s="103"/>
      <c r="O21" s="103"/>
      <c r="P21" s="101"/>
    </row>
    <row r="22" spans="2:16" x14ac:dyDescent="0.25">
      <c r="B22" s="103"/>
      <c r="C22" s="103" t="s">
        <v>32</v>
      </c>
      <c r="D22" s="27" t="s">
        <v>46</v>
      </c>
      <c r="E22" s="9">
        <f>0.01739</f>
        <v>1.7389999999999999E-2</v>
      </c>
      <c r="F22" s="5"/>
      <c r="G22" s="5">
        <f t="shared" ref="G22" si="58">E22+F22</f>
        <v>1.7389999999999999E-2</v>
      </c>
      <c r="H22" s="9"/>
      <c r="I22" s="5">
        <f t="shared" si="1"/>
        <v>1.7389999999999999E-2</v>
      </c>
      <c r="J22" s="6">
        <f t="shared" si="2"/>
        <v>0</v>
      </c>
      <c r="K22" s="102">
        <f t="shared" ref="K22" si="59">E22+E23</f>
        <v>1.9269999999999999E-2</v>
      </c>
      <c r="L22" s="102">
        <f t="shared" ref="L22" si="60">F22+F23</f>
        <v>0</v>
      </c>
      <c r="M22" s="102">
        <f t="shared" ref="M22" si="61">K22+L22</f>
        <v>1.9269999999999999E-2</v>
      </c>
      <c r="N22" s="102">
        <f t="shared" ref="N22" si="62">H22+H23</f>
        <v>0</v>
      </c>
      <c r="O22" s="102">
        <f t="shared" ref="O22" si="63">M22-N22</f>
        <v>1.9269999999999999E-2</v>
      </c>
      <c r="P22" s="101">
        <f t="shared" ref="P22" si="64">N22/M22</f>
        <v>0</v>
      </c>
    </row>
    <row r="23" spans="2:16" x14ac:dyDescent="0.25">
      <c r="B23" s="103"/>
      <c r="C23" s="103"/>
      <c r="D23" s="27" t="s">
        <v>47</v>
      </c>
      <c r="E23" s="9">
        <f>0.00188</f>
        <v>1.8799999999999999E-3</v>
      </c>
      <c r="F23" s="5"/>
      <c r="G23" s="5">
        <f t="shared" ref="G23" si="65">E23+F23+I22</f>
        <v>1.9269999999999999E-2</v>
      </c>
      <c r="H23" s="9"/>
      <c r="I23" s="5">
        <f t="shared" si="1"/>
        <v>1.9269999999999999E-2</v>
      </c>
      <c r="J23" s="6">
        <f t="shared" si="2"/>
        <v>0</v>
      </c>
      <c r="K23" s="103"/>
      <c r="L23" s="103"/>
      <c r="M23" s="103"/>
      <c r="N23" s="103"/>
      <c r="O23" s="103"/>
      <c r="P23" s="101"/>
    </row>
    <row r="24" spans="2:16" x14ac:dyDescent="0.25">
      <c r="B24" s="103"/>
      <c r="C24" s="103" t="s">
        <v>26</v>
      </c>
      <c r="D24" s="27" t="s">
        <v>46</v>
      </c>
      <c r="E24" s="9">
        <f>15.82201+0.17205+0.40515+1.3875</f>
        <v>17.786709999999999</v>
      </c>
      <c r="F24" s="5">
        <f>69.044</f>
        <v>69.043999999999997</v>
      </c>
      <c r="G24" s="5">
        <f t="shared" ref="G24" si="66">E24+F24</f>
        <v>86.830709999999996</v>
      </c>
      <c r="H24" s="68">
        <v>6.7000000000000004E-2</v>
      </c>
      <c r="I24" s="5">
        <f t="shared" si="1"/>
        <v>86.763710000000003</v>
      </c>
      <c r="J24" s="6">
        <f t="shared" si="2"/>
        <v>7.7161640161643274E-4</v>
      </c>
      <c r="K24" s="102">
        <f t="shared" ref="K24" si="67">E24+E25</f>
        <v>19.709599999999998</v>
      </c>
      <c r="L24" s="102">
        <f t="shared" ref="L24" si="68">F24+F25</f>
        <v>69.043999999999997</v>
      </c>
      <c r="M24" s="102">
        <f t="shared" ref="M24" si="69">K24+L24</f>
        <v>88.753599999999992</v>
      </c>
      <c r="N24" s="102">
        <f t="shared" ref="N24" si="70">H24+H25</f>
        <v>6.7000000000000004E-2</v>
      </c>
      <c r="O24" s="102">
        <f t="shared" ref="O24" si="71">M24-N24</f>
        <v>88.686599999999999</v>
      </c>
      <c r="P24" s="101">
        <f t="shared" ref="P24" si="72">N24/M24</f>
        <v>7.5489895621135374E-4</v>
      </c>
    </row>
    <row r="25" spans="2:16" x14ac:dyDescent="0.25">
      <c r="B25" s="103"/>
      <c r="C25" s="103"/>
      <c r="D25" s="27" t="s">
        <v>47</v>
      </c>
      <c r="E25" s="9">
        <f>1.71049+0.0186+0.0438+0.15</f>
        <v>1.92289</v>
      </c>
      <c r="F25" s="5"/>
      <c r="G25" s="5">
        <f t="shared" ref="G25" si="73">E25+F25+I24</f>
        <v>88.686599999999999</v>
      </c>
      <c r="H25" s="9"/>
      <c r="I25" s="5">
        <f t="shared" si="1"/>
        <v>88.686599999999999</v>
      </c>
      <c r="J25" s="6">
        <f t="shared" si="2"/>
        <v>0</v>
      </c>
      <c r="K25" s="103"/>
      <c r="L25" s="103"/>
      <c r="M25" s="103"/>
      <c r="N25" s="103"/>
      <c r="O25" s="103"/>
      <c r="P25" s="101"/>
    </row>
    <row r="26" spans="2:16" x14ac:dyDescent="0.25">
      <c r="B26" s="103"/>
      <c r="C26" s="103" t="s">
        <v>30</v>
      </c>
      <c r="D26" s="27" t="s">
        <v>46</v>
      </c>
      <c r="E26" s="9">
        <f>3.62242+3.31116+0.8547</f>
        <v>7.7882800000000003</v>
      </c>
      <c r="F26" s="5"/>
      <c r="G26" s="5">
        <f t="shared" ref="G26" si="74">E26+F26</f>
        <v>7.7882800000000003</v>
      </c>
      <c r="H26" s="68">
        <v>6.5819999999999999</v>
      </c>
      <c r="I26" s="5">
        <f t="shared" si="1"/>
        <v>1.2062800000000005</v>
      </c>
      <c r="J26" s="6">
        <f t="shared" si="2"/>
        <v>0.8451159948024467</v>
      </c>
      <c r="K26" s="102">
        <f t="shared" ref="K26" si="75">E26+E27</f>
        <v>8.6302500000000002</v>
      </c>
      <c r="L26" s="102">
        <f t="shared" ref="L26" si="76">F26+F27</f>
        <v>0</v>
      </c>
      <c r="M26" s="102">
        <f t="shared" ref="M26" si="77">K26+L26</f>
        <v>8.6302500000000002</v>
      </c>
      <c r="N26" s="102">
        <f t="shared" ref="N26" si="78">H26+H27</f>
        <v>6.5819999999999999</v>
      </c>
      <c r="O26" s="102">
        <f t="shared" ref="O26" si="79">M26-N26</f>
        <v>2.0482500000000003</v>
      </c>
      <c r="P26" s="101">
        <f t="shared" ref="P26" si="80">N26/M26</f>
        <v>0.76266620318067258</v>
      </c>
    </row>
    <row r="27" spans="2:16" x14ac:dyDescent="0.25">
      <c r="B27" s="103"/>
      <c r="C27" s="103"/>
      <c r="D27" s="27" t="s">
        <v>47</v>
      </c>
      <c r="E27" s="9">
        <f>0.39161+0.35796+0.0924</f>
        <v>0.84197000000000011</v>
      </c>
      <c r="F27" s="5"/>
      <c r="G27" s="5">
        <f t="shared" ref="G27" si="81">E27+F27+I26</f>
        <v>2.0482500000000003</v>
      </c>
      <c r="H27" s="9"/>
      <c r="I27" s="5">
        <f t="shared" si="1"/>
        <v>2.0482500000000003</v>
      </c>
      <c r="J27" s="6">
        <f t="shared" si="2"/>
        <v>0</v>
      </c>
      <c r="K27" s="103"/>
      <c r="L27" s="103"/>
      <c r="M27" s="103"/>
      <c r="N27" s="103"/>
      <c r="O27" s="103"/>
      <c r="P27" s="101"/>
    </row>
    <row r="28" spans="2:16" x14ac:dyDescent="0.25">
      <c r="B28" s="103"/>
      <c r="C28" s="103" t="s">
        <v>36</v>
      </c>
      <c r="D28" s="27" t="s">
        <v>46</v>
      </c>
      <c r="E28" s="9">
        <f>0.66856+0.8325+0.8325+0.08325</f>
        <v>2.4168100000000003</v>
      </c>
      <c r="F28" s="5">
        <f>-2.6</f>
        <v>-2.6</v>
      </c>
      <c r="G28" s="5">
        <f t="shared" ref="G28" si="82">E28+F28</f>
        <v>-0.18318999999999974</v>
      </c>
      <c r="H28" s="9"/>
      <c r="I28" s="5">
        <f t="shared" si="1"/>
        <v>-0.18318999999999974</v>
      </c>
      <c r="J28" s="6">
        <f t="shared" si="2"/>
        <v>0</v>
      </c>
      <c r="K28" s="102">
        <f t="shared" ref="K28" si="83">E28+E29</f>
        <v>2.6780900000000001</v>
      </c>
      <c r="L28" s="102">
        <f t="shared" ref="L28" si="84">F28+F29</f>
        <v>-2.6</v>
      </c>
      <c r="M28" s="102">
        <f t="shared" ref="M28" si="85">K28+L28</f>
        <v>7.8089999999999993E-2</v>
      </c>
      <c r="N28" s="102">
        <f t="shared" ref="N28" si="86">H28+H29</f>
        <v>0</v>
      </c>
      <c r="O28" s="102">
        <f t="shared" ref="O28" si="87">M28-N28</f>
        <v>7.8089999999999993E-2</v>
      </c>
      <c r="P28" s="101">
        <f t="shared" ref="P28" si="88">N28/M28</f>
        <v>0</v>
      </c>
    </row>
    <row r="29" spans="2:16" x14ac:dyDescent="0.25">
      <c r="B29" s="103"/>
      <c r="C29" s="103"/>
      <c r="D29" s="27" t="s">
        <v>47</v>
      </c>
      <c r="E29" s="9">
        <f>0.07228+0.09+0.09+0.009</f>
        <v>0.26127999999999996</v>
      </c>
      <c r="F29" s="5"/>
      <c r="G29" s="5">
        <f t="shared" ref="G29" si="89">E29+F29+I28</f>
        <v>7.8090000000000215E-2</v>
      </c>
      <c r="H29" s="5"/>
      <c r="I29" s="5">
        <f t="shared" si="1"/>
        <v>7.8090000000000215E-2</v>
      </c>
      <c r="J29" s="6">
        <f t="shared" si="2"/>
        <v>0</v>
      </c>
      <c r="K29" s="103"/>
      <c r="L29" s="103"/>
      <c r="M29" s="103"/>
      <c r="N29" s="103"/>
      <c r="O29" s="103"/>
      <c r="P29" s="101"/>
    </row>
    <row r="30" spans="2:16" x14ac:dyDescent="0.25">
      <c r="B30" s="110" t="s">
        <v>13</v>
      </c>
      <c r="C30" s="110"/>
      <c r="D30" s="1" t="s">
        <v>49</v>
      </c>
      <c r="E30" s="30">
        <f>SUM(E6:E29)</f>
        <v>42.999979999999994</v>
      </c>
      <c r="F30" s="30">
        <f>SUM(F6:F29)</f>
        <v>126.44399999999999</v>
      </c>
      <c r="G30" s="40">
        <f>E30+F30</f>
        <v>169.44397999999998</v>
      </c>
      <c r="H30" s="40">
        <f>SUM(H6:H29)</f>
        <v>24.173000000000002</v>
      </c>
      <c r="I30" s="40">
        <f>G30-H30</f>
        <v>145.27097999999998</v>
      </c>
      <c r="J30" s="41">
        <f>H30/G30</f>
        <v>0.14266071889954429</v>
      </c>
      <c r="K30" s="40">
        <f>SUM(K6:K29)</f>
        <v>42.999979999999994</v>
      </c>
      <c r="L30" s="40">
        <f>SUM(L6:L29)</f>
        <v>126.44399999999999</v>
      </c>
      <c r="M30" s="40">
        <f>K30+L30</f>
        <v>169.44397999999998</v>
      </c>
      <c r="N30" s="40">
        <f>SUM(N6:N29)</f>
        <v>24.173000000000002</v>
      </c>
      <c r="O30" s="40">
        <f>M30-N30</f>
        <v>145.27097999999998</v>
      </c>
      <c r="P30" s="41">
        <f>N30/M30</f>
        <v>0.14266071889954429</v>
      </c>
    </row>
  </sheetData>
  <mergeCells count="89">
    <mergeCell ref="B2:P2"/>
    <mergeCell ref="B3:P3"/>
    <mergeCell ref="C28:C29"/>
    <mergeCell ref="B30:C30"/>
    <mergeCell ref="C24:C25"/>
    <mergeCell ref="C26:C27"/>
    <mergeCell ref="C18:C19"/>
    <mergeCell ref="B18:B29"/>
    <mergeCell ref="B6:B17"/>
    <mergeCell ref="C20:C21"/>
    <mergeCell ref="C22:C23"/>
    <mergeCell ref="C6:C7"/>
    <mergeCell ref="C8:C9"/>
    <mergeCell ref="C10:C11"/>
    <mergeCell ref="C12:C13"/>
    <mergeCell ref="C14:C15"/>
    <mergeCell ref="C16:C17"/>
    <mergeCell ref="P6:P7"/>
    <mergeCell ref="K8:K9"/>
    <mergeCell ref="L8:L9"/>
    <mergeCell ref="M8:M9"/>
    <mergeCell ref="N8:N9"/>
    <mergeCell ref="O8:O9"/>
    <mergeCell ref="P8:P9"/>
    <mergeCell ref="K6:K7"/>
    <mergeCell ref="L6:L7"/>
    <mergeCell ref="M6:M7"/>
    <mergeCell ref="N6:N7"/>
    <mergeCell ref="O6:O7"/>
    <mergeCell ref="P10:P11"/>
    <mergeCell ref="K12:K13"/>
    <mergeCell ref="L12:L13"/>
    <mergeCell ref="M12:M13"/>
    <mergeCell ref="N12:N13"/>
    <mergeCell ref="O12:O13"/>
    <mergeCell ref="P12:P13"/>
    <mergeCell ref="K10:K11"/>
    <mergeCell ref="L10:L11"/>
    <mergeCell ref="M10:M11"/>
    <mergeCell ref="N10:N11"/>
    <mergeCell ref="O10:O11"/>
    <mergeCell ref="P14:P15"/>
    <mergeCell ref="K16:K17"/>
    <mergeCell ref="L16:L17"/>
    <mergeCell ref="M16:M17"/>
    <mergeCell ref="N16:N17"/>
    <mergeCell ref="O16:O17"/>
    <mergeCell ref="P16:P17"/>
    <mergeCell ref="K14:K15"/>
    <mergeCell ref="L14:L15"/>
    <mergeCell ref="M14:M15"/>
    <mergeCell ref="N14:N15"/>
    <mergeCell ref="O14:O15"/>
    <mergeCell ref="P18:P19"/>
    <mergeCell ref="K20:K21"/>
    <mergeCell ref="L20:L21"/>
    <mergeCell ref="M20:M21"/>
    <mergeCell ref="N20:N21"/>
    <mergeCell ref="O20:O21"/>
    <mergeCell ref="P20:P21"/>
    <mergeCell ref="K18:K19"/>
    <mergeCell ref="L18:L19"/>
    <mergeCell ref="M18:M19"/>
    <mergeCell ref="N18:N19"/>
    <mergeCell ref="O18:O19"/>
    <mergeCell ref="P22:P23"/>
    <mergeCell ref="K24:K25"/>
    <mergeCell ref="L24:L25"/>
    <mergeCell ref="M24:M25"/>
    <mergeCell ref="N24:N25"/>
    <mergeCell ref="O24:O25"/>
    <mergeCell ref="P24:P25"/>
    <mergeCell ref="K22:K23"/>
    <mergeCell ref="L22:L23"/>
    <mergeCell ref="M22:M23"/>
    <mergeCell ref="N22:N23"/>
    <mergeCell ref="O22:O23"/>
    <mergeCell ref="P26:P27"/>
    <mergeCell ref="K28:K29"/>
    <mergeCell ref="L28:L29"/>
    <mergeCell ref="M28:M29"/>
    <mergeCell ref="N28:N29"/>
    <mergeCell ref="O28:O29"/>
    <mergeCell ref="P28:P29"/>
    <mergeCell ref="K26:K27"/>
    <mergeCell ref="L26:L27"/>
    <mergeCell ref="M26:M27"/>
    <mergeCell ref="N26:N27"/>
    <mergeCell ref="O26:O27"/>
  </mergeCells>
  <conditionalFormatting sqref="P6:P29">
    <cfRule type="cellIs" dxfId="2" priority="1" operator="greaterThan">
      <formula>100%</formula>
    </cfRule>
  </conditionalFormatting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3:Q70"/>
  <sheetViews>
    <sheetView showGridLines="0" zoomScaleNormal="100" workbookViewId="0">
      <selection activeCell="G58" sqref="G58"/>
    </sheetView>
  </sheetViews>
  <sheetFormatPr baseColWidth="10" defaultColWidth="11.44140625" defaultRowHeight="12" x14ac:dyDescent="0.25"/>
  <cols>
    <col min="1" max="1" width="11.44140625" style="2"/>
    <col min="2" max="2" width="18.109375" style="2" bestFit="1" customWidth="1"/>
    <col min="3" max="3" width="33" style="2" bestFit="1" customWidth="1"/>
    <col min="4" max="4" width="8.33203125" style="2" bestFit="1" customWidth="1"/>
    <col min="5" max="5" width="9.33203125" style="3" hidden="1" customWidth="1"/>
    <col min="6" max="6" width="19" style="3" bestFit="1" customWidth="1"/>
    <col min="7" max="7" width="15.5546875" style="3" bestFit="1" customWidth="1"/>
    <col min="8" max="8" width="18" style="3" bestFit="1" customWidth="1"/>
    <col min="9" max="9" width="12.44140625" style="3" bestFit="1" customWidth="1"/>
    <col min="10" max="10" width="10.5546875" style="3" bestFit="1" customWidth="1"/>
    <col min="11" max="11" width="12" style="3" bestFit="1" customWidth="1"/>
    <col min="12" max="12" width="19" style="3" bestFit="1" customWidth="1"/>
    <col min="13" max="14" width="18" style="3" bestFit="1" customWidth="1"/>
    <col min="15" max="15" width="12.44140625" style="3" bestFit="1" customWidth="1"/>
    <col min="16" max="16" width="10.44140625" style="3" bestFit="1" customWidth="1"/>
    <col min="17" max="17" width="11.44140625" style="3"/>
    <col min="18" max="16384" width="11.44140625" style="2"/>
  </cols>
  <sheetData>
    <row r="3" spans="2:17" hidden="1" x14ac:dyDescent="0.25">
      <c r="B3" s="51" t="s">
        <v>18</v>
      </c>
      <c r="C3" s="51" t="s">
        <v>56</v>
      </c>
      <c r="D3" s="51" t="s">
        <v>57</v>
      </c>
      <c r="E3" s="51" t="s">
        <v>58</v>
      </c>
    </row>
    <row r="4" spans="2:17" hidden="1" x14ac:dyDescent="0.25">
      <c r="B4" s="1" t="s">
        <v>46</v>
      </c>
      <c r="C4" s="7">
        <v>1107</v>
      </c>
      <c r="D4" s="7">
        <v>3706</v>
      </c>
      <c r="E4" s="7">
        <f>SUM(C4:D4)</f>
        <v>4813</v>
      </c>
    </row>
    <row r="5" spans="2:17" hidden="1" x14ac:dyDescent="0.25">
      <c r="B5" s="1" t="s">
        <v>47</v>
      </c>
      <c r="C5" s="7">
        <v>123</v>
      </c>
      <c r="D5" s="7">
        <v>412</v>
      </c>
      <c r="E5" s="7">
        <f t="shared" ref="E5:E6" si="0">SUM(C5:D5)</f>
        <v>535</v>
      </c>
    </row>
    <row r="6" spans="2:17" hidden="1" x14ac:dyDescent="0.25">
      <c r="B6" s="1" t="s">
        <v>58</v>
      </c>
      <c r="C6" s="7">
        <f>SUM(C4:C5)</f>
        <v>1230</v>
      </c>
      <c r="D6" s="7">
        <f>SUM(D4:D5)</f>
        <v>4118</v>
      </c>
      <c r="E6" s="7">
        <f t="shared" si="0"/>
        <v>5348</v>
      </c>
    </row>
    <row r="10" spans="2:17" x14ac:dyDescent="0.25">
      <c r="B10" s="114" t="s">
        <v>105</v>
      </c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6"/>
    </row>
    <row r="11" spans="2:17" x14ac:dyDescent="0.25">
      <c r="B11" s="117">
        <f>'RESUMEN '!B3:J3</f>
        <v>44095</v>
      </c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9"/>
    </row>
    <row r="13" spans="2:17" x14ac:dyDescent="0.25">
      <c r="B13" s="37" t="s">
        <v>0</v>
      </c>
      <c r="C13" s="37" t="s">
        <v>117</v>
      </c>
      <c r="D13" s="37" t="s">
        <v>18</v>
      </c>
      <c r="E13" s="37" t="s">
        <v>59</v>
      </c>
      <c r="F13" s="37" t="s">
        <v>2</v>
      </c>
      <c r="G13" s="37" t="s">
        <v>3</v>
      </c>
      <c r="H13" s="37" t="s">
        <v>4</v>
      </c>
      <c r="I13" s="37" t="s">
        <v>5</v>
      </c>
      <c r="J13" s="37" t="s">
        <v>6</v>
      </c>
      <c r="K13" s="38" t="s">
        <v>7</v>
      </c>
      <c r="L13" s="37" t="s">
        <v>2</v>
      </c>
      <c r="M13" s="37" t="s">
        <v>3</v>
      </c>
      <c r="N13" s="37" t="s">
        <v>4</v>
      </c>
      <c r="O13" s="37" t="s">
        <v>5</v>
      </c>
      <c r="P13" s="37" t="s">
        <v>6</v>
      </c>
      <c r="Q13" s="37" t="s">
        <v>20</v>
      </c>
    </row>
    <row r="14" spans="2:17" x14ac:dyDescent="0.25">
      <c r="B14" s="120" t="s">
        <v>107</v>
      </c>
      <c r="C14" s="121" t="s">
        <v>24</v>
      </c>
      <c r="D14" s="11" t="s">
        <v>46</v>
      </c>
      <c r="E14" s="113">
        <v>5.8695500000000003</v>
      </c>
      <c r="F14" s="9">
        <f>E14/100*$C$4</f>
        <v>64.975918500000006</v>
      </c>
      <c r="G14" s="5">
        <f>262.727</f>
        <v>262.72699999999998</v>
      </c>
      <c r="H14" s="5">
        <f>F14+G14</f>
        <v>327.70291850000001</v>
      </c>
      <c r="I14" s="68">
        <v>324.83600000000001</v>
      </c>
      <c r="J14" s="5">
        <f>H14-I14</f>
        <v>2.866918499999997</v>
      </c>
      <c r="K14" s="6">
        <f>I14/H14</f>
        <v>0.99125147095691801</v>
      </c>
      <c r="L14" s="102">
        <f>F14+F15</f>
        <v>72.195465000000013</v>
      </c>
      <c r="M14" s="102">
        <f>G14+G15</f>
        <v>262.72699999999998</v>
      </c>
      <c r="N14" s="102">
        <f>L14+M14</f>
        <v>334.92246499999999</v>
      </c>
      <c r="O14" s="102">
        <f>I14+I15</f>
        <v>324.83600000000001</v>
      </c>
      <c r="P14" s="102">
        <f>N14-O14</f>
        <v>10.086464999999976</v>
      </c>
      <c r="Q14" s="101">
        <f>O14/N14</f>
        <v>0.96988417901438773</v>
      </c>
    </row>
    <row r="15" spans="2:17" x14ac:dyDescent="0.25">
      <c r="B15" s="120"/>
      <c r="C15" s="121"/>
      <c r="D15" s="11" t="s">
        <v>47</v>
      </c>
      <c r="E15" s="113"/>
      <c r="F15" s="9">
        <f>E14/100*$C$5</f>
        <v>7.2195465000000008</v>
      </c>
      <c r="G15" s="5"/>
      <c r="H15" s="5">
        <f>F15+G15+J14</f>
        <v>10.086464999999997</v>
      </c>
      <c r="I15" s="9"/>
      <c r="J15" s="5">
        <f>H15-I15</f>
        <v>10.086464999999997</v>
      </c>
      <c r="K15" s="6">
        <f>I15/H15</f>
        <v>0</v>
      </c>
      <c r="L15" s="102"/>
      <c r="M15" s="102"/>
      <c r="N15" s="102"/>
      <c r="O15" s="102"/>
      <c r="P15" s="102"/>
      <c r="Q15" s="101"/>
    </row>
    <row r="16" spans="2:17" x14ac:dyDescent="0.25">
      <c r="B16" s="120"/>
      <c r="C16" s="121" t="s">
        <v>25</v>
      </c>
      <c r="D16" s="11" t="s">
        <v>46</v>
      </c>
      <c r="E16" s="113">
        <v>0.51399600000000001</v>
      </c>
      <c r="F16" s="9">
        <f t="shared" ref="F16" si="1">E16/100*$C$4</f>
        <v>5.6899357200000003</v>
      </c>
      <c r="G16" s="5"/>
      <c r="H16" s="5">
        <f t="shared" ref="H16" si="2">F16+G16</f>
        <v>5.6899357200000003</v>
      </c>
      <c r="I16" s="68">
        <v>1.7999999999999999E-2</v>
      </c>
      <c r="J16" s="5">
        <f t="shared" ref="J16:J69" si="3">H16-I16</f>
        <v>5.6719357200000005</v>
      </c>
      <c r="K16" s="6">
        <f t="shared" ref="K16:K69" si="4">I16/H16</f>
        <v>3.1634803775955483E-3</v>
      </c>
      <c r="L16" s="102">
        <f t="shared" ref="L16" si="5">F16+F17</f>
        <v>6.3221508000000002</v>
      </c>
      <c r="M16" s="102">
        <f t="shared" ref="M16" si="6">G16+G17</f>
        <v>0</v>
      </c>
      <c r="N16" s="102">
        <f t="shared" ref="N16" si="7">L16+M16</f>
        <v>6.3221508000000002</v>
      </c>
      <c r="O16" s="102">
        <f t="shared" ref="O16" si="8">I16+I17</f>
        <v>1.7999999999999999E-2</v>
      </c>
      <c r="P16" s="102">
        <f t="shared" ref="P16" si="9">N16-O16</f>
        <v>6.3041508000000004</v>
      </c>
      <c r="Q16" s="101">
        <f t="shared" ref="Q16" si="10">O16/N16</f>
        <v>2.8471323398359936E-3</v>
      </c>
    </row>
    <row r="17" spans="2:17" x14ac:dyDescent="0.25">
      <c r="B17" s="120"/>
      <c r="C17" s="121"/>
      <c r="D17" s="11" t="s">
        <v>47</v>
      </c>
      <c r="E17" s="113"/>
      <c r="F17" s="9">
        <f t="shared" ref="F17" si="11">E16/100*$C$5</f>
        <v>0.63221507999999993</v>
      </c>
      <c r="G17" s="5"/>
      <c r="H17" s="5">
        <f t="shared" ref="H17" si="12">F17+G17+J16</f>
        <v>6.3041508000000004</v>
      </c>
      <c r="I17" s="9"/>
      <c r="J17" s="5">
        <f t="shared" si="3"/>
        <v>6.3041508000000004</v>
      </c>
      <c r="K17" s="6">
        <f t="shared" si="4"/>
        <v>0</v>
      </c>
      <c r="L17" s="102"/>
      <c r="M17" s="102"/>
      <c r="N17" s="102"/>
      <c r="O17" s="102"/>
      <c r="P17" s="102"/>
      <c r="Q17" s="101"/>
    </row>
    <row r="18" spans="2:17" x14ac:dyDescent="0.25">
      <c r="B18" s="120"/>
      <c r="C18" s="121" t="s">
        <v>26</v>
      </c>
      <c r="D18" s="11" t="s">
        <v>46</v>
      </c>
      <c r="E18" s="113">
        <v>6.7425499999999996</v>
      </c>
      <c r="F18" s="9">
        <f t="shared" ref="F18" si="13">E18/100*$C$4</f>
        <v>74.6400285</v>
      </c>
      <c r="G18" s="5">
        <v>250</v>
      </c>
      <c r="H18" s="5">
        <f t="shared" ref="H18" si="14">F18+G18</f>
        <v>324.64002849999997</v>
      </c>
      <c r="I18" s="68">
        <v>46.494</v>
      </c>
      <c r="J18" s="5">
        <f t="shared" si="3"/>
        <v>278.14602849999994</v>
      </c>
      <c r="K18" s="6">
        <f t="shared" si="4"/>
        <v>0.14321708944773581</v>
      </c>
      <c r="L18" s="102">
        <f t="shared" ref="L18" si="15">F18+F19</f>
        <v>82.933364999999995</v>
      </c>
      <c r="M18" s="102">
        <f t="shared" ref="M18" si="16">G18+G19</f>
        <v>250</v>
      </c>
      <c r="N18" s="102">
        <f t="shared" ref="N18" si="17">L18+M18</f>
        <v>332.93336499999998</v>
      </c>
      <c r="O18" s="102">
        <f t="shared" ref="O18" si="18">I18+I19</f>
        <v>46.494</v>
      </c>
      <c r="P18" s="102">
        <f t="shared" ref="P18" si="19">N18-O18</f>
        <v>286.43936499999995</v>
      </c>
      <c r="Q18" s="101">
        <f t="shared" ref="Q18" si="20">O18/N18</f>
        <v>0.13964956621274652</v>
      </c>
    </row>
    <row r="19" spans="2:17" x14ac:dyDescent="0.25">
      <c r="B19" s="120"/>
      <c r="C19" s="121"/>
      <c r="D19" s="11" t="s">
        <v>47</v>
      </c>
      <c r="E19" s="113"/>
      <c r="F19" s="9">
        <f t="shared" ref="F19" si="21">E18/100*$C$5</f>
        <v>8.2933365000000006</v>
      </c>
      <c r="G19" s="5"/>
      <c r="H19" s="5">
        <f t="shared" ref="H19" si="22">F19+G19+J18</f>
        <v>286.43936499999995</v>
      </c>
      <c r="I19" s="9"/>
      <c r="J19" s="5">
        <f t="shared" si="3"/>
        <v>286.43936499999995</v>
      </c>
      <c r="K19" s="6">
        <f t="shared" si="4"/>
        <v>0</v>
      </c>
      <c r="L19" s="102"/>
      <c r="M19" s="102"/>
      <c r="N19" s="102"/>
      <c r="O19" s="102"/>
      <c r="P19" s="102"/>
      <c r="Q19" s="101"/>
    </row>
    <row r="20" spans="2:17" x14ac:dyDescent="0.25">
      <c r="B20" s="120"/>
      <c r="C20" s="121" t="s">
        <v>27</v>
      </c>
      <c r="D20" s="11" t="s">
        <v>46</v>
      </c>
      <c r="E20" s="113">
        <v>63.634445999999997</v>
      </c>
      <c r="F20" s="9">
        <f t="shared" ref="F20" si="23">E20/100*$C$4</f>
        <v>704.43331722000005</v>
      </c>
      <c r="G20" s="5">
        <f>129.19797-200.7922-262.727-250</f>
        <v>-584.32123000000001</v>
      </c>
      <c r="H20" s="5">
        <f t="shared" ref="H20" si="24">F20+G20</f>
        <v>120.11208722000003</v>
      </c>
      <c r="I20" s="9"/>
      <c r="J20" s="5">
        <f t="shared" si="3"/>
        <v>120.11208722000003</v>
      </c>
      <c r="K20" s="6">
        <f t="shared" si="4"/>
        <v>0</v>
      </c>
      <c r="L20" s="102">
        <f t="shared" ref="L20" si="25">F20+F21</f>
        <v>782.70368580000002</v>
      </c>
      <c r="M20" s="102">
        <f t="shared" ref="M20" si="26">G20+G21</f>
        <v>-584.32123000000001</v>
      </c>
      <c r="N20" s="102">
        <f t="shared" ref="N20" si="27">L20+M20</f>
        <v>198.3824558</v>
      </c>
      <c r="O20" s="102">
        <f t="shared" ref="O20" si="28">I20+I21</f>
        <v>0</v>
      </c>
      <c r="P20" s="102">
        <f t="shared" ref="P20" si="29">N20-O20</f>
        <v>198.3824558</v>
      </c>
      <c r="Q20" s="101">
        <f t="shared" ref="Q20" si="30">O20/N20</f>
        <v>0</v>
      </c>
    </row>
    <row r="21" spans="2:17" x14ac:dyDescent="0.25">
      <c r="B21" s="120"/>
      <c r="C21" s="121"/>
      <c r="D21" s="11" t="s">
        <v>47</v>
      </c>
      <c r="E21" s="113"/>
      <c r="F21" s="9">
        <f t="shared" ref="F21" si="31">E20/100*$C$5</f>
        <v>78.270368579999996</v>
      </c>
      <c r="G21" s="5"/>
      <c r="H21" s="5">
        <f t="shared" ref="H21" si="32">F21+G21+J20</f>
        <v>198.38245580000003</v>
      </c>
      <c r="I21" s="9"/>
      <c r="J21" s="5">
        <f t="shared" si="3"/>
        <v>198.38245580000003</v>
      </c>
      <c r="K21" s="6">
        <f t="shared" si="4"/>
        <v>0</v>
      </c>
      <c r="L21" s="102"/>
      <c r="M21" s="102"/>
      <c r="N21" s="102"/>
      <c r="O21" s="102"/>
      <c r="P21" s="102"/>
      <c r="Q21" s="101"/>
    </row>
    <row r="22" spans="2:17" x14ac:dyDescent="0.25">
      <c r="B22" s="120"/>
      <c r="C22" s="121" t="s">
        <v>28</v>
      </c>
      <c r="D22" s="11" t="s">
        <v>46</v>
      </c>
      <c r="E22" s="113">
        <v>0.475715</v>
      </c>
      <c r="F22" s="9">
        <f t="shared" ref="F22" si="33">E22/100*$C$4</f>
        <v>5.2661650499999997</v>
      </c>
      <c r="G22" s="5"/>
      <c r="H22" s="5">
        <f t="shared" ref="H22" si="34">F22+G22</f>
        <v>5.2661650499999997</v>
      </c>
      <c r="I22" s="68">
        <v>2.1829999999999998</v>
      </c>
      <c r="J22" s="5">
        <f t="shared" si="3"/>
        <v>3.0831650499999999</v>
      </c>
      <c r="K22" s="6">
        <f t="shared" si="4"/>
        <v>0.41453315254522832</v>
      </c>
      <c r="L22" s="102">
        <f t="shared" ref="L22" si="35">F22+F23</f>
        <v>5.8512944999999998</v>
      </c>
      <c r="M22" s="102">
        <f t="shared" ref="M22" si="36">G22+G23</f>
        <v>0</v>
      </c>
      <c r="N22" s="102">
        <f t="shared" ref="N22" si="37">L22+M22</f>
        <v>5.8512944999999998</v>
      </c>
      <c r="O22" s="102">
        <f t="shared" ref="O22" si="38">I22+I23</f>
        <v>2.1829999999999998</v>
      </c>
      <c r="P22" s="102">
        <f t="shared" ref="P22" si="39">N22-O22</f>
        <v>3.6682945</v>
      </c>
      <c r="Q22" s="101">
        <f t="shared" ref="Q22" si="40">O22/N22</f>
        <v>0.37307983729070548</v>
      </c>
    </row>
    <row r="23" spans="2:17" x14ac:dyDescent="0.25">
      <c r="B23" s="120"/>
      <c r="C23" s="121"/>
      <c r="D23" s="11" t="s">
        <v>47</v>
      </c>
      <c r="E23" s="113"/>
      <c r="F23" s="9">
        <f t="shared" ref="F23" si="41">E22/100*$C$5</f>
        <v>0.58512944999999994</v>
      </c>
      <c r="G23" s="5"/>
      <c r="H23" s="5">
        <f t="shared" ref="H23" si="42">F23+G23+J22</f>
        <v>3.6682945</v>
      </c>
      <c r="I23" s="9"/>
      <c r="J23" s="5">
        <f t="shared" si="3"/>
        <v>3.6682945</v>
      </c>
      <c r="K23" s="6">
        <f t="shared" si="4"/>
        <v>0</v>
      </c>
      <c r="L23" s="102"/>
      <c r="M23" s="102"/>
      <c r="N23" s="102"/>
      <c r="O23" s="102"/>
      <c r="P23" s="102"/>
      <c r="Q23" s="101"/>
    </row>
    <row r="24" spans="2:17" x14ac:dyDescent="0.25">
      <c r="B24" s="120"/>
      <c r="C24" s="121" t="s">
        <v>29</v>
      </c>
      <c r="D24" s="11" t="s">
        <v>46</v>
      </c>
      <c r="E24" s="113">
        <v>3.9E-2</v>
      </c>
      <c r="F24" s="9">
        <f t="shared" ref="F24" si="43">E24/100*$C$4</f>
        <v>0.43173</v>
      </c>
      <c r="G24" s="5"/>
      <c r="H24" s="5">
        <f t="shared" ref="H24" si="44">F24+G24</f>
        <v>0.43173</v>
      </c>
      <c r="I24" s="9"/>
      <c r="J24" s="5">
        <f t="shared" si="3"/>
        <v>0.43173</v>
      </c>
      <c r="K24" s="6">
        <f t="shared" si="4"/>
        <v>0</v>
      </c>
      <c r="L24" s="102">
        <f t="shared" ref="L24" si="45">F24+F25</f>
        <v>0.47970000000000002</v>
      </c>
      <c r="M24" s="102">
        <f t="shared" ref="M24" si="46">G24+G25</f>
        <v>0</v>
      </c>
      <c r="N24" s="102">
        <f t="shared" ref="N24" si="47">L24+M24</f>
        <v>0.47970000000000002</v>
      </c>
      <c r="O24" s="102">
        <f t="shared" ref="O24" si="48">I24+I25</f>
        <v>0</v>
      </c>
      <c r="P24" s="102">
        <f t="shared" ref="P24" si="49">N24-O24</f>
        <v>0.47970000000000002</v>
      </c>
      <c r="Q24" s="101">
        <f t="shared" ref="Q24" si="50">O24/N24</f>
        <v>0</v>
      </c>
    </row>
    <row r="25" spans="2:17" x14ac:dyDescent="0.25">
      <c r="B25" s="120"/>
      <c r="C25" s="121"/>
      <c r="D25" s="11" t="s">
        <v>47</v>
      </c>
      <c r="E25" s="113"/>
      <c r="F25" s="9">
        <f t="shared" ref="F25" si="51">E24/100*$C$5</f>
        <v>4.7969999999999999E-2</v>
      </c>
      <c r="G25" s="5"/>
      <c r="H25" s="5">
        <f t="shared" ref="H25" si="52">F25+G25+J24</f>
        <v>0.47970000000000002</v>
      </c>
      <c r="I25" s="9"/>
      <c r="J25" s="5">
        <f t="shared" si="3"/>
        <v>0.47970000000000002</v>
      </c>
      <c r="K25" s="6">
        <f t="shared" si="4"/>
        <v>0</v>
      </c>
      <c r="L25" s="102"/>
      <c r="M25" s="102"/>
      <c r="N25" s="102"/>
      <c r="O25" s="102"/>
      <c r="P25" s="102"/>
      <c r="Q25" s="101"/>
    </row>
    <row r="26" spans="2:17" x14ac:dyDescent="0.25">
      <c r="B26" s="120"/>
      <c r="C26" s="121" t="s">
        <v>30</v>
      </c>
      <c r="D26" s="11" t="s">
        <v>46</v>
      </c>
      <c r="E26" s="113">
        <v>5.7034960000000003</v>
      </c>
      <c r="F26" s="9">
        <f t="shared" ref="F26" si="53">E26/100*$C$4</f>
        <v>63.137700720000005</v>
      </c>
      <c r="G26" s="5">
        <f>200.7922</f>
        <v>200.79220000000001</v>
      </c>
      <c r="H26" s="5">
        <f t="shared" ref="H26" si="54">F26+G26</f>
        <v>263.92990072000003</v>
      </c>
      <c r="I26" s="68">
        <v>223.16</v>
      </c>
      <c r="J26" s="5">
        <f t="shared" si="3"/>
        <v>40.769900720000038</v>
      </c>
      <c r="K26" s="6">
        <f t="shared" si="4"/>
        <v>0.84552754118127627</v>
      </c>
      <c r="L26" s="102">
        <f t="shared" ref="L26" si="55">F26+F27</f>
        <v>70.153000800000001</v>
      </c>
      <c r="M26" s="102">
        <f t="shared" ref="M26" si="56">G26+G27</f>
        <v>200.79220000000001</v>
      </c>
      <c r="N26" s="102">
        <f t="shared" ref="N26" si="57">L26+M26</f>
        <v>270.94520080000001</v>
      </c>
      <c r="O26" s="102">
        <f t="shared" ref="O26" si="58">I26+I27</f>
        <v>223.16</v>
      </c>
      <c r="P26" s="102">
        <f t="shared" ref="P26" si="59">N26-O26</f>
        <v>47.785200800000013</v>
      </c>
      <c r="Q26" s="101">
        <f t="shared" ref="Q26" si="60">O26/N26</f>
        <v>0.82363518283804937</v>
      </c>
    </row>
    <row r="27" spans="2:17" x14ac:dyDescent="0.25">
      <c r="B27" s="120"/>
      <c r="C27" s="121"/>
      <c r="D27" s="11" t="s">
        <v>47</v>
      </c>
      <c r="E27" s="113"/>
      <c r="F27" s="9">
        <f t="shared" ref="F27" si="61">E26/100*$C$5</f>
        <v>7.0153000800000003</v>
      </c>
      <c r="G27" s="5"/>
      <c r="H27" s="5">
        <f t="shared" ref="H27" si="62">F27+G27+J26</f>
        <v>47.785200800000041</v>
      </c>
      <c r="I27" s="9"/>
      <c r="J27" s="5">
        <f t="shared" si="3"/>
        <v>47.785200800000041</v>
      </c>
      <c r="K27" s="6">
        <f t="shared" si="4"/>
        <v>0</v>
      </c>
      <c r="L27" s="102"/>
      <c r="M27" s="102"/>
      <c r="N27" s="102"/>
      <c r="O27" s="102"/>
      <c r="P27" s="102"/>
      <c r="Q27" s="101"/>
    </row>
    <row r="28" spans="2:17" x14ac:dyDescent="0.25">
      <c r="B28" s="120"/>
      <c r="C28" s="121" t="s">
        <v>31</v>
      </c>
      <c r="D28" s="11" t="s">
        <v>46</v>
      </c>
      <c r="E28" s="113">
        <v>0.05</v>
      </c>
      <c r="F28" s="9">
        <f t="shared" ref="F28" si="63">E28/100*$C$4</f>
        <v>0.55349999999999999</v>
      </c>
      <c r="G28" s="5"/>
      <c r="H28" s="5">
        <f t="shared" ref="H28" si="64">F28+G28</f>
        <v>0.55349999999999999</v>
      </c>
      <c r="I28" s="9"/>
      <c r="J28" s="5">
        <f t="shared" si="3"/>
        <v>0.55349999999999999</v>
      </c>
      <c r="K28" s="6">
        <f t="shared" si="4"/>
        <v>0</v>
      </c>
      <c r="L28" s="102">
        <f t="shared" ref="L28" si="65">F28+F29</f>
        <v>0.61499999999999999</v>
      </c>
      <c r="M28" s="102">
        <f t="shared" ref="M28" si="66">G28+G29</f>
        <v>0</v>
      </c>
      <c r="N28" s="102">
        <f t="shared" ref="N28" si="67">L28+M28</f>
        <v>0.61499999999999999</v>
      </c>
      <c r="O28" s="102">
        <f t="shared" ref="O28" si="68">I28+I29</f>
        <v>0</v>
      </c>
      <c r="P28" s="102">
        <f t="shared" ref="P28" si="69">N28-O28</f>
        <v>0.61499999999999999</v>
      </c>
      <c r="Q28" s="101">
        <f t="shared" ref="Q28" si="70">O28/N28</f>
        <v>0</v>
      </c>
    </row>
    <row r="29" spans="2:17" x14ac:dyDescent="0.25">
      <c r="B29" s="120"/>
      <c r="C29" s="121"/>
      <c r="D29" s="11" t="s">
        <v>47</v>
      </c>
      <c r="E29" s="113"/>
      <c r="F29" s="9">
        <f t="shared" ref="F29" si="71">E28/100*$C$5</f>
        <v>6.1499999999999999E-2</v>
      </c>
      <c r="G29" s="5"/>
      <c r="H29" s="5">
        <f t="shared" ref="H29" si="72">F29+G29+J28</f>
        <v>0.61499999999999999</v>
      </c>
      <c r="I29" s="9"/>
      <c r="J29" s="5">
        <f t="shared" si="3"/>
        <v>0.61499999999999999</v>
      </c>
      <c r="K29" s="6">
        <f t="shared" si="4"/>
        <v>0</v>
      </c>
      <c r="L29" s="102"/>
      <c r="M29" s="102"/>
      <c r="N29" s="102"/>
      <c r="O29" s="102"/>
      <c r="P29" s="102"/>
      <c r="Q29" s="101"/>
    </row>
    <row r="30" spans="2:17" x14ac:dyDescent="0.25">
      <c r="B30" s="120"/>
      <c r="C30" s="121" t="s">
        <v>32</v>
      </c>
      <c r="D30" s="11" t="s">
        <v>46</v>
      </c>
      <c r="E30" s="113">
        <v>1.0644999999999999E-3</v>
      </c>
      <c r="F30" s="9">
        <f t="shared" ref="F30" si="73">E30/100*$C$4</f>
        <v>1.1784014999999998E-2</v>
      </c>
      <c r="G30" s="5"/>
      <c r="H30" s="5">
        <f t="shared" ref="H30" si="74">F30+G30</f>
        <v>1.1784014999999998E-2</v>
      </c>
      <c r="I30" s="9"/>
      <c r="J30" s="5">
        <f t="shared" si="3"/>
        <v>1.1784014999999998E-2</v>
      </c>
      <c r="K30" s="6">
        <f t="shared" si="4"/>
        <v>0</v>
      </c>
      <c r="L30" s="102">
        <f t="shared" ref="L30" si="75">F30+F31</f>
        <v>1.3093349999999998E-2</v>
      </c>
      <c r="M30" s="102">
        <f t="shared" ref="M30" si="76">G30+G31</f>
        <v>0</v>
      </c>
      <c r="N30" s="102">
        <f t="shared" ref="N30" si="77">L30+M30</f>
        <v>1.3093349999999998E-2</v>
      </c>
      <c r="O30" s="102">
        <f t="shared" ref="O30" si="78">I30+I31</f>
        <v>0</v>
      </c>
      <c r="P30" s="102">
        <f t="shared" ref="P30" si="79">N30-O30</f>
        <v>1.3093349999999998E-2</v>
      </c>
      <c r="Q30" s="101">
        <f t="shared" ref="Q30" si="80">O30/N30</f>
        <v>0</v>
      </c>
    </row>
    <row r="31" spans="2:17" x14ac:dyDescent="0.25">
      <c r="B31" s="120"/>
      <c r="C31" s="121"/>
      <c r="D31" s="11" t="s">
        <v>47</v>
      </c>
      <c r="E31" s="113"/>
      <c r="F31" s="9">
        <f t="shared" ref="F31" si="81">E30/100*$C$5</f>
        <v>1.3093349999999998E-3</v>
      </c>
      <c r="G31" s="5"/>
      <c r="H31" s="5">
        <f t="shared" ref="H31" si="82">F31+G31+J30</f>
        <v>1.3093349999999998E-2</v>
      </c>
      <c r="I31" s="9"/>
      <c r="J31" s="5">
        <f t="shared" si="3"/>
        <v>1.3093349999999998E-2</v>
      </c>
      <c r="K31" s="6">
        <f t="shared" si="4"/>
        <v>0</v>
      </c>
      <c r="L31" s="102"/>
      <c r="M31" s="102"/>
      <c r="N31" s="102"/>
      <c r="O31" s="102"/>
      <c r="P31" s="102"/>
      <c r="Q31" s="101"/>
    </row>
    <row r="32" spans="2:17" x14ac:dyDescent="0.25">
      <c r="B32" s="120"/>
      <c r="C32" s="121" t="s">
        <v>33</v>
      </c>
      <c r="D32" s="11" t="s">
        <v>46</v>
      </c>
      <c r="E32" s="113">
        <v>15.849621000000001</v>
      </c>
      <c r="F32" s="9">
        <f t="shared" ref="F32" si="83">E32/100*$C$4</f>
        <v>175.45530446999999</v>
      </c>
      <c r="G32" s="5">
        <f>-129.19797</f>
        <v>-129.19797</v>
      </c>
      <c r="H32" s="5">
        <f t="shared" ref="H32" si="84">F32+G32</f>
        <v>46.257334469999989</v>
      </c>
      <c r="I32" s="9"/>
      <c r="J32" s="5">
        <f t="shared" si="3"/>
        <v>46.257334469999989</v>
      </c>
      <c r="K32" s="6">
        <f t="shared" si="4"/>
        <v>0</v>
      </c>
      <c r="L32" s="102">
        <f t="shared" ref="L32" si="85">F32+F33</f>
        <v>194.9503383</v>
      </c>
      <c r="M32" s="102">
        <f t="shared" ref="M32" si="86">G32+G33</f>
        <v>-129.19797</v>
      </c>
      <c r="N32" s="102">
        <f t="shared" ref="N32" si="87">L32+M32</f>
        <v>65.752368300000001</v>
      </c>
      <c r="O32" s="102">
        <f t="shared" ref="O32" si="88">I32+I33</f>
        <v>0</v>
      </c>
      <c r="P32" s="102">
        <f t="shared" ref="P32" si="89">N32-O32</f>
        <v>65.752368300000001</v>
      </c>
      <c r="Q32" s="101">
        <f t="shared" ref="Q32" si="90">O32/N32</f>
        <v>0</v>
      </c>
    </row>
    <row r="33" spans="2:17" x14ac:dyDescent="0.25">
      <c r="B33" s="120"/>
      <c r="C33" s="121"/>
      <c r="D33" s="11" t="s">
        <v>47</v>
      </c>
      <c r="E33" s="113"/>
      <c r="F33" s="9">
        <f t="shared" ref="F33" si="91">E32/100*$C$5</f>
        <v>19.495033830000001</v>
      </c>
      <c r="G33" s="5"/>
      <c r="H33" s="5">
        <f t="shared" ref="H33" si="92">F33+G33+J32</f>
        <v>65.752368299999986</v>
      </c>
      <c r="I33" s="9"/>
      <c r="J33" s="5">
        <f t="shared" si="3"/>
        <v>65.752368299999986</v>
      </c>
      <c r="K33" s="6">
        <f t="shared" si="4"/>
        <v>0</v>
      </c>
      <c r="L33" s="102"/>
      <c r="M33" s="102"/>
      <c r="N33" s="102"/>
      <c r="O33" s="102"/>
      <c r="P33" s="102"/>
      <c r="Q33" s="101"/>
    </row>
    <row r="34" spans="2:17" x14ac:dyDescent="0.25">
      <c r="B34" s="120"/>
      <c r="C34" s="121" t="s">
        <v>34</v>
      </c>
      <c r="D34" s="11" t="s">
        <v>46</v>
      </c>
      <c r="E34" s="113">
        <v>9.0399999999999996E-4</v>
      </c>
      <c r="F34" s="9">
        <f t="shared" ref="F34" si="93">E34/100*$C$4</f>
        <v>1.000728E-2</v>
      </c>
      <c r="G34" s="5"/>
      <c r="H34" s="5">
        <f t="shared" ref="H34" si="94">F34+G34</f>
        <v>1.000728E-2</v>
      </c>
      <c r="I34" s="68">
        <v>2.1999999999999999E-2</v>
      </c>
      <c r="J34" s="5">
        <f t="shared" si="3"/>
        <v>-1.1992719999999998E-2</v>
      </c>
      <c r="K34" s="6">
        <f t="shared" si="4"/>
        <v>2.1983995651165951</v>
      </c>
      <c r="L34" s="102">
        <f t="shared" ref="L34" si="95">F34+F35</f>
        <v>1.1119200000000001E-2</v>
      </c>
      <c r="M34" s="102">
        <f t="shared" ref="M34" si="96">G34+G35</f>
        <v>0</v>
      </c>
      <c r="N34" s="102">
        <f t="shared" ref="N34" si="97">L34+M34</f>
        <v>1.1119200000000001E-2</v>
      </c>
      <c r="O34" s="102">
        <f t="shared" ref="O34" si="98">I34+I35</f>
        <v>2.1999999999999999E-2</v>
      </c>
      <c r="P34" s="102">
        <f>N34-O34</f>
        <v>-1.0880799999999998E-2</v>
      </c>
      <c r="Q34" s="101">
        <f t="shared" ref="Q34" si="99">O34/N34</f>
        <v>1.9785596086049353</v>
      </c>
    </row>
    <row r="35" spans="2:17" x14ac:dyDescent="0.25">
      <c r="B35" s="120"/>
      <c r="C35" s="121"/>
      <c r="D35" s="11" t="s">
        <v>47</v>
      </c>
      <c r="E35" s="113"/>
      <c r="F35" s="9">
        <f t="shared" ref="F35" si="100">E34/100*$C$5</f>
        <v>1.11192E-3</v>
      </c>
      <c r="G35" s="5"/>
      <c r="H35" s="5">
        <f t="shared" ref="H35" si="101">F35+G35+J34</f>
        <v>-1.0880799999999998E-2</v>
      </c>
      <c r="I35" s="9"/>
      <c r="J35" s="5">
        <f t="shared" si="3"/>
        <v>-1.0880799999999998E-2</v>
      </c>
      <c r="K35" s="6">
        <f t="shared" si="4"/>
        <v>0</v>
      </c>
      <c r="L35" s="102"/>
      <c r="M35" s="102"/>
      <c r="N35" s="102"/>
      <c r="O35" s="102"/>
      <c r="P35" s="102"/>
      <c r="Q35" s="101"/>
    </row>
    <row r="36" spans="2:17" x14ac:dyDescent="0.25">
      <c r="B36" s="120"/>
      <c r="C36" s="121" t="s">
        <v>35</v>
      </c>
      <c r="D36" s="11" t="s">
        <v>46</v>
      </c>
      <c r="E36" s="113">
        <v>0.39516200000000001</v>
      </c>
      <c r="F36" s="9">
        <f t="shared" ref="F36" si="102">E36/100*$C$4</f>
        <v>4.37444334</v>
      </c>
      <c r="G36" s="5"/>
      <c r="H36" s="5">
        <f t="shared" ref="H36" si="103">F36+G36</f>
        <v>4.37444334</v>
      </c>
      <c r="I36" s="68">
        <v>5.0419999999999998</v>
      </c>
      <c r="J36" s="5">
        <f t="shared" si="3"/>
        <v>-0.6675566599999998</v>
      </c>
      <c r="K36" s="55">
        <f t="shared" si="4"/>
        <v>1.1526037962123885</v>
      </c>
      <c r="L36" s="102">
        <f t="shared" ref="L36" si="104">F36+F37</f>
        <v>4.8604925999999997</v>
      </c>
      <c r="M36" s="102">
        <f t="shared" ref="M36" si="105">G36+G37</f>
        <v>0</v>
      </c>
      <c r="N36" s="102">
        <f t="shared" ref="N36" si="106">L36+M36</f>
        <v>4.8604925999999997</v>
      </c>
      <c r="O36" s="102">
        <f t="shared" ref="O36" si="107">I36+I37</f>
        <v>5.0419999999999998</v>
      </c>
      <c r="P36" s="102">
        <f t="shared" ref="P36" si="108">N36-O36</f>
        <v>-0.1815074000000001</v>
      </c>
      <c r="Q36" s="101">
        <f t="shared" ref="Q36" si="109">O36/N36</f>
        <v>1.0373434165911497</v>
      </c>
    </row>
    <row r="37" spans="2:17" x14ac:dyDescent="0.25">
      <c r="B37" s="120"/>
      <c r="C37" s="121"/>
      <c r="D37" s="11" t="s">
        <v>47</v>
      </c>
      <c r="E37" s="113"/>
      <c r="F37" s="9">
        <f t="shared" ref="F37" si="110">E36/100*$C$5</f>
        <v>0.48604926000000004</v>
      </c>
      <c r="G37" s="5"/>
      <c r="H37" s="5">
        <f t="shared" ref="H37" si="111">F37+G37+J36</f>
        <v>-0.18150739999999976</v>
      </c>
      <c r="I37" s="9"/>
      <c r="J37" s="5">
        <f t="shared" si="3"/>
        <v>-0.18150739999999976</v>
      </c>
      <c r="K37" s="6">
        <f t="shared" si="4"/>
        <v>0</v>
      </c>
      <c r="L37" s="102"/>
      <c r="M37" s="102"/>
      <c r="N37" s="102"/>
      <c r="O37" s="102"/>
      <c r="P37" s="102"/>
      <c r="Q37" s="101"/>
    </row>
    <row r="38" spans="2:17" x14ac:dyDescent="0.25">
      <c r="B38" s="120"/>
      <c r="C38" s="121" t="s">
        <v>36</v>
      </c>
      <c r="D38" s="11" t="s">
        <v>46</v>
      </c>
      <c r="E38" s="113">
        <v>0.22450000000000001</v>
      </c>
      <c r="F38" s="9">
        <f>E38/100*$C$4</f>
        <v>2.4852150000000002</v>
      </c>
      <c r="G38" s="5"/>
      <c r="H38" s="5">
        <f t="shared" ref="H38" si="112">F38+G38</f>
        <v>2.4852150000000002</v>
      </c>
      <c r="I38" s="9"/>
      <c r="J38" s="5">
        <f t="shared" si="3"/>
        <v>2.4852150000000002</v>
      </c>
      <c r="K38" s="6">
        <f t="shared" si="4"/>
        <v>0</v>
      </c>
      <c r="L38" s="102">
        <f t="shared" ref="L38" si="113">F38+F39</f>
        <v>2.7613500000000002</v>
      </c>
      <c r="M38" s="102">
        <f t="shared" ref="M38" si="114">G38+G39</f>
        <v>0</v>
      </c>
      <c r="N38" s="102">
        <f t="shared" ref="N38" si="115">L38+M38</f>
        <v>2.7613500000000002</v>
      </c>
      <c r="O38" s="102">
        <f t="shared" ref="O38" si="116">I38+I39</f>
        <v>0</v>
      </c>
      <c r="P38" s="102">
        <f t="shared" ref="P38" si="117">N38-O38</f>
        <v>2.7613500000000002</v>
      </c>
      <c r="Q38" s="101">
        <f t="shared" ref="Q38" si="118">O38/N38</f>
        <v>0</v>
      </c>
    </row>
    <row r="39" spans="2:17" x14ac:dyDescent="0.25">
      <c r="B39" s="120"/>
      <c r="C39" s="121"/>
      <c r="D39" s="11" t="s">
        <v>47</v>
      </c>
      <c r="E39" s="113"/>
      <c r="F39" s="9">
        <f>E38/100*$C$5</f>
        <v>0.27613500000000002</v>
      </c>
      <c r="G39" s="5"/>
      <c r="H39" s="5">
        <f t="shared" ref="H39" si="119">F39+G39+J38</f>
        <v>2.7613500000000002</v>
      </c>
      <c r="I39" s="9"/>
      <c r="J39" s="5">
        <f t="shared" si="3"/>
        <v>2.7613500000000002</v>
      </c>
      <c r="K39" s="6">
        <f t="shared" si="4"/>
        <v>0</v>
      </c>
      <c r="L39" s="102"/>
      <c r="M39" s="102"/>
      <c r="N39" s="102"/>
      <c r="O39" s="102"/>
      <c r="P39" s="102"/>
      <c r="Q39" s="101"/>
    </row>
    <row r="40" spans="2:17" ht="12" customHeight="1" x14ac:dyDescent="0.25">
      <c r="B40" s="122" t="s">
        <v>108</v>
      </c>
      <c r="C40" s="121" t="s">
        <v>24</v>
      </c>
      <c r="D40" s="11" t="s">
        <v>46</v>
      </c>
      <c r="E40" s="111">
        <v>5.8695500000000003</v>
      </c>
      <c r="F40" s="9">
        <f>E40/100*$D$4</f>
        <v>217.52552300000002</v>
      </c>
      <c r="G40" s="57">
        <f>-222.727159</f>
        <v>-222.727159</v>
      </c>
      <c r="H40" s="5">
        <f t="shared" ref="H40" si="120">F40+G40</f>
        <v>-5.2016359999999793</v>
      </c>
      <c r="I40" s="9"/>
      <c r="J40" s="5">
        <f t="shared" si="3"/>
        <v>-5.2016359999999793</v>
      </c>
      <c r="K40" s="6">
        <f t="shared" si="4"/>
        <v>0</v>
      </c>
      <c r="L40" s="102">
        <f t="shared" ref="L40" si="121">F40+F41</f>
        <v>241.70806900000002</v>
      </c>
      <c r="M40" s="102">
        <f t="shared" ref="M40" si="122">G40+G41</f>
        <v>-222.727159</v>
      </c>
      <c r="N40" s="102">
        <f t="shared" ref="N40" si="123">L40+M40</f>
        <v>18.980910000000023</v>
      </c>
      <c r="O40" s="102">
        <f t="shared" ref="O40" si="124">I40+I41</f>
        <v>0</v>
      </c>
      <c r="P40" s="102">
        <f t="shared" ref="P40" si="125">N40-O40</f>
        <v>18.980910000000023</v>
      </c>
      <c r="Q40" s="101">
        <f t="shared" ref="Q40" si="126">O40/N40</f>
        <v>0</v>
      </c>
    </row>
    <row r="41" spans="2:17" x14ac:dyDescent="0.25">
      <c r="B41" s="123"/>
      <c r="C41" s="121"/>
      <c r="D41" s="11" t="s">
        <v>47</v>
      </c>
      <c r="E41" s="112"/>
      <c r="F41" s="9">
        <f>E40/100*$D$5</f>
        <v>24.182546000000002</v>
      </c>
      <c r="G41" s="5"/>
      <c r="H41" s="5">
        <f t="shared" ref="H41" si="127">F41+G41+J40</f>
        <v>18.980910000000023</v>
      </c>
      <c r="I41" s="9"/>
      <c r="J41" s="5">
        <f t="shared" si="3"/>
        <v>18.980910000000023</v>
      </c>
      <c r="K41" s="6">
        <f t="shared" si="4"/>
        <v>0</v>
      </c>
      <c r="L41" s="102"/>
      <c r="M41" s="102"/>
      <c r="N41" s="102"/>
      <c r="O41" s="102"/>
      <c r="P41" s="102"/>
      <c r="Q41" s="101"/>
    </row>
    <row r="42" spans="2:17" x14ac:dyDescent="0.25">
      <c r="B42" s="123"/>
      <c r="C42" s="121" t="s">
        <v>25</v>
      </c>
      <c r="D42" s="11" t="s">
        <v>46</v>
      </c>
      <c r="E42" s="111">
        <v>0.51399600000000001</v>
      </c>
      <c r="F42" s="9">
        <f t="shared" ref="F42" si="128">E42/100*$D$4</f>
        <v>19.048691760000001</v>
      </c>
      <c r="G42" s="5"/>
      <c r="H42" s="5">
        <f t="shared" ref="H42" si="129">F42+G42</f>
        <v>19.048691760000001</v>
      </c>
      <c r="I42" s="68">
        <v>0.40699999999999997</v>
      </c>
      <c r="J42" s="5">
        <f t="shared" si="3"/>
        <v>18.64169176</v>
      </c>
      <c r="K42" s="6">
        <f t="shared" si="4"/>
        <v>2.1366296705721904E-2</v>
      </c>
      <c r="L42" s="102">
        <f t="shared" ref="L42" si="130">F42+F43</f>
        <v>21.166355280000001</v>
      </c>
      <c r="M42" s="102">
        <f t="shared" ref="M42" si="131">G42+G43</f>
        <v>0</v>
      </c>
      <c r="N42" s="102">
        <f t="shared" ref="N42" si="132">L42+M42</f>
        <v>21.166355280000001</v>
      </c>
      <c r="O42" s="102">
        <f t="shared" ref="O42" si="133">I42+I43</f>
        <v>0.40699999999999997</v>
      </c>
      <c r="P42" s="102">
        <f t="shared" ref="P42" si="134">N42-O42</f>
        <v>20.759355280000001</v>
      </c>
      <c r="Q42" s="101">
        <f t="shared" ref="Q42" si="135">O42/N42</f>
        <v>1.9228629332541373E-2</v>
      </c>
    </row>
    <row r="43" spans="2:17" x14ac:dyDescent="0.25">
      <c r="B43" s="123"/>
      <c r="C43" s="121"/>
      <c r="D43" s="11" t="s">
        <v>47</v>
      </c>
      <c r="E43" s="112"/>
      <c r="F43" s="9">
        <f t="shared" ref="F43" si="136">E42/100*$D$5</f>
        <v>2.1176635199999998</v>
      </c>
      <c r="G43" s="5"/>
      <c r="H43" s="5">
        <f t="shared" ref="H43" si="137">F43+G43+J42</f>
        <v>20.759355280000001</v>
      </c>
      <c r="I43" s="9"/>
      <c r="J43" s="5">
        <f t="shared" si="3"/>
        <v>20.759355280000001</v>
      </c>
      <c r="K43" s="6">
        <f t="shared" si="4"/>
        <v>0</v>
      </c>
      <c r="L43" s="102"/>
      <c r="M43" s="102"/>
      <c r="N43" s="102"/>
      <c r="O43" s="102"/>
      <c r="P43" s="102"/>
      <c r="Q43" s="101"/>
    </row>
    <row r="44" spans="2:17" x14ac:dyDescent="0.25">
      <c r="B44" s="123"/>
      <c r="C44" s="121" t="s">
        <v>26</v>
      </c>
      <c r="D44" s="11" t="s">
        <v>46</v>
      </c>
      <c r="E44" s="111">
        <v>6.7425499999999996</v>
      </c>
      <c r="F44" s="9">
        <f t="shared" ref="F44" si="138">E44/100*$D$4</f>
        <v>249.87890300000001</v>
      </c>
      <c r="G44" s="5">
        <f>-230</f>
        <v>-230</v>
      </c>
      <c r="H44" s="5">
        <f t="shared" ref="H44" si="139">F44+G44</f>
        <v>19.878903000000008</v>
      </c>
      <c r="I44" s="68">
        <v>0.48599999999999999</v>
      </c>
      <c r="J44" s="5">
        <f t="shared" si="3"/>
        <v>19.392903000000008</v>
      </c>
      <c r="K44" s="6">
        <f t="shared" si="4"/>
        <v>2.4448029149294597E-2</v>
      </c>
      <c r="L44" s="102">
        <f t="shared" ref="L44" si="140">F44+F45</f>
        <v>277.658209</v>
      </c>
      <c r="M44" s="102">
        <f t="shared" ref="M44" si="141">G44+G45</f>
        <v>-230</v>
      </c>
      <c r="N44" s="102">
        <f t="shared" ref="N44" si="142">L44+M44</f>
        <v>47.658208999999999</v>
      </c>
      <c r="O44" s="102">
        <f t="shared" ref="O44" si="143">I44+I45</f>
        <v>0.48599999999999999</v>
      </c>
      <c r="P44" s="102">
        <f t="shared" ref="P44" si="144">N44-O44</f>
        <v>47.172209000000002</v>
      </c>
      <c r="Q44" s="101">
        <f t="shared" ref="Q44" si="145">O44/N44</f>
        <v>1.0197613594753425E-2</v>
      </c>
    </row>
    <row r="45" spans="2:17" x14ac:dyDescent="0.25">
      <c r="B45" s="123"/>
      <c r="C45" s="121"/>
      <c r="D45" s="11" t="s">
        <v>47</v>
      </c>
      <c r="E45" s="112"/>
      <c r="F45" s="9">
        <f t="shared" ref="F45" si="146">E44/100*$D$5</f>
        <v>27.779305999999998</v>
      </c>
      <c r="G45" s="5"/>
      <c r="H45" s="5">
        <f t="shared" ref="H45" si="147">F45+G45+J44</f>
        <v>47.172209000000009</v>
      </c>
      <c r="I45" s="9"/>
      <c r="J45" s="5">
        <f t="shared" si="3"/>
        <v>47.172209000000009</v>
      </c>
      <c r="K45" s="6">
        <f t="shared" si="4"/>
        <v>0</v>
      </c>
      <c r="L45" s="102"/>
      <c r="M45" s="102"/>
      <c r="N45" s="102"/>
      <c r="O45" s="102"/>
      <c r="P45" s="102"/>
      <c r="Q45" s="101"/>
    </row>
    <row r="46" spans="2:17" x14ac:dyDescent="0.25">
      <c r="B46" s="123"/>
      <c r="C46" s="121" t="s">
        <v>27</v>
      </c>
      <c r="D46" s="11" t="s">
        <v>46</v>
      </c>
      <c r="E46" s="111">
        <v>63.634445999999997</v>
      </c>
      <c r="F46" s="9">
        <f t="shared" ref="F46" si="148">E46/100*$D$4</f>
        <v>2358.29256876</v>
      </c>
      <c r="G46" s="5">
        <f>432.550602-489.342-223.279+230+222.727159</f>
        <v>172.65676100000005</v>
      </c>
      <c r="H46" s="5">
        <f t="shared" ref="H46" si="149">F46+G46</f>
        <v>2530.9493297600002</v>
      </c>
      <c r="I46" s="68">
        <v>2372.2220000000002</v>
      </c>
      <c r="J46" s="5">
        <f t="shared" si="3"/>
        <v>158.72732975999998</v>
      </c>
      <c r="K46" s="6">
        <f t="shared" si="4"/>
        <v>0.93728545732084989</v>
      </c>
      <c r="L46" s="102">
        <f t="shared" ref="L46" si="150">F46+F47</f>
        <v>2620.46648628</v>
      </c>
      <c r="M46" s="102">
        <f t="shared" ref="M46" si="151">G46+G47</f>
        <v>172.65676100000005</v>
      </c>
      <c r="N46" s="102">
        <f t="shared" ref="N46" si="152">L46+M46</f>
        <v>2793.1232472800002</v>
      </c>
      <c r="O46" s="102">
        <f t="shared" ref="O46" si="153">I46+I47</f>
        <v>2372.2220000000002</v>
      </c>
      <c r="P46" s="102">
        <f t="shared" ref="P46" si="154">N46-O46</f>
        <v>420.90124728000001</v>
      </c>
      <c r="Q46" s="101">
        <f t="shared" ref="Q46" si="155">O46/N46</f>
        <v>0.8493080290352808</v>
      </c>
    </row>
    <row r="47" spans="2:17" x14ac:dyDescent="0.25">
      <c r="B47" s="123"/>
      <c r="C47" s="121"/>
      <c r="D47" s="11" t="s">
        <v>47</v>
      </c>
      <c r="E47" s="112"/>
      <c r="F47" s="9">
        <f t="shared" ref="F47" si="156">E46/100*$D$5</f>
        <v>262.17391751999997</v>
      </c>
      <c r="G47" s="5"/>
      <c r="H47" s="5">
        <f t="shared" ref="H47" si="157">F47+G47+J46</f>
        <v>420.90124727999995</v>
      </c>
      <c r="I47" s="9"/>
      <c r="J47" s="5">
        <f t="shared" si="3"/>
        <v>420.90124727999995</v>
      </c>
      <c r="K47" s="6">
        <f t="shared" si="4"/>
        <v>0</v>
      </c>
      <c r="L47" s="102"/>
      <c r="M47" s="102"/>
      <c r="N47" s="102"/>
      <c r="O47" s="102"/>
      <c r="P47" s="102"/>
      <c r="Q47" s="101"/>
    </row>
    <row r="48" spans="2:17" x14ac:dyDescent="0.25">
      <c r="B48" s="123"/>
      <c r="C48" s="121" t="s">
        <v>28</v>
      </c>
      <c r="D48" s="11" t="s">
        <v>46</v>
      </c>
      <c r="E48" s="111">
        <v>0.475715</v>
      </c>
      <c r="F48" s="9">
        <f t="shared" ref="F48" si="158">E48/100*$D$4</f>
        <v>17.629997899999999</v>
      </c>
      <c r="G48" s="5"/>
      <c r="H48" s="5">
        <f t="shared" ref="H48" si="159">F48+G48</f>
        <v>17.629997899999999</v>
      </c>
      <c r="I48" s="9"/>
      <c r="J48" s="5">
        <f t="shared" si="3"/>
        <v>17.629997899999999</v>
      </c>
      <c r="K48" s="6">
        <f t="shared" si="4"/>
        <v>0</v>
      </c>
      <c r="L48" s="102">
        <f t="shared" ref="L48" si="160">F48+F49</f>
        <v>19.589943699999999</v>
      </c>
      <c r="M48" s="102">
        <f t="shared" ref="M48" si="161">G48+G49</f>
        <v>0</v>
      </c>
      <c r="N48" s="102">
        <f t="shared" ref="N48" si="162">L48+M48</f>
        <v>19.589943699999999</v>
      </c>
      <c r="O48" s="102">
        <f t="shared" ref="O48" si="163">I48+I49</f>
        <v>0</v>
      </c>
      <c r="P48" s="102">
        <f t="shared" ref="P48" si="164">N48-O48</f>
        <v>19.589943699999999</v>
      </c>
      <c r="Q48" s="101">
        <f t="shared" ref="Q48" si="165">O48/N48</f>
        <v>0</v>
      </c>
    </row>
    <row r="49" spans="2:17" x14ac:dyDescent="0.25">
      <c r="B49" s="123"/>
      <c r="C49" s="121"/>
      <c r="D49" s="11" t="s">
        <v>47</v>
      </c>
      <c r="E49" s="112"/>
      <c r="F49" s="9">
        <f t="shared" ref="F49" si="166">E48/100*$D$5</f>
        <v>1.9599458000000001</v>
      </c>
      <c r="G49" s="5"/>
      <c r="H49" s="5">
        <f t="shared" ref="H49" si="167">F49+G49+J48</f>
        <v>19.589943699999999</v>
      </c>
      <c r="I49" s="9"/>
      <c r="J49" s="5">
        <f t="shared" si="3"/>
        <v>19.589943699999999</v>
      </c>
      <c r="K49" s="6">
        <f t="shared" si="4"/>
        <v>0</v>
      </c>
      <c r="L49" s="102"/>
      <c r="M49" s="102"/>
      <c r="N49" s="102"/>
      <c r="O49" s="102"/>
      <c r="P49" s="102"/>
      <c r="Q49" s="101"/>
    </row>
    <row r="50" spans="2:17" x14ac:dyDescent="0.25">
      <c r="B50" s="123"/>
      <c r="C50" s="121" t="s">
        <v>29</v>
      </c>
      <c r="D50" s="11" t="s">
        <v>46</v>
      </c>
      <c r="E50" s="111">
        <v>3.9E-2</v>
      </c>
      <c r="F50" s="9">
        <f t="shared" ref="F50" si="168">E50/100*$D$4</f>
        <v>1.4453400000000001</v>
      </c>
      <c r="G50" s="5"/>
      <c r="H50" s="5">
        <f t="shared" ref="H50" si="169">F50+G50</f>
        <v>1.4453400000000001</v>
      </c>
      <c r="I50" s="9"/>
      <c r="J50" s="5">
        <f t="shared" si="3"/>
        <v>1.4453400000000001</v>
      </c>
      <c r="K50" s="6">
        <f t="shared" si="4"/>
        <v>0</v>
      </c>
      <c r="L50" s="102">
        <f t="shared" ref="L50" si="170">F50+F51</f>
        <v>1.60602</v>
      </c>
      <c r="M50" s="102">
        <f t="shared" ref="M50" si="171">G50+G51</f>
        <v>0</v>
      </c>
      <c r="N50" s="102">
        <f t="shared" ref="N50" si="172">L50+M50</f>
        <v>1.60602</v>
      </c>
      <c r="O50" s="102">
        <f t="shared" ref="O50" si="173">I50+I51</f>
        <v>0</v>
      </c>
      <c r="P50" s="102">
        <f t="shared" ref="P50" si="174">N50-O50</f>
        <v>1.60602</v>
      </c>
      <c r="Q50" s="101">
        <f t="shared" ref="Q50" si="175">O50/N50</f>
        <v>0</v>
      </c>
    </row>
    <row r="51" spans="2:17" x14ac:dyDescent="0.25">
      <c r="B51" s="123"/>
      <c r="C51" s="121"/>
      <c r="D51" s="11" t="s">
        <v>47</v>
      </c>
      <c r="E51" s="112"/>
      <c r="F51" s="9">
        <f t="shared" ref="F51" si="176">E50/100*$D$5</f>
        <v>0.16067999999999999</v>
      </c>
      <c r="G51" s="5"/>
      <c r="H51" s="5">
        <f t="shared" ref="H51" si="177">F51+G51+J50</f>
        <v>1.60602</v>
      </c>
      <c r="I51" s="9"/>
      <c r="J51" s="5">
        <f t="shared" si="3"/>
        <v>1.60602</v>
      </c>
      <c r="K51" s="6">
        <f t="shared" si="4"/>
        <v>0</v>
      </c>
      <c r="L51" s="102"/>
      <c r="M51" s="102"/>
      <c r="N51" s="102"/>
      <c r="O51" s="102"/>
      <c r="P51" s="102"/>
      <c r="Q51" s="101"/>
    </row>
    <row r="52" spans="2:17" x14ac:dyDescent="0.25">
      <c r="B52" s="123"/>
      <c r="C52" s="121" t="s">
        <v>30</v>
      </c>
      <c r="D52" s="11" t="s">
        <v>46</v>
      </c>
      <c r="E52" s="111">
        <v>5.7034960000000003</v>
      </c>
      <c r="F52" s="9">
        <f t="shared" ref="F52" si="178">E52/100*$D$4</f>
        <v>211.37156176000002</v>
      </c>
      <c r="G52" s="5"/>
      <c r="H52" s="5">
        <f t="shared" ref="H52" si="179">F52+G52</f>
        <v>211.37156176000002</v>
      </c>
      <c r="I52" s="68">
        <v>73.471000000000004</v>
      </c>
      <c r="J52" s="5">
        <f t="shared" si="3"/>
        <v>137.90056176000002</v>
      </c>
      <c r="K52" s="6">
        <f t="shared" si="4"/>
        <v>0.34759169771107623</v>
      </c>
      <c r="L52" s="102">
        <f t="shared" ref="L52" si="180">F52+F53</f>
        <v>234.86996528000003</v>
      </c>
      <c r="M52" s="102">
        <f t="shared" ref="M52" si="181">G52+G53</f>
        <v>0</v>
      </c>
      <c r="N52" s="102">
        <f t="shared" ref="N52" si="182">L52+M52</f>
        <v>234.86996528000003</v>
      </c>
      <c r="O52" s="102">
        <f t="shared" ref="O52" si="183">I52+I53</f>
        <v>73.471000000000004</v>
      </c>
      <c r="P52" s="102">
        <f t="shared" ref="P52" si="184">N52-O52</f>
        <v>161.39896528000003</v>
      </c>
      <c r="Q52" s="101">
        <f t="shared" ref="Q52" si="185">O52/N52</f>
        <v>0.31281564636164361</v>
      </c>
    </row>
    <row r="53" spans="2:17" x14ac:dyDescent="0.25">
      <c r="B53" s="123"/>
      <c r="C53" s="121"/>
      <c r="D53" s="11" t="s">
        <v>47</v>
      </c>
      <c r="E53" s="112"/>
      <c r="F53" s="9">
        <f t="shared" ref="F53" si="186">E52/100*$D$5</f>
        <v>23.49840352</v>
      </c>
      <c r="G53" s="5"/>
      <c r="H53" s="5">
        <f t="shared" ref="H53" si="187">F53+G53+J52</f>
        <v>161.39896528000003</v>
      </c>
      <c r="I53" s="9"/>
      <c r="J53" s="5">
        <f t="shared" si="3"/>
        <v>161.39896528000003</v>
      </c>
      <c r="K53" s="6">
        <f t="shared" si="4"/>
        <v>0</v>
      </c>
      <c r="L53" s="102"/>
      <c r="M53" s="102"/>
      <c r="N53" s="102"/>
      <c r="O53" s="102"/>
      <c r="P53" s="102"/>
      <c r="Q53" s="101"/>
    </row>
    <row r="54" spans="2:17" x14ac:dyDescent="0.25">
      <c r="B54" s="123"/>
      <c r="C54" s="121" t="s">
        <v>31</v>
      </c>
      <c r="D54" s="11" t="s">
        <v>46</v>
      </c>
      <c r="E54" s="111">
        <v>0.05</v>
      </c>
      <c r="F54" s="9">
        <f t="shared" ref="F54" si="188">E54/100*$D$4</f>
        <v>1.853</v>
      </c>
      <c r="G54" s="5"/>
      <c r="H54" s="5">
        <f t="shared" ref="H54" si="189">F54+G54</f>
        <v>1.853</v>
      </c>
      <c r="I54" s="9"/>
      <c r="J54" s="5">
        <f t="shared" si="3"/>
        <v>1.853</v>
      </c>
      <c r="K54" s="6">
        <f t="shared" si="4"/>
        <v>0</v>
      </c>
      <c r="L54" s="102">
        <f t="shared" ref="L54" si="190">F54+F55</f>
        <v>2.0590000000000002</v>
      </c>
      <c r="M54" s="102">
        <f t="shared" ref="M54" si="191">G54+G55</f>
        <v>0</v>
      </c>
      <c r="N54" s="102">
        <f t="shared" ref="N54" si="192">L54+M54</f>
        <v>2.0590000000000002</v>
      </c>
      <c r="O54" s="102">
        <f t="shared" ref="O54" si="193">I54+I55</f>
        <v>0</v>
      </c>
      <c r="P54" s="102">
        <f t="shared" ref="P54" si="194">N54-O54</f>
        <v>2.0590000000000002</v>
      </c>
      <c r="Q54" s="101">
        <f t="shared" ref="Q54" si="195">O54/N54</f>
        <v>0</v>
      </c>
    </row>
    <row r="55" spans="2:17" x14ac:dyDescent="0.25">
      <c r="B55" s="123"/>
      <c r="C55" s="121"/>
      <c r="D55" s="11" t="s">
        <v>47</v>
      </c>
      <c r="E55" s="112"/>
      <c r="F55" s="9">
        <f t="shared" ref="F55" si="196">E54/100*$D$5</f>
        <v>0.20600000000000002</v>
      </c>
      <c r="G55" s="5"/>
      <c r="H55" s="5">
        <f t="shared" ref="H55" si="197">F55+G55+J54</f>
        <v>2.0590000000000002</v>
      </c>
      <c r="I55" s="9"/>
      <c r="J55" s="5">
        <f t="shared" si="3"/>
        <v>2.0590000000000002</v>
      </c>
      <c r="K55" s="6">
        <f t="shared" si="4"/>
        <v>0</v>
      </c>
      <c r="L55" s="102"/>
      <c r="M55" s="102"/>
      <c r="N55" s="102"/>
      <c r="O55" s="102"/>
      <c r="P55" s="102"/>
      <c r="Q55" s="101"/>
    </row>
    <row r="56" spans="2:17" x14ac:dyDescent="0.25">
      <c r="B56" s="123"/>
      <c r="C56" s="121" t="s">
        <v>32</v>
      </c>
      <c r="D56" s="11" t="s">
        <v>46</v>
      </c>
      <c r="E56" s="111">
        <v>1.0644999999999999E-3</v>
      </c>
      <c r="F56" s="9">
        <f t="shared" ref="F56" si="198">E56/100*$D$4</f>
        <v>3.9450369999999998E-2</v>
      </c>
      <c r="G56" s="5"/>
      <c r="H56" s="5">
        <f t="shared" ref="H56" si="199">F56+G56</f>
        <v>3.9450369999999998E-2</v>
      </c>
      <c r="I56" s="9"/>
      <c r="J56" s="5">
        <f t="shared" si="3"/>
        <v>3.9450369999999998E-2</v>
      </c>
      <c r="K56" s="6">
        <f t="shared" si="4"/>
        <v>0</v>
      </c>
      <c r="L56" s="102">
        <f t="shared" ref="L56" si="200">F56+F57</f>
        <v>4.3836109999999998E-2</v>
      </c>
      <c r="M56" s="102">
        <f t="shared" ref="M56" si="201">G56+G57</f>
        <v>0</v>
      </c>
      <c r="N56" s="102">
        <f t="shared" ref="N56" si="202">L56+M56</f>
        <v>4.3836109999999998E-2</v>
      </c>
      <c r="O56" s="102">
        <f t="shared" ref="O56" si="203">I56+I57</f>
        <v>0</v>
      </c>
      <c r="P56" s="102">
        <f t="shared" ref="P56" si="204">N56-O56</f>
        <v>4.3836109999999998E-2</v>
      </c>
      <c r="Q56" s="101">
        <f t="shared" ref="Q56" si="205">O56/N56</f>
        <v>0</v>
      </c>
    </row>
    <row r="57" spans="2:17" x14ac:dyDescent="0.25">
      <c r="B57" s="123"/>
      <c r="C57" s="121"/>
      <c r="D57" s="11" t="s">
        <v>47</v>
      </c>
      <c r="E57" s="112"/>
      <c r="F57" s="9">
        <f t="shared" ref="F57" si="206">E56/100*$D$5</f>
        <v>4.38574E-3</v>
      </c>
      <c r="G57" s="5"/>
      <c r="H57" s="5">
        <f t="shared" ref="H57" si="207">F57+G57+J56</f>
        <v>4.3836109999999998E-2</v>
      </c>
      <c r="I57" s="9"/>
      <c r="J57" s="5">
        <f t="shared" si="3"/>
        <v>4.3836109999999998E-2</v>
      </c>
      <c r="K57" s="6">
        <f t="shared" si="4"/>
        <v>0</v>
      </c>
      <c r="L57" s="102"/>
      <c r="M57" s="102"/>
      <c r="N57" s="102"/>
      <c r="O57" s="102"/>
      <c r="P57" s="102"/>
      <c r="Q57" s="101"/>
    </row>
    <row r="58" spans="2:17" x14ac:dyDescent="0.25">
      <c r="B58" s="123"/>
      <c r="C58" s="121" t="s">
        <v>33</v>
      </c>
      <c r="D58" s="11" t="s">
        <v>46</v>
      </c>
      <c r="E58" s="111">
        <v>15.849621000000001</v>
      </c>
      <c r="F58" s="9">
        <f t="shared" ref="F58" si="208">E58/100*$D$4</f>
        <v>587.38695426000004</v>
      </c>
      <c r="G58" s="5">
        <f>-432.550602</f>
        <v>-432.55060200000003</v>
      </c>
      <c r="H58" s="5">
        <f t="shared" ref="H58" si="209">F58+G58</f>
        <v>154.83635226000001</v>
      </c>
      <c r="I58" s="68">
        <v>0.308</v>
      </c>
      <c r="J58" s="5">
        <f t="shared" si="3"/>
        <v>154.52835226000002</v>
      </c>
      <c r="K58" s="6">
        <f t="shared" si="4"/>
        <v>1.9891969521653981E-3</v>
      </c>
      <c r="L58" s="102">
        <f t="shared" ref="L58" si="210">F58+F59</f>
        <v>652.68739277999998</v>
      </c>
      <c r="M58" s="102">
        <f t="shared" ref="M58" si="211">G58+G59</f>
        <v>-432.55060200000003</v>
      </c>
      <c r="N58" s="102">
        <f t="shared" ref="N58" si="212">L58+M58</f>
        <v>220.13679077999996</v>
      </c>
      <c r="O58" s="102">
        <f t="shared" ref="O58" si="213">I58+I59</f>
        <v>0.308</v>
      </c>
      <c r="P58" s="102">
        <f t="shared" ref="P58" si="214">N58-O58</f>
        <v>219.82879077999996</v>
      </c>
      <c r="Q58" s="101">
        <f t="shared" ref="Q58" si="215">O58/N58</f>
        <v>1.3991300541298826E-3</v>
      </c>
    </row>
    <row r="59" spans="2:17" x14ac:dyDescent="0.25">
      <c r="B59" s="123"/>
      <c r="C59" s="121"/>
      <c r="D59" s="11" t="s">
        <v>47</v>
      </c>
      <c r="E59" s="112"/>
      <c r="F59" s="9">
        <f t="shared" ref="F59" si="216">E58/100*$D$5</f>
        <v>65.30043852</v>
      </c>
      <c r="G59" s="5"/>
      <c r="H59" s="5">
        <f t="shared" ref="H59" si="217">F59+G59+J58</f>
        <v>219.82879078000002</v>
      </c>
      <c r="I59" s="9"/>
      <c r="J59" s="5">
        <f t="shared" si="3"/>
        <v>219.82879078000002</v>
      </c>
      <c r="K59" s="6">
        <f t="shared" si="4"/>
        <v>0</v>
      </c>
      <c r="L59" s="102"/>
      <c r="M59" s="102"/>
      <c r="N59" s="102"/>
      <c r="O59" s="102"/>
      <c r="P59" s="102"/>
      <c r="Q59" s="101"/>
    </row>
    <row r="60" spans="2:17" x14ac:dyDescent="0.25">
      <c r="B60" s="123"/>
      <c r="C60" s="121" t="s">
        <v>34</v>
      </c>
      <c r="D60" s="11" t="s">
        <v>46</v>
      </c>
      <c r="E60" s="111">
        <v>9.0399999999999996E-4</v>
      </c>
      <c r="F60" s="9">
        <f t="shared" ref="F60" si="218">E60/100*$D$4</f>
        <v>3.3502240000000003E-2</v>
      </c>
      <c r="G60" s="5"/>
      <c r="H60" s="5">
        <f t="shared" ref="H60" si="219">F60+G60</f>
        <v>3.3502240000000003E-2</v>
      </c>
      <c r="I60" s="9"/>
      <c r="J60" s="5">
        <f t="shared" si="3"/>
        <v>3.3502240000000003E-2</v>
      </c>
      <c r="K60" s="6">
        <f t="shared" si="4"/>
        <v>0</v>
      </c>
      <c r="L60" s="102">
        <f t="shared" ref="L60" si="220">F60+F61</f>
        <v>3.7226720000000005E-2</v>
      </c>
      <c r="M60" s="102">
        <f t="shared" ref="M60" si="221">G60+G61</f>
        <v>0</v>
      </c>
      <c r="N60" s="102">
        <f t="shared" ref="N60" si="222">L60+M60</f>
        <v>3.7226720000000005E-2</v>
      </c>
      <c r="O60" s="102">
        <f t="shared" ref="O60" si="223">I60+I61</f>
        <v>0</v>
      </c>
      <c r="P60" s="102">
        <f t="shared" ref="P60" si="224">N60-O60</f>
        <v>3.7226720000000005E-2</v>
      </c>
      <c r="Q60" s="101">
        <f t="shared" ref="Q60" si="225">O60/N60</f>
        <v>0</v>
      </c>
    </row>
    <row r="61" spans="2:17" x14ac:dyDescent="0.25">
      <c r="B61" s="123"/>
      <c r="C61" s="121"/>
      <c r="D61" s="11" t="s">
        <v>47</v>
      </c>
      <c r="E61" s="112"/>
      <c r="F61" s="9">
        <f t="shared" ref="F61" si="226">E60/100*$D$5</f>
        <v>3.7244800000000001E-3</v>
      </c>
      <c r="G61" s="5"/>
      <c r="H61" s="5">
        <f t="shared" ref="H61" si="227">F61+G61+J60</f>
        <v>3.7226720000000005E-2</v>
      </c>
      <c r="I61" s="9"/>
      <c r="J61" s="5">
        <f t="shared" si="3"/>
        <v>3.7226720000000005E-2</v>
      </c>
      <c r="K61" s="6">
        <f t="shared" si="4"/>
        <v>0</v>
      </c>
      <c r="L61" s="102"/>
      <c r="M61" s="102"/>
      <c r="N61" s="102"/>
      <c r="O61" s="102"/>
      <c r="P61" s="102"/>
      <c r="Q61" s="101"/>
    </row>
    <row r="62" spans="2:17" x14ac:dyDescent="0.25">
      <c r="B62" s="123"/>
      <c r="C62" s="121" t="s">
        <v>35</v>
      </c>
      <c r="D62" s="11" t="s">
        <v>46</v>
      </c>
      <c r="E62" s="111">
        <v>0.39516200000000001</v>
      </c>
      <c r="F62" s="9">
        <f t="shared" ref="F62" si="228">E62/100*$D$4</f>
        <v>14.644703720000001</v>
      </c>
      <c r="G62" s="5"/>
      <c r="H62" s="5">
        <f t="shared" ref="H62" si="229">F62+G62</f>
        <v>14.644703720000001</v>
      </c>
      <c r="I62" s="9"/>
      <c r="J62" s="5">
        <f t="shared" si="3"/>
        <v>14.644703720000001</v>
      </c>
      <c r="K62" s="6">
        <f t="shared" si="4"/>
        <v>0</v>
      </c>
      <c r="L62" s="102">
        <f t="shared" ref="L62" si="230">F62+F63</f>
        <v>16.272771160000001</v>
      </c>
      <c r="M62" s="102">
        <f t="shared" ref="M62" si="231">G62+G63</f>
        <v>0</v>
      </c>
      <c r="N62" s="102">
        <f t="shared" ref="N62" si="232">L62+M62</f>
        <v>16.272771160000001</v>
      </c>
      <c r="O62" s="102">
        <f t="shared" ref="O62" si="233">I62+I63</f>
        <v>0</v>
      </c>
      <c r="P62" s="102">
        <f t="shared" ref="P62" si="234">N62-O62</f>
        <v>16.272771160000001</v>
      </c>
      <c r="Q62" s="101">
        <f t="shared" ref="Q62" si="235">O62/N62</f>
        <v>0</v>
      </c>
    </row>
    <row r="63" spans="2:17" x14ac:dyDescent="0.25">
      <c r="B63" s="123"/>
      <c r="C63" s="121"/>
      <c r="D63" s="11" t="s">
        <v>47</v>
      </c>
      <c r="E63" s="112"/>
      <c r="F63" s="9">
        <f t="shared" ref="F63" si="236">E62/100*$D$5</f>
        <v>1.6280674400000001</v>
      </c>
      <c r="G63" s="5"/>
      <c r="H63" s="5">
        <f t="shared" ref="H63" si="237">F63+G63+J62</f>
        <v>16.272771160000001</v>
      </c>
      <c r="I63" s="9"/>
      <c r="J63" s="5">
        <f t="shared" si="3"/>
        <v>16.272771160000001</v>
      </c>
      <c r="K63" s="6">
        <f t="shared" si="4"/>
        <v>0</v>
      </c>
      <c r="L63" s="102"/>
      <c r="M63" s="102"/>
      <c r="N63" s="102"/>
      <c r="O63" s="102"/>
      <c r="P63" s="102"/>
      <c r="Q63" s="101"/>
    </row>
    <row r="64" spans="2:17" x14ac:dyDescent="0.25">
      <c r="B64" s="123"/>
      <c r="C64" s="121" t="s">
        <v>36</v>
      </c>
      <c r="D64" s="11" t="s">
        <v>46</v>
      </c>
      <c r="E64" s="111">
        <v>0.22450000000000001</v>
      </c>
      <c r="F64" s="9">
        <f t="shared" ref="F64" si="238">E64/100*$D$4</f>
        <v>8.3199699999999996</v>
      </c>
      <c r="G64" s="5"/>
      <c r="H64" s="5">
        <f t="shared" ref="H64:H68" si="239">F64+G64</f>
        <v>8.3199699999999996</v>
      </c>
      <c r="I64" s="9"/>
      <c r="J64" s="5">
        <f t="shared" si="3"/>
        <v>8.3199699999999996</v>
      </c>
      <c r="K64" s="6">
        <f t="shared" si="4"/>
        <v>0</v>
      </c>
      <c r="L64" s="102">
        <f t="shared" ref="L64" si="240">F64+F65</f>
        <v>9.2449099999999991</v>
      </c>
      <c r="M64" s="102">
        <f t="shared" ref="M64" si="241">G64+G65</f>
        <v>0</v>
      </c>
      <c r="N64" s="102">
        <f t="shared" ref="N64" si="242">L64+M64</f>
        <v>9.2449099999999991</v>
      </c>
      <c r="O64" s="102">
        <f t="shared" ref="O64" si="243">I64+I65</f>
        <v>0</v>
      </c>
      <c r="P64" s="102">
        <f t="shared" ref="P64" si="244">N64-O64</f>
        <v>9.2449099999999991</v>
      </c>
      <c r="Q64" s="101">
        <f t="shared" ref="Q64" si="245">O64/N64</f>
        <v>0</v>
      </c>
    </row>
    <row r="65" spans="2:17" x14ac:dyDescent="0.25">
      <c r="B65" s="123"/>
      <c r="C65" s="121"/>
      <c r="D65" s="11" t="s">
        <v>47</v>
      </c>
      <c r="E65" s="112"/>
      <c r="F65" s="9">
        <f t="shared" ref="F65" si="246">E64/100*$D$5</f>
        <v>0.92493999999999998</v>
      </c>
      <c r="G65" s="5"/>
      <c r="H65" s="5">
        <f t="shared" ref="H65:H69" si="247">F65+G65+J64</f>
        <v>9.2449099999999991</v>
      </c>
      <c r="I65" s="9"/>
      <c r="J65" s="5">
        <f t="shared" si="3"/>
        <v>9.2449099999999991</v>
      </c>
      <c r="K65" s="6">
        <f t="shared" si="4"/>
        <v>0</v>
      </c>
      <c r="L65" s="102"/>
      <c r="M65" s="102"/>
      <c r="N65" s="102"/>
      <c r="O65" s="102"/>
      <c r="P65" s="102"/>
      <c r="Q65" s="101"/>
    </row>
    <row r="66" spans="2:17" x14ac:dyDescent="0.25">
      <c r="B66" s="123"/>
      <c r="C66" s="125" t="s">
        <v>114</v>
      </c>
      <c r="D66" s="48" t="s">
        <v>46</v>
      </c>
      <c r="E66" s="111"/>
      <c r="F66" s="9">
        <v>0</v>
      </c>
      <c r="G66" s="50">
        <f>489.342</f>
        <v>489.34199999999998</v>
      </c>
      <c r="H66" s="50">
        <f t="shared" si="239"/>
        <v>489.34199999999998</v>
      </c>
      <c r="I66" s="68">
        <v>262.59100000000001</v>
      </c>
      <c r="J66" s="50">
        <f t="shared" si="3"/>
        <v>226.75099999999998</v>
      </c>
      <c r="K66" s="49">
        <f t="shared" si="4"/>
        <v>0.53662060481217644</v>
      </c>
      <c r="L66" s="102">
        <f t="shared" ref="L66" si="248">F66+F67</f>
        <v>0</v>
      </c>
      <c r="M66" s="102">
        <f t="shared" ref="M66" si="249">G66+G67</f>
        <v>489.34199999999998</v>
      </c>
      <c r="N66" s="102">
        <f t="shared" ref="N66" si="250">L66+M66</f>
        <v>489.34199999999998</v>
      </c>
      <c r="O66" s="102">
        <f t="shared" ref="O66" si="251">I66+I67</f>
        <v>262.59100000000001</v>
      </c>
      <c r="P66" s="102">
        <f>N66-O66</f>
        <v>226.75099999999998</v>
      </c>
      <c r="Q66" s="101">
        <f t="shared" ref="Q66" si="252">O66/N66</f>
        <v>0.53662060481217644</v>
      </c>
    </row>
    <row r="67" spans="2:17" x14ac:dyDescent="0.25">
      <c r="B67" s="123"/>
      <c r="C67" s="126"/>
      <c r="D67" s="48" t="s">
        <v>47</v>
      </c>
      <c r="E67" s="112"/>
      <c r="F67" s="9">
        <v>0</v>
      </c>
      <c r="G67" s="50"/>
      <c r="H67" s="50">
        <f t="shared" si="247"/>
        <v>226.75099999999998</v>
      </c>
      <c r="I67" s="50"/>
      <c r="J67" s="50">
        <f t="shared" si="3"/>
        <v>226.75099999999998</v>
      </c>
      <c r="K67" s="49">
        <f t="shared" si="4"/>
        <v>0</v>
      </c>
      <c r="L67" s="102"/>
      <c r="M67" s="102"/>
      <c r="N67" s="102"/>
      <c r="O67" s="102"/>
      <c r="P67" s="102"/>
      <c r="Q67" s="101"/>
    </row>
    <row r="68" spans="2:17" x14ac:dyDescent="0.25">
      <c r="B68" s="123"/>
      <c r="C68" s="125" t="s">
        <v>116</v>
      </c>
      <c r="D68" s="52" t="s">
        <v>46</v>
      </c>
      <c r="E68" s="111"/>
      <c r="F68" s="9">
        <v>0</v>
      </c>
      <c r="G68" s="54">
        <f>223.279</f>
        <v>223.279</v>
      </c>
      <c r="H68" s="54">
        <f t="shared" si="239"/>
        <v>223.279</v>
      </c>
      <c r="I68" s="68">
        <v>23.335000000000001</v>
      </c>
      <c r="J68" s="54">
        <f t="shared" si="3"/>
        <v>199.94399999999999</v>
      </c>
      <c r="K68" s="53">
        <f t="shared" si="4"/>
        <v>0.10451050031574846</v>
      </c>
      <c r="L68" s="102">
        <f t="shared" ref="L68" si="253">F68+F69</f>
        <v>0</v>
      </c>
      <c r="M68" s="102">
        <f t="shared" ref="M68" si="254">G68+G69</f>
        <v>223.279</v>
      </c>
      <c r="N68" s="102">
        <f t="shared" ref="N68" si="255">L68+M68</f>
        <v>223.279</v>
      </c>
      <c r="O68" s="102">
        <f t="shared" ref="O68" si="256">I68+I69</f>
        <v>23.335000000000001</v>
      </c>
      <c r="P68" s="102">
        <f>N68-O68</f>
        <v>199.94399999999999</v>
      </c>
      <c r="Q68" s="101">
        <f t="shared" ref="Q68" si="257">O68/N68</f>
        <v>0.10451050031574846</v>
      </c>
    </row>
    <row r="69" spans="2:17" x14ac:dyDescent="0.25">
      <c r="B69" s="124"/>
      <c r="C69" s="126"/>
      <c r="D69" s="52" t="s">
        <v>47</v>
      </c>
      <c r="E69" s="112"/>
      <c r="F69" s="9">
        <v>0</v>
      </c>
      <c r="G69" s="54"/>
      <c r="H69" s="54">
        <f t="shared" si="247"/>
        <v>199.94399999999999</v>
      </c>
      <c r="I69" s="54"/>
      <c r="J69" s="54">
        <f t="shared" si="3"/>
        <v>199.94399999999999</v>
      </c>
      <c r="K69" s="53">
        <f t="shared" si="4"/>
        <v>0</v>
      </c>
      <c r="L69" s="102"/>
      <c r="M69" s="102"/>
      <c r="N69" s="102"/>
      <c r="O69" s="102"/>
      <c r="P69" s="102"/>
      <c r="Q69" s="101"/>
    </row>
    <row r="70" spans="2:17" x14ac:dyDescent="0.25">
      <c r="B70" s="110" t="s">
        <v>13</v>
      </c>
      <c r="C70" s="110"/>
      <c r="D70" s="39" t="s">
        <v>49</v>
      </c>
      <c r="E70" s="56">
        <f>SUM(E40:E67)</f>
        <v>99.500004500000003</v>
      </c>
      <c r="F70" s="30">
        <f>SUM(F14:F65)</f>
        <v>5321.2602406599999</v>
      </c>
      <c r="G70" s="30">
        <f>SUM(G14:G69)</f>
        <v>0</v>
      </c>
      <c r="H70" s="30">
        <f>F70+G70</f>
        <v>5321.2602406599999</v>
      </c>
      <c r="I70" s="30">
        <f>SUM(I14:I69)</f>
        <v>3334.5750000000003</v>
      </c>
      <c r="J70" s="30">
        <f>H70-I70</f>
        <v>1986.6852406599996</v>
      </c>
      <c r="K70" s="31">
        <f>I70/H70</f>
        <v>0.62665136625349682</v>
      </c>
      <c r="L70" s="30">
        <f>SUM(L14:L69)</f>
        <v>5321.260240659999</v>
      </c>
      <c r="M70" s="30">
        <f>SUM(M14:M69)</f>
        <v>0</v>
      </c>
      <c r="N70" s="30">
        <f>L70+M70</f>
        <v>5321.260240659999</v>
      </c>
      <c r="O70" s="30">
        <f>SUM(O14:O69)</f>
        <v>3334.5750000000003</v>
      </c>
      <c r="P70" s="30">
        <f>N70-O70</f>
        <v>1986.6852406599987</v>
      </c>
      <c r="Q70" s="31">
        <f>O70/N70</f>
        <v>0.62665136625349693</v>
      </c>
    </row>
  </sheetData>
  <mergeCells count="229">
    <mergeCell ref="L68:L69"/>
    <mergeCell ref="M68:M69"/>
    <mergeCell ref="N68:N69"/>
    <mergeCell ref="O68:O69"/>
    <mergeCell ref="P68:P69"/>
    <mergeCell ref="Q68:Q69"/>
    <mergeCell ref="C66:C67"/>
    <mergeCell ref="L66:L67"/>
    <mergeCell ref="M66:M67"/>
    <mergeCell ref="N66:N67"/>
    <mergeCell ref="O66:O67"/>
    <mergeCell ref="P66:P67"/>
    <mergeCell ref="Q66:Q67"/>
    <mergeCell ref="E66:E67"/>
    <mergeCell ref="E68:E69"/>
    <mergeCell ref="B70:C70"/>
    <mergeCell ref="C62:C63"/>
    <mergeCell ref="C64:C65"/>
    <mergeCell ref="C40:C41"/>
    <mergeCell ref="C42:C43"/>
    <mergeCell ref="C44:C45"/>
    <mergeCell ref="C46:C47"/>
    <mergeCell ref="C48:C49"/>
    <mergeCell ref="C50:C51"/>
    <mergeCell ref="C52:C53"/>
    <mergeCell ref="C54:C55"/>
    <mergeCell ref="C56:C57"/>
    <mergeCell ref="C58:C59"/>
    <mergeCell ref="C60:C61"/>
    <mergeCell ref="B40:B69"/>
    <mergeCell ref="C68:C69"/>
    <mergeCell ref="B10:Q10"/>
    <mergeCell ref="B11:Q11"/>
    <mergeCell ref="B14:B39"/>
    <mergeCell ref="C14:C15"/>
    <mergeCell ref="C16:C17"/>
    <mergeCell ref="C18:C19"/>
    <mergeCell ref="C20:C21"/>
    <mergeCell ref="C22:C23"/>
    <mergeCell ref="C24:C25"/>
    <mergeCell ref="C26:C27"/>
    <mergeCell ref="C28:C29"/>
    <mergeCell ref="C38:C39"/>
    <mergeCell ref="E18:E19"/>
    <mergeCell ref="E20:E21"/>
    <mergeCell ref="E22:E23"/>
    <mergeCell ref="E24:E25"/>
    <mergeCell ref="E26:E27"/>
    <mergeCell ref="E28:E29"/>
    <mergeCell ref="C30:C31"/>
    <mergeCell ref="C32:C33"/>
    <mergeCell ref="C34:C35"/>
    <mergeCell ref="C36:C37"/>
    <mergeCell ref="E30:E31"/>
    <mergeCell ref="E32:E33"/>
    <mergeCell ref="E14:E15"/>
    <mergeCell ref="E16:E17"/>
    <mergeCell ref="E56:E57"/>
    <mergeCell ref="L56:L57"/>
    <mergeCell ref="E52:E53"/>
    <mergeCell ref="L52:L53"/>
    <mergeCell ref="L58:L59"/>
    <mergeCell ref="E34:E35"/>
    <mergeCell ref="E36:E37"/>
    <mergeCell ref="E38:E39"/>
    <mergeCell ref="L14:L15"/>
    <mergeCell ref="L18:L19"/>
    <mergeCell ref="L22:L23"/>
    <mergeCell ref="L26:L27"/>
    <mergeCell ref="L30:L31"/>
    <mergeCell ref="L34:L35"/>
    <mergeCell ref="L38:L39"/>
    <mergeCell ref="E42:E43"/>
    <mergeCell ref="L42:L43"/>
    <mergeCell ref="E50:E51"/>
    <mergeCell ref="L50:L51"/>
    <mergeCell ref="E54:E55"/>
    <mergeCell ref="L54:L55"/>
    <mergeCell ref="E58:E59"/>
    <mergeCell ref="M18:M19"/>
    <mergeCell ref="N18:N19"/>
    <mergeCell ref="O18:O19"/>
    <mergeCell ref="P18:P19"/>
    <mergeCell ref="Q18:Q19"/>
    <mergeCell ref="L20:L21"/>
    <mergeCell ref="M20:M21"/>
    <mergeCell ref="N20:N21"/>
    <mergeCell ref="O20:O21"/>
    <mergeCell ref="P20:P21"/>
    <mergeCell ref="Q20:Q21"/>
    <mergeCell ref="M14:M15"/>
    <mergeCell ref="N14:N15"/>
    <mergeCell ref="O14:O15"/>
    <mergeCell ref="P14:P15"/>
    <mergeCell ref="Q14:Q15"/>
    <mergeCell ref="L16:L17"/>
    <mergeCell ref="M16:M17"/>
    <mergeCell ref="N16:N17"/>
    <mergeCell ref="O16:O17"/>
    <mergeCell ref="P16:P17"/>
    <mergeCell ref="Q16:Q17"/>
    <mergeCell ref="N22:N23"/>
    <mergeCell ref="O22:O23"/>
    <mergeCell ref="P22:P23"/>
    <mergeCell ref="Q22:Q23"/>
    <mergeCell ref="L24:L25"/>
    <mergeCell ref="M24:M25"/>
    <mergeCell ref="N24:N25"/>
    <mergeCell ref="O24:O25"/>
    <mergeCell ref="P24:P25"/>
    <mergeCell ref="Q24:Q25"/>
    <mergeCell ref="M22:M23"/>
    <mergeCell ref="M26:M27"/>
    <mergeCell ref="N26:N27"/>
    <mergeCell ref="O26:O27"/>
    <mergeCell ref="P26:P27"/>
    <mergeCell ref="Q26:Q27"/>
    <mergeCell ref="L28:L29"/>
    <mergeCell ref="M28:M29"/>
    <mergeCell ref="N28:N29"/>
    <mergeCell ref="O28:O29"/>
    <mergeCell ref="P28:P29"/>
    <mergeCell ref="Q28:Q29"/>
    <mergeCell ref="M30:M31"/>
    <mergeCell ref="N30:N31"/>
    <mergeCell ref="O30:O31"/>
    <mergeCell ref="P30:P31"/>
    <mergeCell ref="Q30:Q31"/>
    <mergeCell ref="L32:L33"/>
    <mergeCell ref="M32:M33"/>
    <mergeCell ref="N32:N33"/>
    <mergeCell ref="O32:O33"/>
    <mergeCell ref="P32:P33"/>
    <mergeCell ref="Q32:Q33"/>
    <mergeCell ref="M34:M35"/>
    <mergeCell ref="N34:N35"/>
    <mergeCell ref="O34:O35"/>
    <mergeCell ref="P34:P35"/>
    <mergeCell ref="Q34:Q35"/>
    <mergeCell ref="L36:L37"/>
    <mergeCell ref="M36:M37"/>
    <mergeCell ref="N36:N37"/>
    <mergeCell ref="O36:O37"/>
    <mergeCell ref="P36:P37"/>
    <mergeCell ref="Q36:Q37"/>
    <mergeCell ref="M38:M39"/>
    <mergeCell ref="N38:N39"/>
    <mergeCell ref="O38:O39"/>
    <mergeCell ref="P38:P39"/>
    <mergeCell ref="Q38:Q39"/>
    <mergeCell ref="E40:E41"/>
    <mergeCell ref="L40:L41"/>
    <mergeCell ref="M40:M41"/>
    <mergeCell ref="N40:N41"/>
    <mergeCell ref="O40:O41"/>
    <mergeCell ref="P40:P41"/>
    <mergeCell ref="Q40:Q41"/>
    <mergeCell ref="O42:O43"/>
    <mergeCell ref="P42:P43"/>
    <mergeCell ref="Q42:Q43"/>
    <mergeCell ref="E44:E45"/>
    <mergeCell ref="L44:L45"/>
    <mergeCell ref="M44:M45"/>
    <mergeCell ref="N44:N45"/>
    <mergeCell ref="O44:O45"/>
    <mergeCell ref="P44:P45"/>
    <mergeCell ref="Q44:Q45"/>
    <mergeCell ref="M42:M43"/>
    <mergeCell ref="N42:N43"/>
    <mergeCell ref="M46:M47"/>
    <mergeCell ref="N46:N47"/>
    <mergeCell ref="O46:O47"/>
    <mergeCell ref="P46:P47"/>
    <mergeCell ref="Q46:Q47"/>
    <mergeCell ref="E48:E49"/>
    <mergeCell ref="L48:L49"/>
    <mergeCell ref="M48:M49"/>
    <mergeCell ref="N48:N49"/>
    <mergeCell ref="O48:O49"/>
    <mergeCell ref="P48:P49"/>
    <mergeCell ref="Q48:Q49"/>
    <mergeCell ref="E46:E47"/>
    <mergeCell ref="L46:L47"/>
    <mergeCell ref="M50:M51"/>
    <mergeCell ref="N50:N51"/>
    <mergeCell ref="O50:O51"/>
    <mergeCell ref="P50:P51"/>
    <mergeCell ref="Q50:Q51"/>
    <mergeCell ref="M52:M53"/>
    <mergeCell ref="N52:N53"/>
    <mergeCell ref="O52:O53"/>
    <mergeCell ref="P52:P53"/>
    <mergeCell ref="Q52:Q53"/>
    <mergeCell ref="M58:M59"/>
    <mergeCell ref="N58:N59"/>
    <mergeCell ref="O58:O59"/>
    <mergeCell ref="P58:P59"/>
    <mergeCell ref="Q58:Q59"/>
    <mergeCell ref="E60:E61"/>
    <mergeCell ref="L60:L61"/>
    <mergeCell ref="M60:M61"/>
    <mergeCell ref="N60:N61"/>
    <mergeCell ref="O60:O61"/>
    <mergeCell ref="P60:P61"/>
    <mergeCell ref="Q60:Q61"/>
    <mergeCell ref="M54:M55"/>
    <mergeCell ref="N54:N55"/>
    <mergeCell ref="O54:O55"/>
    <mergeCell ref="P54:P55"/>
    <mergeCell ref="Q54:Q55"/>
    <mergeCell ref="M56:M57"/>
    <mergeCell ref="N56:N57"/>
    <mergeCell ref="O56:O57"/>
    <mergeCell ref="P56:P57"/>
    <mergeCell ref="Q56:Q57"/>
    <mergeCell ref="L62:L63"/>
    <mergeCell ref="M62:M63"/>
    <mergeCell ref="N62:N63"/>
    <mergeCell ref="O62:O63"/>
    <mergeCell ref="P62:P63"/>
    <mergeCell ref="Q62:Q63"/>
    <mergeCell ref="E64:E65"/>
    <mergeCell ref="L64:L65"/>
    <mergeCell ref="M64:M65"/>
    <mergeCell ref="N64:N65"/>
    <mergeCell ref="O64:O65"/>
    <mergeCell ref="P64:P65"/>
    <mergeCell ref="Q64:Q65"/>
    <mergeCell ref="E62:E63"/>
  </mergeCells>
  <conditionalFormatting sqref="K14:K69">
    <cfRule type="cellIs" dxfId="1" priority="2" operator="greaterThan">
      <formula>1</formula>
    </cfRule>
  </conditionalFormatting>
  <conditionalFormatting sqref="Q14:Q69">
    <cfRule type="cellIs" dxfId="0" priority="1" operator="greaterThan">
      <formula>100%</formula>
    </cfRule>
  </conditionalFormatting>
  <pageMargins left="0.7" right="0.7" top="0.75" bottom="0.75" header="0.3" footer="0.3"/>
  <pageSetup paperSize="9" orientation="portrait" r:id="rId1"/>
  <ignoredErrors>
    <ignoredError sqref="F15:N15 F37:N39 F36:H36 J36:N36 F47:N51 F46 J46:N46 F23:N25 F22:H22 J22:N22 F70 F35:N35 F34:H34 J34:N34 F59:N65 F58:H58 J58:N58 F27:N33 F26 J26:N26 F14 J14:N14 H46 F21:N21 F20 H20:N20 H26 F67:N67 F66:H66 J66:N66 H14 F45:N45 F44 H44 F19:N19 F18 H18 F41:N43 F40 H40:N40 J18:N18 F53:N57 F52:H52 J52:N52 J44:N44 F17:N17 F16:H16 J16:N16" formula="1"/>
  </ignoredError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142"/>
  <sheetViews>
    <sheetView workbookViewId="0">
      <selection activeCell="L13" sqref="L13"/>
    </sheetView>
  </sheetViews>
  <sheetFormatPr baseColWidth="10" defaultColWidth="11.44140625" defaultRowHeight="12" x14ac:dyDescent="0.25"/>
  <cols>
    <col min="1" max="1" width="29" style="18" bestFit="1" customWidth="1"/>
    <col min="2" max="2" width="23.44140625" style="18" bestFit="1" customWidth="1"/>
    <col min="3" max="3" width="6" style="18" bestFit="1" customWidth="1"/>
    <col min="4" max="4" width="14.44140625" style="18" bestFit="1" customWidth="1"/>
    <col min="5" max="5" width="31.88671875" style="18" bestFit="1" customWidth="1"/>
    <col min="6" max="6" width="10.88671875" style="18" bestFit="1" customWidth="1"/>
    <col min="7" max="7" width="10.5546875" style="18" bestFit="1" customWidth="1"/>
    <col min="8" max="8" width="7.88671875" style="19" bestFit="1" customWidth="1"/>
    <col min="9" max="9" width="15.6640625" style="19" bestFit="1" customWidth="1"/>
    <col min="10" max="10" width="11.44140625" style="19" customWidth="1"/>
    <col min="11" max="11" width="6.6640625" style="19" bestFit="1" customWidth="1"/>
    <col min="12" max="12" width="7.5546875" style="19" bestFit="1" customWidth="1"/>
    <col min="13" max="13" width="15.5546875" style="25" bestFit="1" customWidth="1"/>
    <col min="14" max="14" width="8.109375" style="20" bestFit="1" customWidth="1"/>
    <col min="15" max="15" width="9" style="18" bestFit="1" customWidth="1"/>
    <col min="16" max="16" width="4.44140625" style="18" bestFit="1" customWidth="1"/>
    <col min="17" max="17" width="7" style="18" bestFit="1" customWidth="1"/>
    <col min="18" max="16384" width="11.44140625" style="18"/>
  </cols>
  <sheetData>
    <row r="1" spans="1:17" x14ac:dyDescent="0.25">
      <c r="A1" s="12" t="s">
        <v>61</v>
      </c>
      <c r="B1" s="12" t="s">
        <v>62</v>
      </c>
      <c r="C1" s="12" t="s">
        <v>63</v>
      </c>
      <c r="D1" s="13" t="s">
        <v>64</v>
      </c>
      <c r="E1" s="12" t="s">
        <v>65</v>
      </c>
      <c r="F1" s="12" t="s">
        <v>66</v>
      </c>
      <c r="G1" s="12" t="s">
        <v>67</v>
      </c>
      <c r="H1" s="14" t="s">
        <v>68</v>
      </c>
      <c r="I1" s="14" t="s">
        <v>69</v>
      </c>
      <c r="J1" s="14" t="s">
        <v>70</v>
      </c>
      <c r="K1" s="14" t="s">
        <v>71</v>
      </c>
      <c r="L1" s="14" t="s">
        <v>72</v>
      </c>
      <c r="M1" s="24" t="s">
        <v>73</v>
      </c>
      <c r="N1" s="15" t="s">
        <v>74</v>
      </c>
      <c r="O1" s="16" t="s">
        <v>75</v>
      </c>
      <c r="P1" s="17" t="s">
        <v>76</v>
      </c>
      <c r="Q1" s="17" t="s">
        <v>77</v>
      </c>
    </row>
    <row r="2" spans="1:17" x14ac:dyDescent="0.25">
      <c r="A2" s="10" t="s">
        <v>45</v>
      </c>
      <c r="B2" s="10" t="s">
        <v>78</v>
      </c>
      <c r="C2" s="10" t="s">
        <v>79</v>
      </c>
      <c r="D2" s="10" t="s">
        <v>80</v>
      </c>
      <c r="E2" s="10" t="s">
        <v>80</v>
      </c>
      <c r="F2" s="10" t="s">
        <v>81</v>
      </c>
      <c r="G2" s="10" t="s">
        <v>82</v>
      </c>
      <c r="H2" s="21">
        <f>'CUOTA ARTESANAL'!E6</f>
        <v>4</v>
      </c>
      <c r="I2" s="21">
        <f>'CUOTA ARTESANAL'!F6</f>
        <v>0</v>
      </c>
      <c r="J2" s="21">
        <f>'CUOTA ARTESANAL'!G6</f>
        <v>4</v>
      </c>
      <c r="K2" s="21">
        <f>'CUOTA ARTESANAL'!H6</f>
        <v>0</v>
      </c>
      <c r="L2" s="21">
        <f>'CUOTA ARTESANAL'!I6</f>
        <v>4</v>
      </c>
      <c r="M2" s="23">
        <f>'CUOTA ARTESANAL'!J6</f>
        <v>0</v>
      </c>
      <c r="N2" s="22" t="str">
        <f>'CUOTA ARTESANAL'!K6</f>
        <v>-</v>
      </c>
      <c r="O2" s="22">
        <f>'RESUMEN '!$B$3</f>
        <v>44095</v>
      </c>
      <c r="P2" s="10">
        <v>2020</v>
      </c>
      <c r="Q2" s="10"/>
    </row>
    <row r="3" spans="1:17" x14ac:dyDescent="0.25">
      <c r="A3" s="10" t="s">
        <v>45</v>
      </c>
      <c r="B3" s="10" t="s">
        <v>78</v>
      </c>
      <c r="C3" s="10" t="s">
        <v>79</v>
      </c>
      <c r="D3" s="10" t="s">
        <v>80</v>
      </c>
      <c r="E3" s="10" t="s">
        <v>80</v>
      </c>
      <c r="F3" s="10" t="s">
        <v>83</v>
      </c>
      <c r="G3" s="10" t="s">
        <v>84</v>
      </c>
      <c r="H3" s="21">
        <f>'CUOTA ARTESANAL'!E7</f>
        <v>1</v>
      </c>
      <c r="I3" s="21">
        <f>'CUOTA ARTESANAL'!F7</f>
        <v>0</v>
      </c>
      <c r="J3" s="21">
        <f>'CUOTA ARTESANAL'!G7</f>
        <v>5</v>
      </c>
      <c r="K3" s="21">
        <f>'CUOTA ARTESANAL'!H7</f>
        <v>0</v>
      </c>
      <c r="L3" s="21">
        <f>'CUOTA ARTESANAL'!I7</f>
        <v>5</v>
      </c>
      <c r="M3" s="23">
        <f>'CUOTA ARTESANAL'!J7</f>
        <v>0</v>
      </c>
      <c r="N3" s="22" t="str">
        <f>'CUOTA ARTESANAL'!K7</f>
        <v>-</v>
      </c>
      <c r="O3" s="22">
        <f>'RESUMEN '!$B$3</f>
        <v>44095</v>
      </c>
      <c r="P3" s="10">
        <v>2020</v>
      </c>
      <c r="Q3" s="10"/>
    </row>
    <row r="4" spans="1:17" x14ac:dyDescent="0.25">
      <c r="A4" s="10" t="s">
        <v>45</v>
      </c>
      <c r="B4" s="10" t="s">
        <v>78</v>
      </c>
      <c r="C4" s="10" t="s">
        <v>79</v>
      </c>
      <c r="D4" s="10" t="s">
        <v>80</v>
      </c>
      <c r="E4" s="10" t="s">
        <v>80</v>
      </c>
      <c r="F4" s="10" t="s">
        <v>85</v>
      </c>
      <c r="G4" s="10" t="s">
        <v>84</v>
      </c>
      <c r="H4" s="21">
        <f>'CUOTA ARTESANAL'!L6</f>
        <v>5</v>
      </c>
      <c r="I4" s="21">
        <f>'CUOTA ARTESANAL'!M6</f>
        <v>0</v>
      </c>
      <c r="J4" s="21">
        <f>'CUOTA ARTESANAL'!N6</f>
        <v>5</v>
      </c>
      <c r="K4" s="21">
        <f>'CUOTA ARTESANAL'!O6</f>
        <v>0</v>
      </c>
      <c r="L4" s="21">
        <f>'CUOTA ARTESANAL'!P6</f>
        <v>5</v>
      </c>
      <c r="M4" s="23">
        <f>'CUOTA ARTESANAL'!Q6</f>
        <v>0</v>
      </c>
      <c r="N4" s="22" t="s">
        <v>86</v>
      </c>
      <c r="O4" s="22">
        <f>'RESUMEN '!$B$3</f>
        <v>44095</v>
      </c>
      <c r="P4" s="10">
        <v>2020</v>
      </c>
      <c r="Q4" s="10"/>
    </row>
    <row r="5" spans="1:17" x14ac:dyDescent="0.25">
      <c r="A5" s="10" t="s">
        <v>45</v>
      </c>
      <c r="B5" s="10" t="s">
        <v>78</v>
      </c>
      <c r="C5" s="10" t="s">
        <v>87</v>
      </c>
      <c r="D5" s="10" t="s">
        <v>80</v>
      </c>
      <c r="E5" s="10" t="s">
        <v>80</v>
      </c>
      <c r="F5" s="10" t="s">
        <v>81</v>
      </c>
      <c r="G5" s="10" t="s">
        <v>82</v>
      </c>
      <c r="H5" s="21">
        <f>'CUOTA ARTESANAL'!E8</f>
        <v>9</v>
      </c>
      <c r="I5" s="21">
        <f>'CUOTA ARTESANAL'!F8</f>
        <v>0</v>
      </c>
      <c r="J5" s="21">
        <f>'CUOTA ARTESANAL'!G8</f>
        <v>9</v>
      </c>
      <c r="K5" s="21">
        <f>'CUOTA ARTESANAL'!H8</f>
        <v>0</v>
      </c>
      <c r="L5" s="21">
        <f>'CUOTA ARTESANAL'!I8</f>
        <v>9</v>
      </c>
      <c r="M5" s="23">
        <f>'CUOTA ARTESANAL'!J8</f>
        <v>0</v>
      </c>
      <c r="N5" s="22" t="str">
        <f>'CUOTA ARTESANAL'!K8</f>
        <v>-</v>
      </c>
      <c r="O5" s="22">
        <f>'RESUMEN '!$B$3</f>
        <v>44095</v>
      </c>
      <c r="P5" s="10">
        <v>2020</v>
      </c>
      <c r="Q5" s="10"/>
    </row>
    <row r="6" spans="1:17" x14ac:dyDescent="0.25">
      <c r="A6" s="10" t="s">
        <v>45</v>
      </c>
      <c r="B6" s="10" t="s">
        <v>78</v>
      </c>
      <c r="C6" s="10" t="s">
        <v>87</v>
      </c>
      <c r="D6" s="10" t="s">
        <v>80</v>
      </c>
      <c r="E6" s="10" t="s">
        <v>80</v>
      </c>
      <c r="F6" s="10" t="s">
        <v>83</v>
      </c>
      <c r="G6" s="10" t="s">
        <v>84</v>
      </c>
      <c r="H6" s="21">
        <f>'CUOTA ARTESANAL'!E9</f>
        <v>1</v>
      </c>
      <c r="I6" s="21">
        <f>'CUOTA ARTESANAL'!F9</f>
        <v>0</v>
      </c>
      <c r="J6" s="21">
        <f>'CUOTA ARTESANAL'!G9</f>
        <v>10</v>
      </c>
      <c r="K6" s="21">
        <f>'CUOTA ARTESANAL'!H9</f>
        <v>0</v>
      </c>
      <c r="L6" s="21">
        <f>'CUOTA ARTESANAL'!I9</f>
        <v>10</v>
      </c>
      <c r="M6" s="23">
        <f>'CUOTA ARTESANAL'!J9</f>
        <v>0</v>
      </c>
      <c r="N6" s="22" t="str">
        <f>'CUOTA ARTESANAL'!K9</f>
        <v>-</v>
      </c>
      <c r="O6" s="22">
        <f>'RESUMEN '!$B$3</f>
        <v>44095</v>
      </c>
      <c r="P6" s="10">
        <v>2020</v>
      </c>
      <c r="Q6" s="10"/>
    </row>
    <row r="7" spans="1:17" x14ac:dyDescent="0.25">
      <c r="A7" s="10" t="s">
        <v>45</v>
      </c>
      <c r="B7" s="10" t="s">
        <v>78</v>
      </c>
      <c r="C7" s="10" t="s">
        <v>87</v>
      </c>
      <c r="D7" s="10" t="s">
        <v>80</v>
      </c>
      <c r="E7" s="10" t="s">
        <v>80</v>
      </c>
      <c r="F7" s="10" t="s">
        <v>85</v>
      </c>
      <c r="G7" s="10" t="s">
        <v>84</v>
      </c>
      <c r="H7" s="21">
        <f>'CUOTA ARTESANAL'!L8</f>
        <v>10</v>
      </c>
      <c r="I7" s="21">
        <f>'CUOTA ARTESANAL'!M8</f>
        <v>0</v>
      </c>
      <c r="J7" s="21">
        <f>'CUOTA ARTESANAL'!N8</f>
        <v>10</v>
      </c>
      <c r="K7" s="21">
        <f>'CUOTA ARTESANAL'!O8</f>
        <v>0</v>
      </c>
      <c r="L7" s="21">
        <f>'CUOTA ARTESANAL'!P8</f>
        <v>10</v>
      </c>
      <c r="M7" s="23">
        <f>'CUOTA ARTESANAL'!Q8</f>
        <v>0</v>
      </c>
      <c r="N7" s="22" t="s">
        <v>86</v>
      </c>
      <c r="O7" s="22">
        <f>'RESUMEN '!$B$3</f>
        <v>44095</v>
      </c>
      <c r="P7" s="10">
        <v>2020</v>
      </c>
      <c r="Q7" s="10"/>
    </row>
    <row r="8" spans="1:17" x14ac:dyDescent="0.25">
      <c r="A8" s="10" t="s">
        <v>45</v>
      </c>
      <c r="B8" s="10" t="s">
        <v>78</v>
      </c>
      <c r="C8" s="10" t="s">
        <v>88</v>
      </c>
      <c r="D8" s="10" t="s">
        <v>89</v>
      </c>
      <c r="E8" s="10" t="str">
        <f>'CUOTA ARTESANAL'!C10</f>
        <v>PUNTA TALCA</v>
      </c>
      <c r="F8" s="10" t="s">
        <v>81</v>
      </c>
      <c r="G8" s="10" t="s">
        <v>82</v>
      </c>
      <c r="H8" s="21">
        <f>'CUOTA ARTESANAL'!E10</f>
        <v>177.58</v>
      </c>
      <c r="I8" s="21">
        <f>'CUOTA ARTESANAL'!F10</f>
        <v>-69.043999999999997</v>
      </c>
      <c r="J8" s="21">
        <f>'CUOTA ARTESANAL'!G10</f>
        <v>108.53600000000002</v>
      </c>
      <c r="K8" s="21">
        <f>'CUOTA ARTESANAL'!H10</f>
        <v>28.204000000000001</v>
      </c>
      <c r="L8" s="21">
        <f>'CUOTA ARTESANAL'!I10</f>
        <v>80.332000000000022</v>
      </c>
      <c r="M8" s="23">
        <f>'CUOTA ARTESANAL'!J10</f>
        <v>0.25985848013562318</v>
      </c>
      <c r="N8" s="22" t="str">
        <f>'CUOTA ARTESANAL'!K10</f>
        <v>-</v>
      </c>
      <c r="O8" s="22">
        <f>'RESUMEN '!$B$3</f>
        <v>44095</v>
      </c>
      <c r="P8" s="10">
        <v>2020</v>
      </c>
      <c r="Q8" s="10"/>
    </row>
    <row r="9" spans="1:17" x14ac:dyDescent="0.25">
      <c r="A9" s="10" t="s">
        <v>45</v>
      </c>
      <c r="B9" s="10" t="s">
        <v>78</v>
      </c>
      <c r="C9" s="10" t="s">
        <v>88</v>
      </c>
      <c r="D9" s="10" t="s">
        <v>89</v>
      </c>
      <c r="E9" s="10" t="str">
        <f>'CUOTA ARTESANAL'!C10</f>
        <v>PUNTA TALCA</v>
      </c>
      <c r="F9" s="10" t="s">
        <v>83</v>
      </c>
      <c r="G9" s="10" t="s">
        <v>84</v>
      </c>
      <c r="H9" s="21">
        <f>'CUOTA ARTESANAL'!E11</f>
        <v>19.7</v>
      </c>
      <c r="I9" s="21">
        <f>'CUOTA ARTESANAL'!F11</f>
        <v>0</v>
      </c>
      <c r="J9" s="21">
        <f>'CUOTA ARTESANAL'!G11</f>
        <v>100.03200000000002</v>
      </c>
      <c r="K9" s="21">
        <f>'CUOTA ARTESANAL'!H11</f>
        <v>0</v>
      </c>
      <c r="L9" s="21">
        <f>'CUOTA ARTESANAL'!I11</f>
        <v>100.03200000000002</v>
      </c>
      <c r="M9" s="23">
        <f>'CUOTA ARTESANAL'!J11</f>
        <v>0</v>
      </c>
      <c r="N9" s="22" t="str">
        <f>'CUOTA ARTESANAL'!K11</f>
        <v>-</v>
      </c>
      <c r="O9" s="22">
        <f>'RESUMEN '!$B$3</f>
        <v>44095</v>
      </c>
      <c r="P9" s="10">
        <v>2020</v>
      </c>
      <c r="Q9" s="10"/>
    </row>
    <row r="10" spans="1:17" x14ac:dyDescent="0.25">
      <c r="A10" s="10" t="s">
        <v>45</v>
      </c>
      <c r="B10" s="10" t="s">
        <v>78</v>
      </c>
      <c r="C10" s="10" t="s">
        <v>88</v>
      </c>
      <c r="D10" s="10" t="s">
        <v>89</v>
      </c>
      <c r="E10" s="10" t="str">
        <f>'CUOTA ARTESANAL'!C10</f>
        <v>PUNTA TALCA</v>
      </c>
      <c r="F10" s="10" t="s">
        <v>85</v>
      </c>
      <c r="G10" s="10" t="s">
        <v>84</v>
      </c>
      <c r="H10" s="21">
        <f>'CUOTA ARTESANAL'!L10:L11</f>
        <v>197.28</v>
      </c>
      <c r="I10" s="21">
        <f>'CUOTA ARTESANAL'!M10:M11</f>
        <v>-69.043999999999997</v>
      </c>
      <c r="J10" s="21">
        <f>'CUOTA ARTESANAL'!N10:N11</f>
        <v>128.23599999999999</v>
      </c>
      <c r="K10" s="21">
        <f>'CUOTA ARTESANAL'!O10:O11</f>
        <v>28.204000000000001</v>
      </c>
      <c r="L10" s="21">
        <f>'CUOTA ARTESANAL'!P10:P11</f>
        <v>100.03199999999998</v>
      </c>
      <c r="M10" s="23">
        <f>'CUOTA ARTESANAL'!Q10:Q11</f>
        <v>0.21993823887207964</v>
      </c>
      <c r="N10" s="22" t="s">
        <v>86</v>
      </c>
      <c r="O10" s="22">
        <f>'RESUMEN '!$B$3</f>
        <v>44095</v>
      </c>
      <c r="P10" s="10">
        <v>2020</v>
      </c>
      <c r="Q10" s="10"/>
    </row>
    <row r="11" spans="1:17" x14ac:dyDescent="0.25">
      <c r="A11" s="10" t="s">
        <v>45</v>
      </c>
      <c r="B11" s="10" t="s">
        <v>78</v>
      </c>
      <c r="C11" s="10" t="s">
        <v>88</v>
      </c>
      <c r="D11" s="10" t="s">
        <v>89</v>
      </c>
      <c r="E11" s="10" t="str">
        <f>'CUOTA ARTESANAL'!C12</f>
        <v>TRAUWUN I</v>
      </c>
      <c r="F11" s="10" t="s">
        <v>81</v>
      </c>
      <c r="G11" s="10" t="s">
        <v>82</v>
      </c>
      <c r="H11" s="21">
        <f>'CUOTA ARTESANAL'!E12</f>
        <v>165.5</v>
      </c>
      <c r="I11" s="21">
        <f>'CUOTA ARTESANAL'!F12</f>
        <v>-97.4</v>
      </c>
      <c r="J11" s="21">
        <f>'CUOTA ARTESANAL'!G12</f>
        <v>68.099999999999994</v>
      </c>
      <c r="K11" s="21">
        <f>'CUOTA ARTESANAL'!H12</f>
        <v>54.024999999999999</v>
      </c>
      <c r="L11" s="21">
        <f>'CUOTA ARTESANAL'!I12</f>
        <v>14.074999999999996</v>
      </c>
      <c r="M11" s="23">
        <f>'CUOTA ARTESANAL'!J12</f>
        <v>0.7933186490455213</v>
      </c>
      <c r="N11" s="22" t="str">
        <f>'CUOTA ARTESANAL'!K12</f>
        <v>-</v>
      </c>
      <c r="O11" s="22">
        <f>'RESUMEN '!$B$3</f>
        <v>44095</v>
      </c>
      <c r="P11" s="10">
        <v>2020</v>
      </c>
      <c r="Q11" s="10"/>
    </row>
    <row r="12" spans="1:17" x14ac:dyDescent="0.25">
      <c r="A12" s="10" t="s">
        <v>45</v>
      </c>
      <c r="B12" s="10" t="s">
        <v>78</v>
      </c>
      <c r="C12" s="10" t="s">
        <v>88</v>
      </c>
      <c r="D12" s="10" t="s">
        <v>89</v>
      </c>
      <c r="E12" s="10" t="str">
        <f>'CUOTA ARTESANAL'!C12</f>
        <v>TRAUWUN I</v>
      </c>
      <c r="F12" s="10" t="s">
        <v>83</v>
      </c>
      <c r="G12" s="10" t="s">
        <v>84</v>
      </c>
      <c r="H12" s="21">
        <f>'CUOTA ARTESANAL'!E13</f>
        <v>18.36</v>
      </c>
      <c r="I12" s="21">
        <f>'CUOTA ARTESANAL'!F13</f>
        <v>0</v>
      </c>
      <c r="J12" s="21">
        <f>'CUOTA ARTESANAL'!G13</f>
        <v>32.434999999999995</v>
      </c>
      <c r="K12" s="21">
        <f>'CUOTA ARTESANAL'!H13</f>
        <v>0</v>
      </c>
      <c r="L12" s="21">
        <f>'CUOTA ARTESANAL'!I13</f>
        <v>32.434999999999995</v>
      </c>
      <c r="M12" s="23">
        <f>'CUOTA ARTESANAL'!J13</f>
        <v>0</v>
      </c>
      <c r="N12" s="22" t="str">
        <f>'CUOTA ARTESANAL'!K13</f>
        <v>-</v>
      </c>
      <c r="O12" s="22">
        <f>'RESUMEN '!$B$3</f>
        <v>44095</v>
      </c>
      <c r="P12" s="10">
        <v>2020</v>
      </c>
      <c r="Q12" s="10"/>
    </row>
    <row r="13" spans="1:17" x14ac:dyDescent="0.25">
      <c r="A13" s="10" t="s">
        <v>45</v>
      </c>
      <c r="B13" s="10" t="s">
        <v>78</v>
      </c>
      <c r="C13" s="10" t="s">
        <v>88</v>
      </c>
      <c r="D13" s="10" t="s">
        <v>89</v>
      </c>
      <c r="E13" s="10" t="str">
        <f>'CUOTA ARTESANAL'!C12</f>
        <v>TRAUWUN I</v>
      </c>
      <c r="F13" s="10" t="s">
        <v>85</v>
      </c>
      <c r="G13" s="10" t="s">
        <v>84</v>
      </c>
      <c r="H13" s="21">
        <f>'CUOTA ARTESANAL'!L12</f>
        <v>183.86</v>
      </c>
      <c r="I13" s="21">
        <f>'CUOTA ARTESANAL'!M12</f>
        <v>-97.4</v>
      </c>
      <c r="J13" s="21">
        <f>'CUOTA ARTESANAL'!N12</f>
        <v>86.460000000000008</v>
      </c>
      <c r="K13" s="21">
        <f>'CUOTA ARTESANAL'!O12</f>
        <v>54.024999999999999</v>
      </c>
      <c r="L13" s="21">
        <f>'CUOTA ARTESANAL'!P12</f>
        <v>32.435000000000009</v>
      </c>
      <c r="M13" s="23">
        <f>'CUOTA ARTESANAL'!Q12</f>
        <v>0.62485542447374498</v>
      </c>
      <c r="N13" s="22" t="s">
        <v>86</v>
      </c>
      <c r="O13" s="22">
        <f>'RESUMEN '!$B$3</f>
        <v>44095</v>
      </c>
      <c r="P13" s="10">
        <v>2020</v>
      </c>
      <c r="Q13" s="10"/>
    </row>
    <row r="14" spans="1:17" x14ac:dyDescent="0.25">
      <c r="A14" s="10" t="s">
        <v>45</v>
      </c>
      <c r="B14" s="10" t="s">
        <v>78</v>
      </c>
      <c r="C14" s="10" t="s">
        <v>88</v>
      </c>
      <c r="D14" s="10" t="s">
        <v>89</v>
      </c>
      <c r="E14" s="10" t="str">
        <f>'CUOTA ARTESANAL'!C14:C15</f>
        <v>CHAFIC I</v>
      </c>
      <c r="F14" s="10" t="s">
        <v>81</v>
      </c>
      <c r="G14" s="10" t="s">
        <v>82</v>
      </c>
      <c r="H14" s="21">
        <f>'CUOTA ARTESANAL'!E14</f>
        <v>128.05000000000001</v>
      </c>
      <c r="I14" s="21">
        <f>'CUOTA ARTESANAL'!F14</f>
        <v>0</v>
      </c>
      <c r="J14" s="21">
        <f>'CUOTA ARTESANAL'!G14</f>
        <v>128.05000000000001</v>
      </c>
      <c r="K14" s="21">
        <f>'CUOTA ARTESANAL'!H14</f>
        <v>108.29900000000001</v>
      </c>
      <c r="L14" s="21">
        <f>'CUOTA ARTESANAL'!I14</f>
        <v>19.751000000000005</v>
      </c>
      <c r="M14" s="23">
        <f>'CUOTA ARTESANAL'!J14</f>
        <v>0.84575556423272158</v>
      </c>
      <c r="N14" s="22" t="str">
        <f>'CUOTA ARTESANAL'!K14</f>
        <v>-</v>
      </c>
      <c r="O14" s="22">
        <f>'RESUMEN '!$B$3</f>
        <v>44095</v>
      </c>
      <c r="P14" s="10">
        <v>2020</v>
      </c>
      <c r="Q14" s="10"/>
    </row>
    <row r="15" spans="1:17" x14ac:dyDescent="0.25">
      <c r="A15" s="10" t="s">
        <v>45</v>
      </c>
      <c r="B15" s="10" t="s">
        <v>78</v>
      </c>
      <c r="C15" s="10" t="s">
        <v>88</v>
      </c>
      <c r="D15" s="10" t="s">
        <v>89</v>
      </c>
      <c r="E15" s="10" t="str">
        <f>'CUOTA ARTESANAL'!C14</f>
        <v>CHAFIC I</v>
      </c>
      <c r="F15" s="10" t="s">
        <v>83</v>
      </c>
      <c r="G15" s="10" t="s">
        <v>84</v>
      </c>
      <c r="H15" s="21">
        <f>'CUOTA ARTESANAL'!E15</f>
        <v>14.2</v>
      </c>
      <c r="I15" s="21">
        <f>'CUOTA ARTESANAL'!F15</f>
        <v>0</v>
      </c>
      <c r="J15" s="21">
        <f>'CUOTA ARTESANAL'!G15</f>
        <v>33.951000000000008</v>
      </c>
      <c r="K15" s="21">
        <f>'CUOTA ARTESANAL'!H15</f>
        <v>0</v>
      </c>
      <c r="L15" s="21">
        <f>'CUOTA ARTESANAL'!I15</f>
        <v>33.951000000000008</v>
      </c>
      <c r="M15" s="23">
        <f>'CUOTA ARTESANAL'!J15</f>
        <v>0</v>
      </c>
      <c r="N15" s="22" t="str">
        <f>'CUOTA ARTESANAL'!K15</f>
        <v>-</v>
      </c>
      <c r="O15" s="22">
        <f>'RESUMEN '!$B$3</f>
        <v>44095</v>
      </c>
      <c r="P15" s="10">
        <v>2020</v>
      </c>
      <c r="Q15" s="10"/>
    </row>
    <row r="16" spans="1:17" x14ac:dyDescent="0.25">
      <c r="A16" s="10" t="s">
        <v>45</v>
      </c>
      <c r="B16" s="10" t="s">
        <v>78</v>
      </c>
      <c r="C16" s="10" t="s">
        <v>88</v>
      </c>
      <c r="D16" s="10" t="s">
        <v>89</v>
      </c>
      <c r="E16" s="10" t="str">
        <f>'CUOTA ARTESANAL'!C14</f>
        <v>CHAFIC I</v>
      </c>
      <c r="F16" s="10" t="s">
        <v>85</v>
      </c>
      <c r="G16" s="10" t="s">
        <v>84</v>
      </c>
      <c r="H16" s="21">
        <f>'CUOTA ARTESANAL'!L14</f>
        <v>142.25</v>
      </c>
      <c r="I16" s="21">
        <f>'CUOTA ARTESANAL'!M14</f>
        <v>0</v>
      </c>
      <c r="J16" s="21">
        <f>'CUOTA ARTESANAL'!N14</f>
        <v>142.25</v>
      </c>
      <c r="K16" s="21">
        <f>'CUOTA ARTESANAL'!O14</f>
        <v>108.29900000000001</v>
      </c>
      <c r="L16" s="21">
        <f>'CUOTA ARTESANAL'!P14</f>
        <v>33.950999999999993</v>
      </c>
      <c r="M16" s="23">
        <f>'CUOTA ARTESANAL'!Q14</f>
        <v>0.76132864674868195</v>
      </c>
      <c r="N16" s="22" t="s">
        <v>86</v>
      </c>
      <c r="O16" s="22">
        <f>'RESUMEN '!$B$3</f>
        <v>44095</v>
      </c>
      <c r="P16" s="10">
        <v>2020</v>
      </c>
      <c r="Q16" s="10"/>
    </row>
    <row r="17" spans="1:17" x14ac:dyDescent="0.25">
      <c r="A17" s="10" t="s">
        <v>45</v>
      </c>
      <c r="B17" s="10" t="s">
        <v>78</v>
      </c>
      <c r="C17" s="10" t="s">
        <v>88</v>
      </c>
      <c r="D17" s="10" t="s">
        <v>89</v>
      </c>
      <c r="E17" s="10" t="str">
        <f>'CUOTA ARTESANAL'!C16</f>
        <v>ISLA TABON</v>
      </c>
      <c r="F17" s="10" t="s">
        <v>81</v>
      </c>
      <c r="G17" s="10" t="s">
        <v>82</v>
      </c>
      <c r="H17" s="21">
        <f>'CUOTA ARTESANAL'!E16</f>
        <v>120.8</v>
      </c>
      <c r="I17" s="21">
        <f>'CUOTA ARTESANAL'!F16</f>
        <v>-60</v>
      </c>
      <c r="J17" s="21">
        <f>'CUOTA ARTESANAL'!G16</f>
        <v>60.8</v>
      </c>
      <c r="K17" s="21">
        <f>'CUOTA ARTESANAL'!H16</f>
        <v>64.403000000000006</v>
      </c>
      <c r="L17" s="21">
        <f>'CUOTA ARTESANAL'!I16</f>
        <v>-3.6030000000000086</v>
      </c>
      <c r="M17" s="23">
        <f>'CUOTA ARTESANAL'!J16</f>
        <v>1.0592598684210528</v>
      </c>
      <c r="N17" s="22">
        <f>'CUOTA ARTESANAL'!K16</f>
        <v>44046</v>
      </c>
      <c r="O17" s="22">
        <f>'RESUMEN '!$B$3</f>
        <v>44095</v>
      </c>
      <c r="P17" s="10">
        <v>2020</v>
      </c>
      <c r="Q17" s="10"/>
    </row>
    <row r="18" spans="1:17" x14ac:dyDescent="0.25">
      <c r="A18" s="10" t="s">
        <v>45</v>
      </c>
      <c r="B18" s="10" t="s">
        <v>78</v>
      </c>
      <c r="C18" s="10" t="s">
        <v>88</v>
      </c>
      <c r="D18" s="10" t="s">
        <v>89</v>
      </c>
      <c r="E18" s="10" t="str">
        <f>'CUOTA ARTESANAL'!C16</f>
        <v>ISLA TABON</v>
      </c>
      <c r="F18" s="10" t="s">
        <v>83</v>
      </c>
      <c r="G18" s="10" t="s">
        <v>84</v>
      </c>
      <c r="H18" s="21">
        <f>'CUOTA ARTESANAL'!E17</f>
        <v>13.4</v>
      </c>
      <c r="I18" s="21">
        <f>'CUOTA ARTESANAL'!F17</f>
        <v>0</v>
      </c>
      <c r="J18" s="21">
        <f>'CUOTA ARTESANAL'!G17</f>
        <v>9.7969999999999917</v>
      </c>
      <c r="K18" s="21">
        <f>'CUOTA ARTESANAL'!H17</f>
        <v>0</v>
      </c>
      <c r="L18" s="21">
        <f>'CUOTA ARTESANAL'!I17</f>
        <v>9.7969999999999917</v>
      </c>
      <c r="M18" s="23">
        <f>'CUOTA ARTESANAL'!J17</f>
        <v>0</v>
      </c>
      <c r="N18" s="22" t="str">
        <f>'CUOTA ARTESANAL'!K17</f>
        <v>-</v>
      </c>
      <c r="O18" s="22">
        <f>'RESUMEN '!$B$3</f>
        <v>44095</v>
      </c>
      <c r="P18" s="10">
        <v>2020</v>
      </c>
      <c r="Q18" s="10"/>
    </row>
    <row r="19" spans="1:17" x14ac:dyDescent="0.25">
      <c r="A19" s="10" t="s">
        <v>45</v>
      </c>
      <c r="B19" s="10" t="s">
        <v>78</v>
      </c>
      <c r="C19" s="10" t="s">
        <v>88</v>
      </c>
      <c r="D19" s="10" t="s">
        <v>89</v>
      </c>
      <c r="E19" s="10" t="str">
        <f>'CUOTA ARTESANAL'!C16</f>
        <v>ISLA TABON</v>
      </c>
      <c r="F19" s="10" t="s">
        <v>85</v>
      </c>
      <c r="G19" s="10" t="s">
        <v>84</v>
      </c>
      <c r="H19" s="21">
        <f>'CUOTA ARTESANAL'!L16</f>
        <v>134.19999999999999</v>
      </c>
      <c r="I19" s="21">
        <f>'CUOTA ARTESANAL'!M16</f>
        <v>-60</v>
      </c>
      <c r="J19" s="21">
        <f>'CUOTA ARTESANAL'!N16</f>
        <v>74.199999999999989</v>
      </c>
      <c r="K19" s="21">
        <f>'CUOTA ARTESANAL'!O16</f>
        <v>64.403000000000006</v>
      </c>
      <c r="L19" s="21">
        <f>'CUOTA ARTESANAL'!P16</f>
        <v>9.7969999999999828</v>
      </c>
      <c r="M19" s="23">
        <f>'CUOTA ARTESANAL'!Q16</f>
        <v>0.86796495956873332</v>
      </c>
      <c r="N19" s="22" t="s">
        <v>86</v>
      </c>
      <c r="O19" s="22">
        <f>'RESUMEN '!$B$3</f>
        <v>44095</v>
      </c>
      <c r="P19" s="10">
        <v>2020</v>
      </c>
      <c r="Q19" s="10"/>
    </row>
    <row r="20" spans="1:17" x14ac:dyDescent="0.25">
      <c r="A20" s="10" t="s">
        <v>45</v>
      </c>
      <c r="B20" s="10" t="s">
        <v>78</v>
      </c>
      <c r="C20" s="10" t="s">
        <v>88</v>
      </c>
      <c r="D20" s="10" t="s">
        <v>89</v>
      </c>
      <c r="E20" s="10" t="str">
        <f>'CUOTA ARTESANAL'!C18</f>
        <v>RESIDUAL</v>
      </c>
      <c r="F20" s="10" t="s">
        <v>81</v>
      </c>
      <c r="G20" s="10" t="s">
        <v>82</v>
      </c>
      <c r="H20" s="21">
        <f>'CUOTA ARTESANAL'!E18</f>
        <v>12.08</v>
      </c>
      <c r="I20" s="21">
        <f>'CUOTA ARTESANAL'!F18</f>
        <v>0</v>
      </c>
      <c r="J20" s="21">
        <f>'CUOTA ARTESANAL'!G18</f>
        <v>12.08</v>
      </c>
      <c r="K20" s="21">
        <f>'CUOTA ARTESANAL'!H18</f>
        <v>0</v>
      </c>
      <c r="L20" s="21">
        <f>'CUOTA ARTESANAL'!I18</f>
        <v>12.08</v>
      </c>
      <c r="M20" s="23">
        <f>'CUOTA ARTESANAL'!J18</f>
        <v>0</v>
      </c>
      <c r="N20" s="22" t="str">
        <f>'CUOTA ARTESANAL'!K18</f>
        <v>-</v>
      </c>
      <c r="O20" s="22">
        <f>'RESUMEN '!$B$3</f>
        <v>44095</v>
      </c>
      <c r="P20" s="10">
        <v>2020</v>
      </c>
      <c r="Q20" s="10"/>
    </row>
    <row r="21" spans="1:17" x14ac:dyDescent="0.25">
      <c r="A21" s="10" t="s">
        <v>45</v>
      </c>
      <c r="B21" s="10" t="s">
        <v>78</v>
      </c>
      <c r="C21" s="10" t="s">
        <v>88</v>
      </c>
      <c r="D21" s="10" t="s">
        <v>89</v>
      </c>
      <c r="E21" s="10" t="str">
        <f>'CUOTA ARTESANAL'!C18</f>
        <v>RESIDUAL</v>
      </c>
      <c r="F21" s="10" t="s">
        <v>83</v>
      </c>
      <c r="G21" s="10" t="s">
        <v>84</v>
      </c>
      <c r="H21" s="21">
        <f>'CUOTA ARTESANAL'!E19</f>
        <v>1.34</v>
      </c>
      <c r="I21" s="21">
        <f>'CUOTA ARTESANAL'!F19</f>
        <v>0</v>
      </c>
      <c r="J21" s="21">
        <f>'CUOTA ARTESANAL'!G19</f>
        <v>13.42</v>
      </c>
      <c r="K21" s="21">
        <f>'CUOTA ARTESANAL'!H19</f>
        <v>0</v>
      </c>
      <c r="L21" s="21">
        <f>'CUOTA ARTESANAL'!I19</f>
        <v>13.42</v>
      </c>
      <c r="M21" s="23">
        <f>'CUOTA ARTESANAL'!J19</f>
        <v>0</v>
      </c>
      <c r="N21" s="22" t="str">
        <f>'CUOTA ARTESANAL'!K19</f>
        <v>-</v>
      </c>
      <c r="O21" s="22">
        <f>'RESUMEN '!$B$3</f>
        <v>44095</v>
      </c>
      <c r="P21" s="10">
        <v>2020</v>
      </c>
      <c r="Q21" s="10"/>
    </row>
    <row r="22" spans="1:17" x14ac:dyDescent="0.25">
      <c r="A22" s="10" t="s">
        <v>45</v>
      </c>
      <c r="B22" s="10" t="s">
        <v>78</v>
      </c>
      <c r="C22" s="10" t="s">
        <v>88</v>
      </c>
      <c r="D22" s="10" t="s">
        <v>89</v>
      </c>
      <c r="E22" s="10" t="str">
        <f>'CUOTA ARTESANAL'!C18</f>
        <v>RESIDUAL</v>
      </c>
      <c r="F22" s="10" t="s">
        <v>85</v>
      </c>
      <c r="G22" s="10" t="s">
        <v>84</v>
      </c>
      <c r="H22" s="21">
        <f>'CUOTA ARTESANAL'!L18</f>
        <v>13.42</v>
      </c>
      <c r="I22" s="21">
        <f>'CUOTA ARTESANAL'!M18</f>
        <v>0</v>
      </c>
      <c r="J22" s="21">
        <f>'CUOTA ARTESANAL'!N18</f>
        <v>13.42</v>
      </c>
      <c r="K22" s="21">
        <f>'CUOTA ARTESANAL'!O18</f>
        <v>0</v>
      </c>
      <c r="L22" s="21">
        <f>'CUOTA ARTESANAL'!P18</f>
        <v>13.42</v>
      </c>
      <c r="M22" s="23">
        <f>'CUOTA ARTESANAL'!Q18</f>
        <v>0</v>
      </c>
      <c r="N22" s="22" t="s">
        <v>86</v>
      </c>
      <c r="O22" s="22">
        <f>'RESUMEN '!$B$3</f>
        <v>44095</v>
      </c>
      <c r="P22" s="10">
        <v>2020</v>
      </c>
      <c r="Q22" s="10"/>
    </row>
    <row r="23" spans="1:17" x14ac:dyDescent="0.25">
      <c r="A23" s="10" t="s">
        <v>45</v>
      </c>
      <c r="B23" s="10" t="s">
        <v>78</v>
      </c>
      <c r="C23" s="10" t="s">
        <v>90</v>
      </c>
      <c r="D23" s="10" t="s">
        <v>14</v>
      </c>
      <c r="E23" s="10" t="s">
        <v>10</v>
      </c>
      <c r="F23" s="10" t="s">
        <v>85</v>
      </c>
      <c r="G23" s="10" t="s">
        <v>84</v>
      </c>
      <c r="H23" s="21">
        <f>'CUOTA ARTESANAL'!E20</f>
        <v>14</v>
      </c>
      <c r="I23" s="21">
        <f>'CUOTA ARTESANAL'!F20</f>
        <v>0</v>
      </c>
      <c r="J23" s="21">
        <f>'CUOTA ARTESANAL'!G20</f>
        <v>14</v>
      </c>
      <c r="K23" s="21">
        <f>'CUOTA ARTESANAL'!H20</f>
        <v>0</v>
      </c>
      <c r="L23" s="21">
        <f>'CUOTA ARTESANAL'!I20</f>
        <v>14</v>
      </c>
      <c r="M23" s="23">
        <f>'CUOTA ARTESANAL'!J20</f>
        <v>0</v>
      </c>
      <c r="N23" s="22" t="str">
        <f>'CUOTA ARTESANAL'!K20</f>
        <v>-</v>
      </c>
      <c r="O23" s="22">
        <f>'RESUMEN '!$B$3</f>
        <v>44095</v>
      </c>
      <c r="P23" s="10">
        <v>2020</v>
      </c>
      <c r="Q23" s="10"/>
    </row>
    <row r="24" spans="1:17" x14ac:dyDescent="0.25">
      <c r="A24" s="42" t="s">
        <v>45</v>
      </c>
      <c r="B24" s="42" t="s">
        <v>78</v>
      </c>
      <c r="C24" s="42" t="s">
        <v>90</v>
      </c>
      <c r="D24" s="42" t="s">
        <v>91</v>
      </c>
      <c r="E24" s="42" t="s">
        <v>92</v>
      </c>
      <c r="F24" s="42" t="s">
        <v>85</v>
      </c>
      <c r="G24" s="42" t="s">
        <v>84</v>
      </c>
      <c r="H24" s="43">
        <f>'CUOTA ARTESANAL'!E21</f>
        <v>700.0100000000001</v>
      </c>
      <c r="I24" s="43">
        <f>'CUOTA ARTESANAL'!F21</f>
        <v>-226.44400000000002</v>
      </c>
      <c r="J24" s="43">
        <f>'CUOTA ARTESANAL'!G21</f>
        <v>473.56600000000009</v>
      </c>
      <c r="K24" s="43">
        <f>'CUOTA ARTESANAL'!H21</f>
        <v>254.93100000000004</v>
      </c>
      <c r="L24" s="43">
        <f>'CUOTA ARTESANAL'!I21</f>
        <v>218.63500000000005</v>
      </c>
      <c r="M24" s="44">
        <f>'CUOTA ARTESANAL'!J21</f>
        <v>0.53832200791441953</v>
      </c>
      <c r="N24" s="45" t="str">
        <f>'CUOTA ARTESANAL'!K21</f>
        <v>-</v>
      </c>
      <c r="O24" s="45">
        <f>'RESUMEN '!$B$3</f>
        <v>44095</v>
      </c>
      <c r="P24" s="42">
        <v>2020</v>
      </c>
      <c r="Q24" s="10"/>
    </row>
    <row r="25" spans="1:17" x14ac:dyDescent="0.25">
      <c r="A25" s="10" t="s">
        <v>45</v>
      </c>
      <c r="B25" s="10" t="s">
        <v>78</v>
      </c>
      <c r="C25" s="10" t="s">
        <v>93</v>
      </c>
      <c r="D25" s="10" t="s">
        <v>94</v>
      </c>
      <c r="E25" s="10" t="str">
        <f>'CUOTA LTP'!C6</f>
        <v>ANTARTIC SEAFOOD S.A.</v>
      </c>
      <c r="F25" s="10" t="s">
        <v>81</v>
      </c>
      <c r="G25" s="10" t="s">
        <v>82</v>
      </c>
      <c r="H25" s="21">
        <f>'CUOTA LTP'!E6</f>
        <v>0.24126</v>
      </c>
      <c r="I25" s="21">
        <f>'CUOTA LTP'!F6</f>
        <v>0</v>
      </c>
      <c r="J25" s="21">
        <f>'CUOTA LTP'!G6</f>
        <v>0.24126</v>
      </c>
      <c r="K25" s="21">
        <f>'CUOTA LTP'!H6</f>
        <v>0</v>
      </c>
      <c r="L25" s="21">
        <f>'CUOTA LTP'!I6</f>
        <v>0.24126</v>
      </c>
      <c r="M25" s="23">
        <f>'CUOTA LTP'!J6</f>
        <v>0</v>
      </c>
      <c r="N25" s="22" t="s">
        <v>86</v>
      </c>
      <c r="O25" s="22">
        <f>'RESUMEN '!$B$3</f>
        <v>44095</v>
      </c>
      <c r="P25" s="10">
        <v>2020</v>
      </c>
      <c r="Q25" s="10"/>
    </row>
    <row r="26" spans="1:17" x14ac:dyDescent="0.25">
      <c r="A26" s="10" t="s">
        <v>45</v>
      </c>
      <c r="B26" s="10" t="s">
        <v>78</v>
      </c>
      <c r="C26" s="10" t="s">
        <v>93</v>
      </c>
      <c r="D26" s="10" t="s">
        <v>94</v>
      </c>
      <c r="E26" s="10" t="str">
        <f>'CUOTA LTP'!C6</f>
        <v>ANTARTIC SEAFOOD S.A.</v>
      </c>
      <c r="F26" s="10" t="s">
        <v>83</v>
      </c>
      <c r="G26" s="10" t="s">
        <v>84</v>
      </c>
      <c r="H26" s="21">
        <f>'CUOTA LTP'!E7</f>
        <v>0.24126</v>
      </c>
      <c r="I26" s="21">
        <f>'CUOTA LTP'!F7</f>
        <v>0</v>
      </c>
      <c r="J26" s="21">
        <f>'CUOTA LTP'!G7</f>
        <v>0.48252</v>
      </c>
      <c r="K26" s="21">
        <f>'CUOTA LTP'!H7</f>
        <v>0</v>
      </c>
      <c r="L26" s="21">
        <f>'CUOTA LTP'!I7</f>
        <v>0.48252</v>
      </c>
      <c r="M26" s="23">
        <f>'CUOTA LTP'!J7</f>
        <v>0</v>
      </c>
      <c r="N26" s="22" t="s">
        <v>86</v>
      </c>
      <c r="O26" s="22">
        <f>'RESUMEN '!$B$3</f>
        <v>44095</v>
      </c>
      <c r="P26" s="10">
        <v>2020</v>
      </c>
      <c r="Q26" s="10"/>
    </row>
    <row r="27" spans="1:17" x14ac:dyDescent="0.25">
      <c r="A27" s="10" t="s">
        <v>45</v>
      </c>
      <c r="B27" s="10" t="s">
        <v>78</v>
      </c>
      <c r="C27" s="10" t="s">
        <v>93</v>
      </c>
      <c r="D27" s="10" t="s">
        <v>94</v>
      </c>
      <c r="E27" s="10" t="str">
        <f>'CUOTA LTP'!C6</f>
        <v>ANTARTIC SEAFOOD S.A.</v>
      </c>
      <c r="F27" s="10" t="s">
        <v>85</v>
      </c>
      <c r="G27" s="10" t="s">
        <v>84</v>
      </c>
      <c r="H27" s="21">
        <f>'CUOTA LTP'!K6</f>
        <v>0.48252</v>
      </c>
      <c r="I27" s="21">
        <f>'CUOTA LTP'!L6</f>
        <v>0</v>
      </c>
      <c r="J27" s="21">
        <f>'CUOTA LTP'!M6</f>
        <v>0.48252</v>
      </c>
      <c r="K27" s="21">
        <f>'CUOTA LTP'!N6</f>
        <v>0</v>
      </c>
      <c r="L27" s="21">
        <f>'CUOTA LTP'!O6</f>
        <v>0.48252</v>
      </c>
      <c r="M27" s="23">
        <f>'CUOTA LTP'!P6</f>
        <v>0</v>
      </c>
      <c r="N27" s="22" t="s">
        <v>86</v>
      </c>
      <c r="O27" s="22">
        <f>'RESUMEN '!$B$3</f>
        <v>44095</v>
      </c>
      <c r="P27" s="10">
        <v>2020</v>
      </c>
      <c r="Q27" s="10"/>
    </row>
    <row r="28" spans="1:17" x14ac:dyDescent="0.25">
      <c r="A28" s="10" t="s">
        <v>45</v>
      </c>
      <c r="B28" s="10" t="s">
        <v>78</v>
      </c>
      <c r="C28" s="10" t="s">
        <v>93</v>
      </c>
      <c r="D28" s="10" t="s">
        <v>94</v>
      </c>
      <c r="E28" s="10" t="str">
        <f>'CUOTA LTP'!C8</f>
        <v>QUINTERO S.A. PESQ.</v>
      </c>
      <c r="F28" s="10" t="s">
        <v>81</v>
      </c>
      <c r="G28" s="10" t="s">
        <v>82</v>
      </c>
      <c r="H28" s="21">
        <f>'CUOTA LTP'!E8</f>
        <v>1.73E-3</v>
      </c>
      <c r="I28" s="21">
        <f>'CUOTA LTP'!F8</f>
        <v>0</v>
      </c>
      <c r="J28" s="21">
        <f>'CUOTA LTP'!G8</f>
        <v>1.73E-3</v>
      </c>
      <c r="K28" s="21">
        <f>'CUOTA LTP'!H8</f>
        <v>0</v>
      </c>
      <c r="L28" s="21">
        <f>'CUOTA LTP'!I8</f>
        <v>1.73E-3</v>
      </c>
      <c r="M28" s="23">
        <f>'CUOTA LTP'!J8</f>
        <v>0</v>
      </c>
      <c r="N28" s="22" t="s">
        <v>86</v>
      </c>
      <c r="O28" s="22">
        <f>'RESUMEN '!$B$3</f>
        <v>44095</v>
      </c>
      <c r="P28" s="10">
        <v>2020</v>
      </c>
      <c r="Q28" s="10"/>
    </row>
    <row r="29" spans="1:17" x14ac:dyDescent="0.25">
      <c r="A29" s="10" t="s">
        <v>45</v>
      </c>
      <c r="B29" s="10" t="s">
        <v>78</v>
      </c>
      <c r="C29" s="10" t="s">
        <v>93</v>
      </c>
      <c r="D29" s="10" t="s">
        <v>94</v>
      </c>
      <c r="E29" s="10" t="str">
        <f>'CUOTA LTP'!C8</f>
        <v>QUINTERO S.A. PESQ.</v>
      </c>
      <c r="F29" s="10" t="s">
        <v>83</v>
      </c>
      <c r="G29" s="10" t="s">
        <v>84</v>
      </c>
      <c r="H29" s="21">
        <f>'CUOTA LTP'!E9</f>
        <v>1.73E-3</v>
      </c>
      <c r="I29" s="21">
        <f>'CUOTA LTP'!F9</f>
        <v>0</v>
      </c>
      <c r="J29" s="21">
        <f>'CUOTA LTP'!G9</f>
        <v>3.46E-3</v>
      </c>
      <c r="K29" s="21">
        <f>'CUOTA LTP'!H9</f>
        <v>0</v>
      </c>
      <c r="L29" s="21">
        <f>'CUOTA LTP'!I9</f>
        <v>3.46E-3</v>
      </c>
      <c r="M29" s="23">
        <f>'CUOTA LTP'!J9</f>
        <v>0</v>
      </c>
      <c r="N29" s="22" t="s">
        <v>86</v>
      </c>
      <c r="O29" s="22">
        <f>'RESUMEN '!$B$3</f>
        <v>44095</v>
      </c>
      <c r="P29" s="10">
        <v>2020</v>
      </c>
      <c r="Q29" s="10"/>
    </row>
    <row r="30" spans="1:17" x14ac:dyDescent="0.25">
      <c r="A30" s="10" t="s">
        <v>45</v>
      </c>
      <c r="B30" s="10" t="s">
        <v>78</v>
      </c>
      <c r="C30" s="10" t="s">
        <v>93</v>
      </c>
      <c r="D30" s="10" t="s">
        <v>94</v>
      </c>
      <c r="E30" s="10" t="str">
        <f>'CUOTA LTP'!C8</f>
        <v>QUINTERO S.A. PESQ.</v>
      </c>
      <c r="F30" s="10" t="s">
        <v>85</v>
      </c>
      <c r="G30" s="10" t="s">
        <v>84</v>
      </c>
      <c r="H30" s="21">
        <f>'CUOTA LTP'!K8</f>
        <v>3.46E-3</v>
      </c>
      <c r="I30" s="21">
        <f>'CUOTA LTP'!L8</f>
        <v>0</v>
      </c>
      <c r="J30" s="21">
        <f>'CUOTA LTP'!M8</f>
        <v>3.46E-3</v>
      </c>
      <c r="K30" s="21">
        <f>'CUOTA LTP'!N8</f>
        <v>0</v>
      </c>
      <c r="L30" s="21">
        <f>'CUOTA LTP'!O8</f>
        <v>3.46E-3</v>
      </c>
      <c r="M30" s="23">
        <f>'CUOTA LTP'!P8</f>
        <v>0</v>
      </c>
      <c r="N30" s="22" t="s">
        <v>86</v>
      </c>
      <c r="O30" s="22">
        <f>'RESUMEN '!$B$3</f>
        <v>44095</v>
      </c>
      <c r="P30" s="10">
        <v>2020</v>
      </c>
      <c r="Q30" s="10"/>
    </row>
    <row r="31" spans="1:17" x14ac:dyDescent="0.25">
      <c r="A31" s="10" t="s">
        <v>45</v>
      </c>
      <c r="B31" s="10" t="s">
        <v>78</v>
      </c>
      <c r="C31" s="10" t="s">
        <v>93</v>
      </c>
      <c r="D31" s="10" t="s">
        <v>94</v>
      </c>
      <c r="E31" s="10" t="str">
        <f>'CUOTA LTP'!C10</f>
        <v>ZUÑIGA ROMERO GONZALO</v>
      </c>
      <c r="F31" s="10" t="s">
        <v>81</v>
      </c>
      <c r="G31" s="10" t="s">
        <v>82</v>
      </c>
      <c r="H31" s="21">
        <f>'CUOTA LTP'!E10</f>
        <v>4.6999999999999999E-4</v>
      </c>
      <c r="I31" s="21">
        <f>'CUOTA LTP'!F10</f>
        <v>0</v>
      </c>
      <c r="J31" s="21">
        <f>'CUOTA LTP'!G10</f>
        <v>4.6999999999999999E-4</v>
      </c>
      <c r="K31" s="21">
        <f>'CUOTA LTP'!H10</f>
        <v>0</v>
      </c>
      <c r="L31" s="21">
        <f>'CUOTA LTP'!I10</f>
        <v>4.6999999999999999E-4</v>
      </c>
      <c r="M31" s="23">
        <f>'CUOTA LTP'!J10</f>
        <v>0</v>
      </c>
      <c r="N31" s="22" t="s">
        <v>86</v>
      </c>
      <c r="O31" s="22">
        <f>'RESUMEN '!$B$3</f>
        <v>44095</v>
      </c>
      <c r="P31" s="10">
        <v>2020</v>
      </c>
      <c r="Q31" s="10"/>
    </row>
    <row r="32" spans="1:17" x14ac:dyDescent="0.25">
      <c r="A32" s="10" t="s">
        <v>45</v>
      </c>
      <c r="B32" s="10" t="s">
        <v>78</v>
      </c>
      <c r="C32" s="10" t="s">
        <v>93</v>
      </c>
      <c r="D32" s="10" t="s">
        <v>94</v>
      </c>
      <c r="E32" s="10" t="str">
        <f>'CUOTA LTP'!C10</f>
        <v>ZUÑIGA ROMERO GONZALO</v>
      </c>
      <c r="F32" s="10" t="s">
        <v>83</v>
      </c>
      <c r="G32" s="10" t="s">
        <v>84</v>
      </c>
      <c r="H32" s="21">
        <f>'CUOTA LTP'!E11</f>
        <v>4.6999999999999999E-4</v>
      </c>
      <c r="I32" s="21">
        <f>'CUOTA LTP'!F11</f>
        <v>0</v>
      </c>
      <c r="J32" s="21">
        <f>'CUOTA LTP'!G11</f>
        <v>9.3999999999999997E-4</v>
      </c>
      <c r="K32" s="21">
        <f>'CUOTA LTP'!H11</f>
        <v>0</v>
      </c>
      <c r="L32" s="21">
        <f>'CUOTA LTP'!I11</f>
        <v>9.3999999999999997E-4</v>
      </c>
      <c r="M32" s="23">
        <f>'CUOTA LTP'!J11</f>
        <v>0</v>
      </c>
      <c r="N32" s="22" t="s">
        <v>86</v>
      </c>
      <c r="O32" s="22">
        <f>'RESUMEN '!$B$3</f>
        <v>44095</v>
      </c>
      <c r="P32" s="10">
        <v>2020</v>
      </c>
      <c r="Q32" s="10"/>
    </row>
    <row r="33" spans="1:17" x14ac:dyDescent="0.25">
      <c r="A33" s="10" t="s">
        <v>45</v>
      </c>
      <c r="B33" s="10" t="s">
        <v>78</v>
      </c>
      <c r="C33" s="10" t="s">
        <v>93</v>
      </c>
      <c r="D33" s="10" t="s">
        <v>94</v>
      </c>
      <c r="E33" s="10" t="str">
        <f>'CUOTA LTP'!C10</f>
        <v>ZUÑIGA ROMERO GONZALO</v>
      </c>
      <c r="F33" s="10" t="s">
        <v>85</v>
      </c>
      <c r="G33" s="10" t="s">
        <v>84</v>
      </c>
      <c r="H33" s="21">
        <f>'CUOTA LTP'!K10</f>
        <v>9.3999999999999997E-4</v>
      </c>
      <c r="I33" s="21">
        <f>'CUOTA LTP'!L10</f>
        <v>0</v>
      </c>
      <c r="J33" s="21">
        <f>'CUOTA LTP'!M10</f>
        <v>9.3999999999999997E-4</v>
      </c>
      <c r="K33" s="21">
        <f>'CUOTA LTP'!N10</f>
        <v>0</v>
      </c>
      <c r="L33" s="21">
        <f>'CUOTA LTP'!O10</f>
        <v>9.3999999999999997E-4</v>
      </c>
      <c r="M33" s="23">
        <f>'CUOTA LTP'!P10</f>
        <v>0</v>
      </c>
      <c r="N33" s="22" t="s">
        <v>86</v>
      </c>
      <c r="O33" s="22">
        <f>'RESUMEN '!$B$3</f>
        <v>44095</v>
      </c>
      <c r="P33" s="10">
        <v>2020</v>
      </c>
      <c r="Q33" s="10"/>
    </row>
    <row r="34" spans="1:17" x14ac:dyDescent="0.25">
      <c r="A34" s="10" t="s">
        <v>45</v>
      </c>
      <c r="B34" s="10" t="s">
        <v>78</v>
      </c>
      <c r="C34" s="10" t="s">
        <v>93</v>
      </c>
      <c r="D34" s="10" t="s">
        <v>94</v>
      </c>
      <c r="E34" s="10" t="str">
        <f>'CUOTA LTP'!C12</f>
        <v>BRACPESCA S.A.</v>
      </c>
      <c r="F34" s="10" t="s">
        <v>81</v>
      </c>
      <c r="G34" s="10" t="s">
        <v>82</v>
      </c>
      <c r="H34" s="21">
        <f>'CUOTA LTP'!E12</f>
        <v>0.48071999999999998</v>
      </c>
      <c r="I34" s="21">
        <f>'CUOTA LTP'!F12</f>
        <v>0</v>
      </c>
      <c r="J34" s="21">
        <f>'CUOTA LTP'!G12</f>
        <v>0.48071999999999998</v>
      </c>
      <c r="K34" s="21">
        <f>'CUOTA LTP'!H12</f>
        <v>0</v>
      </c>
      <c r="L34" s="21">
        <f>'CUOTA LTP'!I12</f>
        <v>0.48071999999999998</v>
      </c>
      <c r="M34" s="23">
        <f>'CUOTA LTP'!J12</f>
        <v>0</v>
      </c>
      <c r="N34" s="22" t="s">
        <v>86</v>
      </c>
      <c r="O34" s="22">
        <f>'RESUMEN '!$B$3</f>
        <v>44095</v>
      </c>
      <c r="P34" s="10">
        <v>2020</v>
      </c>
      <c r="Q34" s="10"/>
    </row>
    <row r="35" spans="1:17" x14ac:dyDescent="0.25">
      <c r="A35" s="10" t="s">
        <v>45</v>
      </c>
      <c r="B35" s="10" t="s">
        <v>78</v>
      </c>
      <c r="C35" s="10" t="s">
        <v>93</v>
      </c>
      <c r="D35" s="10" t="s">
        <v>94</v>
      </c>
      <c r="E35" s="10" t="str">
        <f>'CUOTA LTP'!C12</f>
        <v>BRACPESCA S.A.</v>
      </c>
      <c r="F35" s="10" t="s">
        <v>83</v>
      </c>
      <c r="G35" s="10" t="s">
        <v>84</v>
      </c>
      <c r="H35" s="21">
        <f>'CUOTA LTP'!E13</f>
        <v>0.48071999999999998</v>
      </c>
      <c r="I35" s="21">
        <f>'CUOTA LTP'!F13</f>
        <v>0</v>
      </c>
      <c r="J35" s="21">
        <f>'CUOTA LTP'!G13</f>
        <v>0.96143999999999996</v>
      </c>
      <c r="K35" s="21">
        <f>'CUOTA LTP'!H13</f>
        <v>0</v>
      </c>
      <c r="L35" s="21">
        <f>'CUOTA LTP'!I13</f>
        <v>0.96143999999999996</v>
      </c>
      <c r="M35" s="23">
        <f>'CUOTA LTP'!J13</f>
        <v>0</v>
      </c>
      <c r="N35" s="22" t="s">
        <v>86</v>
      </c>
      <c r="O35" s="22">
        <f>'RESUMEN '!$B$3</f>
        <v>44095</v>
      </c>
      <c r="P35" s="10">
        <v>2020</v>
      </c>
      <c r="Q35" s="10"/>
    </row>
    <row r="36" spans="1:17" x14ac:dyDescent="0.25">
      <c r="A36" s="10" t="s">
        <v>45</v>
      </c>
      <c r="B36" s="10" t="s">
        <v>78</v>
      </c>
      <c r="C36" s="10" t="s">
        <v>93</v>
      </c>
      <c r="D36" s="10" t="s">
        <v>94</v>
      </c>
      <c r="E36" s="10" t="str">
        <f>'CUOTA LTP'!C12</f>
        <v>BRACPESCA S.A.</v>
      </c>
      <c r="F36" s="10" t="s">
        <v>85</v>
      </c>
      <c r="G36" s="10" t="s">
        <v>84</v>
      </c>
      <c r="H36" s="21">
        <f>'CUOTA LTP'!K12</f>
        <v>0.96143999999999996</v>
      </c>
      <c r="I36" s="21">
        <f>'CUOTA LTP'!L12</f>
        <v>0</v>
      </c>
      <c r="J36" s="21">
        <f>'CUOTA LTP'!M12</f>
        <v>0.96143999999999996</v>
      </c>
      <c r="K36" s="21">
        <f>'CUOTA LTP'!N12</f>
        <v>0</v>
      </c>
      <c r="L36" s="21">
        <f>'CUOTA LTP'!O12</f>
        <v>0.96143999999999996</v>
      </c>
      <c r="M36" s="23">
        <f>'CUOTA LTP'!P12</f>
        <v>0</v>
      </c>
      <c r="N36" s="22" t="s">
        <v>86</v>
      </c>
      <c r="O36" s="22">
        <f>'RESUMEN '!$B$3</f>
        <v>44095</v>
      </c>
      <c r="P36" s="10">
        <v>2020</v>
      </c>
      <c r="Q36" s="10"/>
    </row>
    <row r="37" spans="1:17" x14ac:dyDescent="0.25">
      <c r="A37" s="10" t="s">
        <v>45</v>
      </c>
      <c r="B37" s="10" t="s">
        <v>78</v>
      </c>
      <c r="C37" s="10" t="s">
        <v>93</v>
      </c>
      <c r="D37" s="10" t="s">
        <v>94</v>
      </c>
      <c r="E37" s="10" t="str">
        <f>'CUOTA LTP'!C14</f>
        <v>ISLADAMAS S.A. PESQ.</v>
      </c>
      <c r="F37" s="10" t="s">
        <v>81</v>
      </c>
      <c r="G37" s="10" t="s">
        <v>82</v>
      </c>
      <c r="H37" s="21">
        <f>'CUOTA LTP'!E14</f>
        <v>0.21049000000000001</v>
      </c>
      <c r="I37" s="21">
        <f>'CUOTA LTP'!F14</f>
        <v>0</v>
      </c>
      <c r="J37" s="21">
        <f>'CUOTA LTP'!G14</f>
        <v>0.21049000000000001</v>
      </c>
      <c r="K37" s="21">
        <f>'CUOTA LTP'!H14</f>
        <v>0</v>
      </c>
      <c r="L37" s="21">
        <f>'CUOTA LTP'!I14</f>
        <v>0.21049000000000001</v>
      </c>
      <c r="M37" s="23">
        <f>'CUOTA LTP'!J14</f>
        <v>0</v>
      </c>
      <c r="N37" s="22" t="s">
        <v>86</v>
      </c>
      <c r="O37" s="22">
        <f>'RESUMEN '!$B$3</f>
        <v>44095</v>
      </c>
      <c r="P37" s="10">
        <v>2020</v>
      </c>
      <c r="Q37" s="10"/>
    </row>
    <row r="38" spans="1:17" x14ac:dyDescent="0.25">
      <c r="A38" s="10" t="s">
        <v>45</v>
      </c>
      <c r="B38" s="10" t="s">
        <v>78</v>
      </c>
      <c r="C38" s="10" t="s">
        <v>93</v>
      </c>
      <c r="D38" s="10" t="s">
        <v>94</v>
      </c>
      <c r="E38" s="10" t="str">
        <f>'CUOTA LTP'!C14</f>
        <v>ISLADAMAS S.A. PESQ.</v>
      </c>
      <c r="F38" s="10" t="s">
        <v>83</v>
      </c>
      <c r="G38" s="10" t="s">
        <v>84</v>
      </c>
      <c r="H38" s="21">
        <f>'CUOTA LTP'!E15</f>
        <v>0.21049000000000001</v>
      </c>
      <c r="I38" s="21">
        <f>'CUOTA LTP'!F15</f>
        <v>0</v>
      </c>
      <c r="J38" s="21">
        <f>'CUOTA LTP'!G15</f>
        <v>0.42098000000000002</v>
      </c>
      <c r="K38" s="21">
        <f>'CUOTA LTP'!H15</f>
        <v>0</v>
      </c>
      <c r="L38" s="21">
        <f>'CUOTA LTP'!I15</f>
        <v>0.42098000000000002</v>
      </c>
      <c r="M38" s="23">
        <f>'CUOTA LTP'!J15</f>
        <v>0</v>
      </c>
      <c r="N38" s="22" t="s">
        <v>86</v>
      </c>
      <c r="O38" s="22">
        <f>'RESUMEN '!$B$3</f>
        <v>44095</v>
      </c>
      <c r="P38" s="10">
        <v>2020</v>
      </c>
      <c r="Q38" s="10"/>
    </row>
    <row r="39" spans="1:17" x14ac:dyDescent="0.25">
      <c r="A39" s="10" t="s">
        <v>45</v>
      </c>
      <c r="B39" s="10" t="s">
        <v>78</v>
      </c>
      <c r="C39" s="10" t="s">
        <v>93</v>
      </c>
      <c r="D39" s="10" t="s">
        <v>94</v>
      </c>
      <c r="E39" s="10" t="str">
        <f>'CUOTA LTP'!C14</f>
        <v>ISLADAMAS S.A. PESQ.</v>
      </c>
      <c r="F39" s="10" t="s">
        <v>85</v>
      </c>
      <c r="G39" s="10" t="s">
        <v>84</v>
      </c>
      <c r="H39" s="21">
        <f>'CUOTA LTP'!K14</f>
        <v>0.42098000000000002</v>
      </c>
      <c r="I39" s="21">
        <f>'CUOTA LTP'!L14</f>
        <v>0</v>
      </c>
      <c r="J39" s="21">
        <f>'CUOTA LTP'!M14</f>
        <v>0.42098000000000002</v>
      </c>
      <c r="K39" s="21">
        <f>'CUOTA LTP'!N14</f>
        <v>0</v>
      </c>
      <c r="L39" s="21">
        <f>'CUOTA LTP'!O14</f>
        <v>0.42098000000000002</v>
      </c>
      <c r="M39" s="23">
        <f>'CUOTA LTP'!P14</f>
        <v>0</v>
      </c>
      <c r="N39" s="22" t="s">
        <v>86</v>
      </c>
      <c r="O39" s="22">
        <f>'RESUMEN '!$B$3</f>
        <v>44095</v>
      </c>
      <c r="P39" s="10">
        <v>2020</v>
      </c>
      <c r="Q39" s="10"/>
    </row>
    <row r="40" spans="1:17" x14ac:dyDescent="0.25">
      <c r="A40" s="10" t="s">
        <v>45</v>
      </c>
      <c r="B40" s="10" t="s">
        <v>78</v>
      </c>
      <c r="C40" s="10" t="s">
        <v>93</v>
      </c>
      <c r="D40" s="10" t="s">
        <v>94</v>
      </c>
      <c r="E40" s="10" t="str">
        <f>'CUOTA LTP'!C16</f>
        <v>RUBIO Y MAUAD LTDA.</v>
      </c>
      <c r="F40" s="10" t="s">
        <v>81</v>
      </c>
      <c r="G40" s="10" t="s">
        <v>82</v>
      </c>
      <c r="H40" s="21">
        <f>'CUOTA LTP'!E16</f>
        <v>6.5319999999999989E-2</v>
      </c>
      <c r="I40" s="21">
        <f>'CUOTA LTP'!F16</f>
        <v>0</v>
      </c>
      <c r="J40" s="21">
        <f>'CUOTA LTP'!G16</f>
        <v>6.5319999999999989E-2</v>
      </c>
      <c r="K40" s="21">
        <f>'CUOTA LTP'!H16</f>
        <v>0</v>
      </c>
      <c r="L40" s="21">
        <f>'CUOTA LTP'!I16</f>
        <v>6.5319999999999989E-2</v>
      </c>
      <c r="M40" s="23">
        <f>'CUOTA LTP'!J16</f>
        <v>0</v>
      </c>
      <c r="N40" s="22" t="s">
        <v>86</v>
      </c>
      <c r="O40" s="22">
        <f>'RESUMEN '!$B$3</f>
        <v>44095</v>
      </c>
      <c r="P40" s="10">
        <v>2020</v>
      </c>
      <c r="Q40" s="10"/>
    </row>
    <row r="41" spans="1:17" x14ac:dyDescent="0.25">
      <c r="A41" s="10" t="s">
        <v>45</v>
      </c>
      <c r="B41" s="10" t="s">
        <v>78</v>
      </c>
      <c r="C41" s="10" t="s">
        <v>93</v>
      </c>
      <c r="D41" s="10" t="s">
        <v>94</v>
      </c>
      <c r="E41" s="10" t="str">
        <f>'CUOTA LTP'!C16</f>
        <v>RUBIO Y MAUAD LTDA.</v>
      </c>
      <c r="F41" s="10" t="s">
        <v>83</v>
      </c>
      <c r="G41" s="10" t="s">
        <v>84</v>
      </c>
      <c r="H41" s="21">
        <f>'CUOTA LTP'!E17</f>
        <v>6.5319999999999989E-2</v>
      </c>
      <c r="I41" s="21">
        <f>'CUOTA LTP'!F17</f>
        <v>0</v>
      </c>
      <c r="J41" s="21">
        <f>'CUOTA LTP'!G17</f>
        <v>0.13063999999999998</v>
      </c>
      <c r="K41" s="21">
        <f>'CUOTA LTP'!H17</f>
        <v>0</v>
      </c>
      <c r="L41" s="21">
        <f>'CUOTA LTP'!I17</f>
        <v>0.13063999999999998</v>
      </c>
      <c r="M41" s="23">
        <f>'CUOTA LTP'!J17</f>
        <v>0</v>
      </c>
      <c r="N41" s="22" t="s">
        <v>86</v>
      </c>
      <c r="O41" s="22">
        <f>'RESUMEN '!$B$3</f>
        <v>44095</v>
      </c>
      <c r="P41" s="10">
        <v>2020</v>
      </c>
      <c r="Q41" s="10"/>
    </row>
    <row r="42" spans="1:17" x14ac:dyDescent="0.25">
      <c r="A42" s="10" t="s">
        <v>45</v>
      </c>
      <c r="B42" s="10" t="s">
        <v>78</v>
      </c>
      <c r="C42" s="10" t="s">
        <v>93</v>
      </c>
      <c r="D42" s="10" t="s">
        <v>94</v>
      </c>
      <c r="E42" s="10" t="str">
        <f>'CUOTA LTP'!C16</f>
        <v>RUBIO Y MAUAD LTDA.</v>
      </c>
      <c r="F42" s="10" t="s">
        <v>85</v>
      </c>
      <c r="G42" s="10" t="s">
        <v>84</v>
      </c>
      <c r="H42" s="21">
        <f>'CUOTA LTP'!K16</f>
        <v>0.13063999999999998</v>
      </c>
      <c r="I42" s="21">
        <f>'CUOTA LTP'!L16</f>
        <v>0</v>
      </c>
      <c r="J42" s="21">
        <f>'CUOTA LTP'!M16</f>
        <v>0.13063999999999998</v>
      </c>
      <c r="K42" s="21">
        <f>'CUOTA LTP'!N16</f>
        <v>0</v>
      </c>
      <c r="L42" s="21">
        <f>'CUOTA LTP'!O16</f>
        <v>0.13063999999999998</v>
      </c>
      <c r="M42" s="23">
        <f>'CUOTA LTP'!P16</f>
        <v>0</v>
      </c>
      <c r="N42" s="22" t="s">
        <v>86</v>
      </c>
      <c r="O42" s="22">
        <f>'RESUMEN '!$B$3</f>
        <v>44095</v>
      </c>
      <c r="P42" s="10">
        <v>2020</v>
      </c>
      <c r="Q42" s="10"/>
    </row>
    <row r="43" spans="1:17" x14ac:dyDescent="0.25">
      <c r="A43" s="10" t="s">
        <v>45</v>
      </c>
      <c r="B43" s="10" t="s">
        <v>78</v>
      </c>
      <c r="C43" s="10" t="s">
        <v>88</v>
      </c>
      <c r="D43" s="10" t="s">
        <v>94</v>
      </c>
      <c r="E43" s="10" t="str">
        <f>'CUOTA LTP'!C18</f>
        <v>ANTARTIC SEAFOOD S.A.</v>
      </c>
      <c r="F43" s="10" t="s">
        <v>81</v>
      </c>
      <c r="G43" s="10" t="s">
        <v>82</v>
      </c>
      <c r="H43" s="21">
        <f>'CUOTA LTP'!E18</f>
        <v>8.9268000000000001</v>
      </c>
      <c r="I43" s="21">
        <f>'CUOTA LTP'!F18</f>
        <v>60</v>
      </c>
      <c r="J43" s="21">
        <f>'CUOTA LTP'!G18</f>
        <v>68.9268</v>
      </c>
      <c r="K43" s="21">
        <f>'CUOTA LTP'!H18</f>
        <v>17.524000000000001</v>
      </c>
      <c r="L43" s="21">
        <f>'CUOTA LTP'!I18</f>
        <v>51.402799999999999</v>
      </c>
      <c r="M43" s="23">
        <f>'CUOTA LTP'!J18</f>
        <v>0.25424073074624093</v>
      </c>
      <c r="N43" s="22" t="s">
        <v>86</v>
      </c>
      <c r="O43" s="22">
        <f>'RESUMEN '!$B$3</f>
        <v>44095</v>
      </c>
      <c r="P43" s="10">
        <v>2020</v>
      </c>
      <c r="Q43" s="10"/>
    </row>
    <row r="44" spans="1:17" x14ac:dyDescent="0.25">
      <c r="A44" s="10" t="s">
        <v>45</v>
      </c>
      <c r="B44" s="10" t="s">
        <v>78</v>
      </c>
      <c r="C44" s="10" t="s">
        <v>88</v>
      </c>
      <c r="D44" s="10" t="s">
        <v>94</v>
      </c>
      <c r="E44" s="10" t="str">
        <f>'CUOTA LTP'!C18</f>
        <v>ANTARTIC SEAFOOD S.A.</v>
      </c>
      <c r="F44" s="10" t="s">
        <v>83</v>
      </c>
      <c r="G44" s="10" t="s">
        <v>84</v>
      </c>
      <c r="H44" s="21">
        <f>'CUOTA LTP'!E19</f>
        <v>0.96505999999999992</v>
      </c>
      <c r="I44" s="21">
        <f>'CUOTA LTP'!F19</f>
        <v>0</v>
      </c>
      <c r="J44" s="21">
        <f>'CUOTA LTP'!G19</f>
        <v>52.36786</v>
      </c>
      <c r="K44" s="21">
        <f>'CUOTA LTP'!H19</f>
        <v>0</v>
      </c>
      <c r="L44" s="21">
        <f>'CUOTA LTP'!I19</f>
        <v>52.36786</v>
      </c>
      <c r="M44" s="23">
        <f>'CUOTA LTP'!J19</f>
        <v>0</v>
      </c>
      <c r="N44" s="22" t="s">
        <v>86</v>
      </c>
      <c r="O44" s="22">
        <f>'RESUMEN '!$B$3</f>
        <v>44095</v>
      </c>
      <c r="P44" s="10">
        <v>2020</v>
      </c>
      <c r="Q44" s="10"/>
    </row>
    <row r="45" spans="1:17" x14ac:dyDescent="0.25">
      <c r="A45" s="10" t="s">
        <v>45</v>
      </c>
      <c r="B45" s="10" t="s">
        <v>78</v>
      </c>
      <c r="C45" s="10" t="s">
        <v>88</v>
      </c>
      <c r="D45" s="10" t="s">
        <v>94</v>
      </c>
      <c r="E45" s="10" t="str">
        <f>'CUOTA LTP'!C18</f>
        <v>ANTARTIC SEAFOOD S.A.</v>
      </c>
      <c r="F45" s="10" t="s">
        <v>85</v>
      </c>
      <c r="G45" s="10" t="s">
        <v>84</v>
      </c>
      <c r="H45" s="21">
        <f>'CUOTA LTP'!K18</f>
        <v>9.8918599999999994</v>
      </c>
      <c r="I45" s="21">
        <f>'CUOTA LTP'!L18</f>
        <v>60</v>
      </c>
      <c r="J45" s="21">
        <f>'CUOTA LTP'!M18</f>
        <v>69.891859999999994</v>
      </c>
      <c r="K45" s="21">
        <f>'CUOTA LTP'!N18</f>
        <v>17.524000000000001</v>
      </c>
      <c r="L45" s="21">
        <f>'CUOTA LTP'!O18</f>
        <v>52.367859999999993</v>
      </c>
      <c r="M45" s="23">
        <f>'CUOTA LTP'!P18</f>
        <v>0.25073019948245767</v>
      </c>
      <c r="N45" s="22" t="s">
        <v>86</v>
      </c>
      <c r="O45" s="22">
        <f>'RESUMEN '!$B$3</f>
        <v>44095</v>
      </c>
      <c r="P45" s="10">
        <v>2020</v>
      </c>
      <c r="Q45" s="10"/>
    </row>
    <row r="46" spans="1:17" x14ac:dyDescent="0.25">
      <c r="A46" s="10" t="s">
        <v>45</v>
      </c>
      <c r="B46" s="10" t="s">
        <v>78</v>
      </c>
      <c r="C46" s="10" t="s">
        <v>88</v>
      </c>
      <c r="D46" s="10" t="s">
        <v>94</v>
      </c>
      <c r="E46" s="10" t="str">
        <f>'CUOTA LTP'!C20</f>
        <v>QUINTERO S.A. PESQ.</v>
      </c>
      <c r="F46" s="10" t="s">
        <v>81</v>
      </c>
      <c r="G46" s="10" t="s">
        <v>82</v>
      </c>
      <c r="H46" s="21">
        <f>'CUOTA LTP'!E20</f>
        <v>6.4009999999999997E-2</v>
      </c>
      <c r="I46" s="21">
        <f>'CUOTA LTP'!F20</f>
        <v>0</v>
      </c>
      <c r="J46" s="21">
        <f>'CUOTA LTP'!G20</f>
        <v>6.4009999999999997E-2</v>
      </c>
      <c r="K46" s="21">
        <f>'CUOTA LTP'!H20</f>
        <v>0</v>
      </c>
      <c r="L46" s="21">
        <f>'CUOTA LTP'!I20</f>
        <v>6.4009999999999997E-2</v>
      </c>
      <c r="M46" s="23">
        <f>'CUOTA LTP'!J20</f>
        <v>0</v>
      </c>
      <c r="N46" s="22" t="s">
        <v>86</v>
      </c>
      <c r="O46" s="22">
        <f>'RESUMEN '!$B$3</f>
        <v>44095</v>
      </c>
      <c r="P46" s="10">
        <v>2020</v>
      </c>
      <c r="Q46" s="10"/>
    </row>
    <row r="47" spans="1:17" x14ac:dyDescent="0.25">
      <c r="A47" s="10" t="s">
        <v>45</v>
      </c>
      <c r="B47" s="10" t="s">
        <v>78</v>
      </c>
      <c r="C47" s="10" t="s">
        <v>88</v>
      </c>
      <c r="D47" s="10" t="s">
        <v>94</v>
      </c>
      <c r="E47" s="10" t="str">
        <f>'CUOTA LTP'!C20</f>
        <v>QUINTERO S.A. PESQ.</v>
      </c>
      <c r="F47" s="10" t="s">
        <v>83</v>
      </c>
      <c r="G47" s="10" t="s">
        <v>84</v>
      </c>
      <c r="H47" s="21">
        <f>'CUOTA LTP'!E21</f>
        <v>6.9199999999999999E-3</v>
      </c>
      <c r="I47" s="21">
        <f>'CUOTA LTP'!F21</f>
        <v>0</v>
      </c>
      <c r="J47" s="21">
        <f>'CUOTA LTP'!G21</f>
        <v>7.0929999999999993E-2</v>
      </c>
      <c r="K47" s="21">
        <f>'CUOTA LTP'!H21</f>
        <v>0</v>
      </c>
      <c r="L47" s="21">
        <f>'CUOTA LTP'!I21</f>
        <v>7.0929999999999993E-2</v>
      </c>
      <c r="M47" s="23">
        <f>'CUOTA LTP'!J21</f>
        <v>0</v>
      </c>
      <c r="N47" s="22" t="s">
        <v>86</v>
      </c>
      <c r="O47" s="22">
        <f>'RESUMEN '!$B$3</f>
        <v>44095</v>
      </c>
      <c r="P47" s="10">
        <v>2020</v>
      </c>
      <c r="Q47" s="10"/>
    </row>
    <row r="48" spans="1:17" x14ac:dyDescent="0.25">
      <c r="A48" s="10" t="s">
        <v>45</v>
      </c>
      <c r="B48" s="10" t="s">
        <v>78</v>
      </c>
      <c r="C48" s="10" t="s">
        <v>88</v>
      </c>
      <c r="D48" s="10" t="s">
        <v>94</v>
      </c>
      <c r="E48" s="10" t="str">
        <f>'CUOTA LTP'!C20</f>
        <v>QUINTERO S.A. PESQ.</v>
      </c>
      <c r="F48" s="10" t="s">
        <v>85</v>
      </c>
      <c r="G48" s="10" t="s">
        <v>84</v>
      </c>
      <c r="H48" s="21">
        <f>'CUOTA LTP'!K20</f>
        <v>7.0929999999999993E-2</v>
      </c>
      <c r="I48" s="21">
        <f>'CUOTA LTP'!L20</f>
        <v>0</v>
      </c>
      <c r="J48" s="21">
        <f>'CUOTA LTP'!M20</f>
        <v>7.0929999999999993E-2</v>
      </c>
      <c r="K48" s="21">
        <f>'CUOTA LTP'!N20</f>
        <v>0</v>
      </c>
      <c r="L48" s="21">
        <f>'CUOTA LTP'!O20</f>
        <v>7.0929999999999993E-2</v>
      </c>
      <c r="M48" s="23">
        <f>'CUOTA LTP'!P20</f>
        <v>0</v>
      </c>
      <c r="N48" s="22" t="s">
        <v>86</v>
      </c>
      <c r="O48" s="22">
        <f>'RESUMEN '!$B$3</f>
        <v>44095</v>
      </c>
      <c r="P48" s="10">
        <v>2020</v>
      </c>
      <c r="Q48" s="10"/>
    </row>
    <row r="49" spans="1:17" x14ac:dyDescent="0.25">
      <c r="A49" s="10" t="s">
        <v>45</v>
      </c>
      <c r="B49" s="10" t="s">
        <v>78</v>
      </c>
      <c r="C49" s="10" t="s">
        <v>88</v>
      </c>
      <c r="D49" s="10" t="s">
        <v>94</v>
      </c>
      <c r="E49" s="10" t="str">
        <f>'CUOTA LTP'!C22</f>
        <v>ZUÑIGA ROMERO GONZALO</v>
      </c>
      <c r="F49" s="10" t="s">
        <v>81</v>
      </c>
      <c r="G49" s="10" t="s">
        <v>82</v>
      </c>
      <c r="H49" s="21">
        <f>'CUOTA LTP'!E22</f>
        <v>1.7389999999999999E-2</v>
      </c>
      <c r="I49" s="21">
        <f>'CUOTA LTP'!F22</f>
        <v>0</v>
      </c>
      <c r="J49" s="21">
        <f>'CUOTA LTP'!G22</f>
        <v>1.7389999999999999E-2</v>
      </c>
      <c r="K49" s="21">
        <f>'CUOTA LTP'!H22</f>
        <v>0</v>
      </c>
      <c r="L49" s="21">
        <f>'CUOTA LTP'!I22</f>
        <v>1.7389999999999999E-2</v>
      </c>
      <c r="M49" s="23">
        <f>'CUOTA LTP'!J22</f>
        <v>0</v>
      </c>
      <c r="N49" s="22" t="s">
        <v>86</v>
      </c>
      <c r="O49" s="22">
        <f>'RESUMEN '!$B$3</f>
        <v>44095</v>
      </c>
      <c r="P49" s="10">
        <v>2020</v>
      </c>
      <c r="Q49" s="10"/>
    </row>
    <row r="50" spans="1:17" x14ac:dyDescent="0.25">
      <c r="A50" s="10" t="s">
        <v>45</v>
      </c>
      <c r="B50" s="10" t="s">
        <v>78</v>
      </c>
      <c r="C50" s="10" t="s">
        <v>88</v>
      </c>
      <c r="D50" s="10" t="s">
        <v>94</v>
      </c>
      <c r="E50" s="10" t="str">
        <f>'CUOTA LTP'!C22</f>
        <v>ZUÑIGA ROMERO GONZALO</v>
      </c>
      <c r="F50" s="10" t="s">
        <v>83</v>
      </c>
      <c r="G50" s="10" t="s">
        <v>84</v>
      </c>
      <c r="H50" s="21">
        <f>'CUOTA LTP'!E23</f>
        <v>1.8799999999999999E-3</v>
      </c>
      <c r="I50" s="21">
        <f>'CUOTA LTP'!F23</f>
        <v>0</v>
      </c>
      <c r="J50" s="21">
        <f>'CUOTA LTP'!G23</f>
        <v>1.9269999999999999E-2</v>
      </c>
      <c r="K50" s="21">
        <f>'CUOTA LTP'!H23</f>
        <v>0</v>
      </c>
      <c r="L50" s="21">
        <f>'CUOTA LTP'!I23</f>
        <v>1.9269999999999999E-2</v>
      </c>
      <c r="M50" s="23">
        <f>'CUOTA LTP'!J23</f>
        <v>0</v>
      </c>
      <c r="N50" s="22" t="s">
        <v>86</v>
      </c>
      <c r="O50" s="22">
        <f>'RESUMEN '!$B$3</f>
        <v>44095</v>
      </c>
      <c r="P50" s="10">
        <v>2020</v>
      </c>
      <c r="Q50" s="10"/>
    </row>
    <row r="51" spans="1:17" x14ac:dyDescent="0.25">
      <c r="A51" s="10" t="s">
        <v>45</v>
      </c>
      <c r="B51" s="10" t="s">
        <v>78</v>
      </c>
      <c r="C51" s="10" t="s">
        <v>88</v>
      </c>
      <c r="D51" s="10" t="s">
        <v>94</v>
      </c>
      <c r="E51" s="10" t="str">
        <f>'CUOTA LTP'!C22</f>
        <v>ZUÑIGA ROMERO GONZALO</v>
      </c>
      <c r="F51" s="10" t="s">
        <v>85</v>
      </c>
      <c r="G51" s="10" t="s">
        <v>84</v>
      </c>
      <c r="H51" s="21">
        <f>'CUOTA LTP'!K22</f>
        <v>1.9269999999999999E-2</v>
      </c>
      <c r="I51" s="21">
        <f>'CUOTA LTP'!L22</f>
        <v>0</v>
      </c>
      <c r="J51" s="21">
        <f>'CUOTA LTP'!M22</f>
        <v>1.9269999999999999E-2</v>
      </c>
      <c r="K51" s="21">
        <f>'CUOTA LTP'!N22</f>
        <v>0</v>
      </c>
      <c r="L51" s="21">
        <f>'CUOTA LTP'!O22</f>
        <v>1.9269999999999999E-2</v>
      </c>
      <c r="M51" s="23">
        <f>'CUOTA LTP'!P22</f>
        <v>0</v>
      </c>
      <c r="N51" s="22" t="s">
        <v>86</v>
      </c>
      <c r="O51" s="22">
        <f>'RESUMEN '!$B$3</f>
        <v>44095</v>
      </c>
      <c r="P51" s="10">
        <v>2020</v>
      </c>
      <c r="Q51" s="10"/>
    </row>
    <row r="52" spans="1:17" x14ac:dyDescent="0.25">
      <c r="A52" s="10" t="s">
        <v>45</v>
      </c>
      <c r="B52" s="10" t="s">
        <v>78</v>
      </c>
      <c r="C52" s="10" t="s">
        <v>88</v>
      </c>
      <c r="D52" s="10" t="s">
        <v>94</v>
      </c>
      <c r="E52" s="10" t="str">
        <f>'CUOTA LTP'!C24</f>
        <v>BRACPESCA S.A.</v>
      </c>
      <c r="F52" s="10" t="s">
        <v>81</v>
      </c>
      <c r="G52" s="10" t="s">
        <v>82</v>
      </c>
      <c r="H52" s="21">
        <f>'CUOTA LTP'!E24</f>
        <v>17.786709999999999</v>
      </c>
      <c r="I52" s="21">
        <f>'CUOTA LTP'!F24</f>
        <v>69.043999999999997</v>
      </c>
      <c r="J52" s="21">
        <f>'CUOTA LTP'!G24</f>
        <v>86.830709999999996</v>
      </c>
      <c r="K52" s="21">
        <f>'CUOTA LTP'!H24</f>
        <v>6.7000000000000004E-2</v>
      </c>
      <c r="L52" s="21">
        <f>'CUOTA LTP'!I24</f>
        <v>86.763710000000003</v>
      </c>
      <c r="M52" s="23">
        <f>'CUOTA LTP'!J24</f>
        <v>7.7161640161643274E-4</v>
      </c>
      <c r="N52" s="22" t="s">
        <v>86</v>
      </c>
      <c r="O52" s="22">
        <f>'RESUMEN '!$B$3</f>
        <v>44095</v>
      </c>
      <c r="P52" s="10">
        <v>2020</v>
      </c>
      <c r="Q52" s="10"/>
    </row>
    <row r="53" spans="1:17" x14ac:dyDescent="0.25">
      <c r="A53" s="10" t="s">
        <v>45</v>
      </c>
      <c r="B53" s="10" t="s">
        <v>78</v>
      </c>
      <c r="C53" s="10" t="s">
        <v>88</v>
      </c>
      <c r="D53" s="10" t="s">
        <v>94</v>
      </c>
      <c r="E53" s="10" t="str">
        <f>'CUOTA LTP'!C24</f>
        <v>BRACPESCA S.A.</v>
      </c>
      <c r="F53" s="10" t="s">
        <v>83</v>
      </c>
      <c r="G53" s="10" t="s">
        <v>84</v>
      </c>
      <c r="H53" s="21">
        <f>'CUOTA LTP'!E25</f>
        <v>1.92289</v>
      </c>
      <c r="I53" s="21">
        <f>'CUOTA LTP'!F25</f>
        <v>0</v>
      </c>
      <c r="J53" s="21">
        <f>'CUOTA LTP'!G25</f>
        <v>88.686599999999999</v>
      </c>
      <c r="K53" s="21">
        <f>'CUOTA LTP'!H25</f>
        <v>0</v>
      </c>
      <c r="L53" s="21">
        <f>'CUOTA LTP'!I25</f>
        <v>88.686599999999999</v>
      </c>
      <c r="M53" s="23">
        <f>'CUOTA LTP'!J25</f>
        <v>0</v>
      </c>
      <c r="N53" s="22" t="s">
        <v>86</v>
      </c>
      <c r="O53" s="22">
        <f>'RESUMEN '!$B$3</f>
        <v>44095</v>
      </c>
      <c r="P53" s="10">
        <v>2020</v>
      </c>
      <c r="Q53" s="10"/>
    </row>
    <row r="54" spans="1:17" x14ac:dyDescent="0.25">
      <c r="A54" s="10" t="s">
        <v>45</v>
      </c>
      <c r="B54" s="10" t="s">
        <v>78</v>
      </c>
      <c r="C54" s="10" t="s">
        <v>88</v>
      </c>
      <c r="D54" s="10" t="s">
        <v>94</v>
      </c>
      <c r="E54" s="10" t="str">
        <f>'CUOTA LTP'!C24</f>
        <v>BRACPESCA S.A.</v>
      </c>
      <c r="F54" s="10" t="s">
        <v>85</v>
      </c>
      <c r="G54" s="10" t="s">
        <v>84</v>
      </c>
      <c r="H54" s="21">
        <f>'CUOTA LTP'!K24</f>
        <v>19.709599999999998</v>
      </c>
      <c r="I54" s="21">
        <f>'CUOTA LTP'!L24</f>
        <v>69.043999999999997</v>
      </c>
      <c r="J54" s="21">
        <f>'CUOTA LTP'!M24</f>
        <v>88.753599999999992</v>
      </c>
      <c r="K54" s="21">
        <f>'CUOTA LTP'!N24</f>
        <v>6.7000000000000004E-2</v>
      </c>
      <c r="L54" s="21">
        <f>'CUOTA LTP'!O24</f>
        <v>88.686599999999999</v>
      </c>
      <c r="M54" s="23">
        <f>'CUOTA LTP'!P24</f>
        <v>7.5489895621135374E-4</v>
      </c>
      <c r="N54" s="22" t="s">
        <v>86</v>
      </c>
      <c r="O54" s="22">
        <f>'RESUMEN '!$B$3</f>
        <v>44095</v>
      </c>
      <c r="P54" s="10">
        <v>2020</v>
      </c>
      <c r="Q54" s="10"/>
    </row>
    <row r="55" spans="1:17" x14ac:dyDescent="0.25">
      <c r="A55" s="10" t="s">
        <v>45</v>
      </c>
      <c r="B55" s="10" t="s">
        <v>78</v>
      </c>
      <c r="C55" s="10" t="s">
        <v>88</v>
      </c>
      <c r="D55" s="10" t="s">
        <v>94</v>
      </c>
      <c r="E55" s="10" t="str">
        <f>'CUOTA LTP'!C26</f>
        <v>ISLADAMAS S.A. PESQ.</v>
      </c>
      <c r="F55" s="10" t="s">
        <v>81</v>
      </c>
      <c r="G55" s="10" t="s">
        <v>82</v>
      </c>
      <c r="H55" s="21">
        <f>'CUOTA LTP'!E26</f>
        <v>7.7882800000000003</v>
      </c>
      <c r="I55" s="21">
        <f>'CUOTA LTP'!F26</f>
        <v>0</v>
      </c>
      <c r="J55" s="21">
        <f>'CUOTA LTP'!G26</f>
        <v>7.7882800000000003</v>
      </c>
      <c r="K55" s="21">
        <f>'CUOTA LTP'!H26</f>
        <v>6.5819999999999999</v>
      </c>
      <c r="L55" s="21">
        <f>'CUOTA LTP'!I26</f>
        <v>1.2062800000000005</v>
      </c>
      <c r="M55" s="23">
        <f>'CUOTA LTP'!J26</f>
        <v>0.8451159948024467</v>
      </c>
      <c r="N55" s="22" t="s">
        <v>86</v>
      </c>
      <c r="O55" s="22">
        <f>'RESUMEN '!$B$3</f>
        <v>44095</v>
      </c>
      <c r="P55" s="10">
        <v>2020</v>
      </c>
      <c r="Q55" s="10"/>
    </row>
    <row r="56" spans="1:17" x14ac:dyDescent="0.25">
      <c r="A56" s="10" t="s">
        <v>45</v>
      </c>
      <c r="B56" s="10" t="s">
        <v>78</v>
      </c>
      <c r="C56" s="10" t="s">
        <v>88</v>
      </c>
      <c r="D56" s="10" t="s">
        <v>94</v>
      </c>
      <c r="E56" s="10" t="str">
        <f>'CUOTA LTP'!C26</f>
        <v>ISLADAMAS S.A. PESQ.</v>
      </c>
      <c r="F56" s="10" t="s">
        <v>83</v>
      </c>
      <c r="G56" s="10" t="s">
        <v>84</v>
      </c>
      <c r="H56" s="21">
        <f>'CUOTA LTP'!E27</f>
        <v>0.84197000000000011</v>
      </c>
      <c r="I56" s="21">
        <f>'CUOTA LTP'!F27</f>
        <v>0</v>
      </c>
      <c r="J56" s="21">
        <f>'CUOTA LTP'!G27</f>
        <v>2.0482500000000003</v>
      </c>
      <c r="K56" s="21">
        <f>'CUOTA LTP'!H27</f>
        <v>0</v>
      </c>
      <c r="L56" s="21">
        <f>'CUOTA LTP'!I27</f>
        <v>2.0482500000000003</v>
      </c>
      <c r="M56" s="23">
        <f>'CUOTA LTP'!J27</f>
        <v>0</v>
      </c>
      <c r="N56" s="22" t="s">
        <v>86</v>
      </c>
      <c r="O56" s="22">
        <f>'RESUMEN '!$B$3</f>
        <v>44095</v>
      </c>
      <c r="P56" s="10">
        <v>2020</v>
      </c>
      <c r="Q56" s="10"/>
    </row>
    <row r="57" spans="1:17" x14ac:dyDescent="0.25">
      <c r="A57" s="10" t="s">
        <v>45</v>
      </c>
      <c r="B57" s="10" t="s">
        <v>78</v>
      </c>
      <c r="C57" s="10" t="s">
        <v>88</v>
      </c>
      <c r="D57" s="10" t="s">
        <v>94</v>
      </c>
      <c r="E57" s="10" t="str">
        <f>'CUOTA LTP'!C26</f>
        <v>ISLADAMAS S.A. PESQ.</v>
      </c>
      <c r="F57" s="10" t="s">
        <v>85</v>
      </c>
      <c r="G57" s="10" t="s">
        <v>84</v>
      </c>
      <c r="H57" s="21">
        <f>'CUOTA LTP'!K26</f>
        <v>8.6302500000000002</v>
      </c>
      <c r="I57" s="21">
        <f>'CUOTA LTP'!L26</f>
        <v>0</v>
      </c>
      <c r="J57" s="21">
        <f>'CUOTA LTP'!M26</f>
        <v>8.6302500000000002</v>
      </c>
      <c r="K57" s="21">
        <f>'CUOTA LTP'!N26</f>
        <v>6.5819999999999999</v>
      </c>
      <c r="L57" s="21">
        <f>'CUOTA LTP'!O26</f>
        <v>2.0482500000000003</v>
      </c>
      <c r="M57" s="23">
        <f>'CUOTA LTP'!P26</f>
        <v>0.76266620318067258</v>
      </c>
      <c r="N57" s="22" t="s">
        <v>86</v>
      </c>
      <c r="O57" s="22">
        <f>'RESUMEN '!$B$3</f>
        <v>44095</v>
      </c>
      <c r="P57" s="10">
        <v>2020</v>
      </c>
      <c r="Q57" s="10"/>
    </row>
    <row r="58" spans="1:17" x14ac:dyDescent="0.25">
      <c r="A58" s="10" t="s">
        <v>45</v>
      </c>
      <c r="B58" s="10" t="s">
        <v>78</v>
      </c>
      <c r="C58" s="10" t="s">
        <v>88</v>
      </c>
      <c r="D58" s="10" t="s">
        <v>94</v>
      </c>
      <c r="E58" s="10" t="str">
        <f>'CUOTA LTP'!C28</f>
        <v>RUBIO Y MAUAD LTDA.</v>
      </c>
      <c r="F58" s="10" t="s">
        <v>81</v>
      </c>
      <c r="G58" s="10" t="s">
        <v>82</v>
      </c>
      <c r="H58" s="21">
        <f>'CUOTA LTP'!E28</f>
        <v>2.4168100000000003</v>
      </c>
      <c r="I58" s="21">
        <f>'CUOTA LTP'!F28</f>
        <v>-2.6</v>
      </c>
      <c r="J58" s="21">
        <f>'CUOTA LTP'!G28</f>
        <v>-0.18318999999999974</v>
      </c>
      <c r="K58" s="21">
        <f>'CUOTA LTP'!H28</f>
        <v>0</v>
      </c>
      <c r="L58" s="21">
        <f>'CUOTA LTP'!I28</f>
        <v>-0.18318999999999974</v>
      </c>
      <c r="M58" s="23">
        <f>'CUOTA LTP'!J28</f>
        <v>0</v>
      </c>
      <c r="N58" s="22" t="s">
        <v>86</v>
      </c>
      <c r="O58" s="22">
        <f>'RESUMEN '!$B$3</f>
        <v>44095</v>
      </c>
      <c r="P58" s="10">
        <v>2020</v>
      </c>
      <c r="Q58" s="10"/>
    </row>
    <row r="59" spans="1:17" x14ac:dyDescent="0.25">
      <c r="A59" s="10" t="s">
        <v>45</v>
      </c>
      <c r="B59" s="10" t="s">
        <v>78</v>
      </c>
      <c r="C59" s="10" t="s">
        <v>88</v>
      </c>
      <c r="D59" s="10" t="s">
        <v>94</v>
      </c>
      <c r="E59" s="10" t="str">
        <f>'CUOTA LTP'!C28</f>
        <v>RUBIO Y MAUAD LTDA.</v>
      </c>
      <c r="F59" s="10" t="s">
        <v>83</v>
      </c>
      <c r="G59" s="10" t="s">
        <v>84</v>
      </c>
      <c r="H59" s="21">
        <f>'CUOTA LTP'!E29</f>
        <v>0.26127999999999996</v>
      </c>
      <c r="I59" s="21">
        <f>'CUOTA LTP'!F29</f>
        <v>0</v>
      </c>
      <c r="J59" s="21">
        <f>'CUOTA LTP'!G29</f>
        <v>7.8090000000000215E-2</v>
      </c>
      <c r="K59" s="21">
        <f>'CUOTA LTP'!H29</f>
        <v>0</v>
      </c>
      <c r="L59" s="21">
        <f>'CUOTA LTP'!I29</f>
        <v>7.8090000000000215E-2</v>
      </c>
      <c r="M59" s="23">
        <f>'CUOTA LTP'!J29</f>
        <v>0</v>
      </c>
      <c r="N59" s="22" t="s">
        <v>86</v>
      </c>
      <c r="O59" s="22">
        <f>'RESUMEN '!$B$3</f>
        <v>44095</v>
      </c>
      <c r="P59" s="10">
        <v>2020</v>
      </c>
      <c r="Q59" s="10"/>
    </row>
    <row r="60" spans="1:17" x14ac:dyDescent="0.25">
      <c r="A60" s="10" t="s">
        <v>45</v>
      </c>
      <c r="B60" s="10" t="s">
        <v>78</v>
      </c>
      <c r="C60" s="10" t="s">
        <v>88</v>
      </c>
      <c r="D60" s="10" t="s">
        <v>94</v>
      </c>
      <c r="E60" s="10" t="str">
        <f>'CUOTA LTP'!C28</f>
        <v>RUBIO Y MAUAD LTDA.</v>
      </c>
      <c r="F60" s="10" t="s">
        <v>85</v>
      </c>
      <c r="G60" s="10" t="s">
        <v>84</v>
      </c>
      <c r="H60" s="21">
        <f>'CUOTA LTP'!K28</f>
        <v>2.6780900000000001</v>
      </c>
      <c r="I60" s="21">
        <f>'CUOTA LTP'!L28</f>
        <v>-2.6</v>
      </c>
      <c r="J60" s="21">
        <f>'CUOTA LTP'!M28</f>
        <v>7.8089999999999993E-2</v>
      </c>
      <c r="K60" s="21">
        <f>'CUOTA LTP'!N28</f>
        <v>0</v>
      </c>
      <c r="L60" s="21">
        <f>'CUOTA LTP'!O28</f>
        <v>7.8089999999999993E-2</v>
      </c>
      <c r="M60" s="23">
        <f>'CUOTA LTP'!P28</f>
        <v>0</v>
      </c>
      <c r="N60" s="22" t="s">
        <v>86</v>
      </c>
      <c r="O60" s="22">
        <f>'RESUMEN '!$B$3</f>
        <v>44095</v>
      </c>
      <c r="P60" s="10">
        <v>2020</v>
      </c>
      <c r="Q60" s="10"/>
    </row>
    <row r="61" spans="1:17" x14ac:dyDescent="0.25">
      <c r="A61" s="42" t="s">
        <v>45</v>
      </c>
      <c r="B61" s="42" t="s">
        <v>78</v>
      </c>
      <c r="C61" s="42" t="s">
        <v>90</v>
      </c>
      <c r="D61" s="42" t="s">
        <v>95</v>
      </c>
      <c r="E61" s="42" t="s">
        <v>96</v>
      </c>
      <c r="F61" s="42" t="s">
        <v>85</v>
      </c>
      <c r="G61" s="42" t="s">
        <v>84</v>
      </c>
      <c r="H61" s="43">
        <f>'CUOTA LTP'!E30</f>
        <v>42.999979999999994</v>
      </c>
      <c r="I61" s="43">
        <f>'CUOTA LTP'!F30</f>
        <v>126.44399999999999</v>
      </c>
      <c r="J61" s="43">
        <f>'CUOTA LTP'!G30</f>
        <v>169.44397999999998</v>
      </c>
      <c r="K61" s="43">
        <f>'CUOTA LTP'!H30</f>
        <v>24.173000000000002</v>
      </c>
      <c r="L61" s="43">
        <f>'CUOTA LTP'!I30</f>
        <v>145.27097999999998</v>
      </c>
      <c r="M61" s="44">
        <f>'CUOTA LTP'!J30</f>
        <v>0.14266071889954429</v>
      </c>
      <c r="N61" s="45" t="s">
        <v>86</v>
      </c>
      <c r="O61" s="45">
        <f>'RESUMEN '!$B$3</f>
        <v>44095</v>
      </c>
      <c r="P61" s="42">
        <v>2020</v>
      </c>
      <c r="Q61" s="10"/>
    </row>
    <row r="62" spans="1:17" x14ac:dyDescent="0.25">
      <c r="A62" s="10" t="s">
        <v>97</v>
      </c>
      <c r="B62" s="10" t="s">
        <v>78</v>
      </c>
      <c r="C62" s="10" t="s">
        <v>56</v>
      </c>
      <c r="D62" s="10" t="s">
        <v>98</v>
      </c>
      <c r="E62" s="10" t="str">
        <f>'CUOTA LICITADA'!C14</f>
        <v>ANTARTIC SEAFOOD S.A.</v>
      </c>
      <c r="F62" s="10" t="s">
        <v>81</v>
      </c>
      <c r="G62" s="10" t="s">
        <v>82</v>
      </c>
      <c r="H62" s="21">
        <f>'CUOTA LICITADA'!F14</f>
        <v>64.975918500000006</v>
      </c>
      <c r="I62" s="21">
        <f>'CUOTA LICITADA'!G14</f>
        <v>262.72699999999998</v>
      </c>
      <c r="J62" s="21">
        <f>'CUOTA LICITADA'!H14</f>
        <v>327.70291850000001</v>
      </c>
      <c r="K62" s="21">
        <f>'CUOTA LICITADA'!I14</f>
        <v>324.83600000000001</v>
      </c>
      <c r="L62" s="21">
        <f>'CUOTA LICITADA'!J14</f>
        <v>2.866918499999997</v>
      </c>
      <c r="M62" s="23">
        <f>'CUOTA LICITADA'!K14</f>
        <v>0.99125147095691801</v>
      </c>
      <c r="N62" s="22" t="s">
        <v>86</v>
      </c>
      <c r="O62" s="22">
        <f>'RESUMEN '!$B$3</f>
        <v>44095</v>
      </c>
      <c r="P62" s="10">
        <v>2020</v>
      </c>
      <c r="Q62" s="10"/>
    </row>
    <row r="63" spans="1:17" x14ac:dyDescent="0.25">
      <c r="A63" s="10" t="s">
        <v>97</v>
      </c>
      <c r="B63" s="10" t="s">
        <v>78</v>
      </c>
      <c r="C63" s="10" t="s">
        <v>56</v>
      </c>
      <c r="D63" s="10" t="s">
        <v>98</v>
      </c>
      <c r="E63" s="10" t="str">
        <f>'CUOTA LICITADA'!C14</f>
        <v>ANTARTIC SEAFOOD S.A.</v>
      </c>
      <c r="F63" s="10" t="s">
        <v>83</v>
      </c>
      <c r="G63" s="10" t="s">
        <v>84</v>
      </c>
      <c r="H63" s="21">
        <f>'CUOTA LICITADA'!F15</f>
        <v>7.2195465000000008</v>
      </c>
      <c r="I63" s="21">
        <f>'CUOTA LICITADA'!G15</f>
        <v>0</v>
      </c>
      <c r="J63" s="21">
        <f>'CUOTA LICITADA'!H15</f>
        <v>10.086464999999997</v>
      </c>
      <c r="K63" s="21">
        <f>'CUOTA LICITADA'!I15</f>
        <v>0</v>
      </c>
      <c r="L63" s="21">
        <f>'CUOTA LICITADA'!J15</f>
        <v>10.086464999999997</v>
      </c>
      <c r="M63" s="23">
        <f>'CUOTA LICITADA'!K15</f>
        <v>0</v>
      </c>
      <c r="N63" s="22" t="s">
        <v>86</v>
      </c>
      <c r="O63" s="22">
        <f>'RESUMEN '!$B$3</f>
        <v>44095</v>
      </c>
      <c r="P63" s="10">
        <v>2020</v>
      </c>
      <c r="Q63" s="10"/>
    </row>
    <row r="64" spans="1:17" x14ac:dyDescent="0.25">
      <c r="A64" s="10" t="s">
        <v>97</v>
      </c>
      <c r="B64" s="10" t="s">
        <v>78</v>
      </c>
      <c r="C64" s="10" t="s">
        <v>56</v>
      </c>
      <c r="D64" s="10" t="s">
        <v>98</v>
      </c>
      <c r="E64" s="10" t="str">
        <f>'CUOTA LICITADA'!C14</f>
        <v>ANTARTIC SEAFOOD S.A.</v>
      </c>
      <c r="F64" s="10" t="s">
        <v>85</v>
      </c>
      <c r="G64" s="10" t="s">
        <v>84</v>
      </c>
      <c r="H64" s="21">
        <f>'CUOTA LICITADA'!L14</f>
        <v>72.195465000000013</v>
      </c>
      <c r="I64" s="21">
        <f>'CUOTA LICITADA'!M14</f>
        <v>262.72699999999998</v>
      </c>
      <c r="J64" s="21">
        <f>'CUOTA LICITADA'!N14</f>
        <v>334.92246499999999</v>
      </c>
      <c r="K64" s="21">
        <f>'CUOTA LICITADA'!O14</f>
        <v>324.83600000000001</v>
      </c>
      <c r="L64" s="21">
        <f>'CUOTA LICITADA'!P14</f>
        <v>10.086464999999976</v>
      </c>
      <c r="M64" s="23">
        <f>'CUOTA LICITADA'!Q14</f>
        <v>0.96988417901438773</v>
      </c>
      <c r="N64" s="22" t="s">
        <v>86</v>
      </c>
      <c r="O64" s="22">
        <f>'RESUMEN '!$B$3</f>
        <v>44095</v>
      </c>
      <c r="P64" s="10">
        <v>2020</v>
      </c>
      <c r="Q64" s="10"/>
    </row>
    <row r="65" spans="1:17" x14ac:dyDescent="0.25">
      <c r="A65" s="10" t="s">
        <v>97</v>
      </c>
      <c r="B65" s="10" t="s">
        <v>78</v>
      </c>
      <c r="C65" s="10" t="s">
        <v>56</v>
      </c>
      <c r="D65" s="10" t="s">
        <v>98</v>
      </c>
      <c r="E65" s="10" t="str">
        <f>'CUOTA LICITADA'!C16</f>
        <v>QUINTERO S.A. PESQ.</v>
      </c>
      <c r="F65" s="10" t="s">
        <v>81</v>
      </c>
      <c r="G65" s="10" t="s">
        <v>82</v>
      </c>
      <c r="H65" s="21">
        <f>'CUOTA LICITADA'!F16</f>
        <v>5.6899357200000003</v>
      </c>
      <c r="I65" s="21">
        <f>'CUOTA LICITADA'!G16</f>
        <v>0</v>
      </c>
      <c r="J65" s="21">
        <f>'CUOTA LICITADA'!H16</f>
        <v>5.6899357200000003</v>
      </c>
      <c r="K65" s="21">
        <f>'CUOTA LICITADA'!I16</f>
        <v>1.7999999999999999E-2</v>
      </c>
      <c r="L65" s="21">
        <f>'CUOTA LICITADA'!J16</f>
        <v>5.6719357200000005</v>
      </c>
      <c r="M65" s="23">
        <f>'CUOTA LICITADA'!K16</f>
        <v>3.1634803775955483E-3</v>
      </c>
      <c r="N65" s="22" t="s">
        <v>86</v>
      </c>
      <c r="O65" s="22">
        <f>'RESUMEN '!$B$3</f>
        <v>44095</v>
      </c>
      <c r="P65" s="10">
        <v>2020</v>
      </c>
      <c r="Q65" s="10"/>
    </row>
    <row r="66" spans="1:17" x14ac:dyDescent="0.25">
      <c r="A66" s="10" t="s">
        <v>97</v>
      </c>
      <c r="B66" s="10" t="s">
        <v>78</v>
      </c>
      <c r="C66" s="10" t="s">
        <v>56</v>
      </c>
      <c r="D66" s="10" t="s">
        <v>98</v>
      </c>
      <c r="E66" s="10" t="str">
        <f>'CUOTA LICITADA'!C16</f>
        <v>QUINTERO S.A. PESQ.</v>
      </c>
      <c r="F66" s="10" t="s">
        <v>83</v>
      </c>
      <c r="G66" s="10" t="s">
        <v>84</v>
      </c>
      <c r="H66" s="21">
        <f>'CUOTA LICITADA'!F17</f>
        <v>0.63221507999999993</v>
      </c>
      <c r="I66" s="21">
        <f>'CUOTA LICITADA'!G17</f>
        <v>0</v>
      </c>
      <c r="J66" s="21">
        <f>'CUOTA LICITADA'!H17</f>
        <v>6.3041508000000004</v>
      </c>
      <c r="K66" s="21">
        <f>'CUOTA LICITADA'!I17</f>
        <v>0</v>
      </c>
      <c r="L66" s="21">
        <f>'CUOTA LICITADA'!J17</f>
        <v>6.3041508000000004</v>
      </c>
      <c r="M66" s="23">
        <f>'CUOTA LICITADA'!K17</f>
        <v>0</v>
      </c>
      <c r="N66" s="22" t="s">
        <v>86</v>
      </c>
      <c r="O66" s="22">
        <f>'RESUMEN '!$B$3</f>
        <v>44095</v>
      </c>
      <c r="P66" s="10">
        <v>2020</v>
      </c>
      <c r="Q66" s="10"/>
    </row>
    <row r="67" spans="1:17" x14ac:dyDescent="0.25">
      <c r="A67" s="10" t="s">
        <v>97</v>
      </c>
      <c r="B67" s="10" t="s">
        <v>78</v>
      </c>
      <c r="C67" s="10" t="s">
        <v>56</v>
      </c>
      <c r="D67" s="10" t="s">
        <v>98</v>
      </c>
      <c r="E67" s="10" t="str">
        <f>'CUOTA LICITADA'!C16</f>
        <v>QUINTERO S.A. PESQ.</v>
      </c>
      <c r="F67" s="10" t="s">
        <v>85</v>
      </c>
      <c r="G67" s="10" t="s">
        <v>84</v>
      </c>
      <c r="H67" s="21">
        <f>'CUOTA LICITADA'!L16</f>
        <v>6.3221508000000002</v>
      </c>
      <c r="I67" s="21">
        <f>'CUOTA LICITADA'!M16</f>
        <v>0</v>
      </c>
      <c r="J67" s="21">
        <f>'CUOTA LICITADA'!N16</f>
        <v>6.3221508000000002</v>
      </c>
      <c r="K67" s="21">
        <f>'CUOTA LICITADA'!O16</f>
        <v>1.7999999999999999E-2</v>
      </c>
      <c r="L67" s="21">
        <f>'CUOTA LICITADA'!P16</f>
        <v>6.3041508000000004</v>
      </c>
      <c r="M67" s="23">
        <f>'CUOTA LICITADA'!Q16</f>
        <v>2.8471323398359936E-3</v>
      </c>
      <c r="N67" s="22" t="s">
        <v>86</v>
      </c>
      <c r="O67" s="22">
        <f>'RESUMEN '!$B$3</f>
        <v>44095</v>
      </c>
      <c r="P67" s="10">
        <v>2020</v>
      </c>
      <c r="Q67" s="10"/>
    </row>
    <row r="68" spans="1:17" x14ac:dyDescent="0.25">
      <c r="A68" s="10" t="s">
        <v>97</v>
      </c>
      <c r="B68" s="10" t="s">
        <v>78</v>
      </c>
      <c r="C68" s="10" t="s">
        <v>56</v>
      </c>
      <c r="D68" s="10" t="s">
        <v>98</v>
      </c>
      <c r="E68" s="10" t="str">
        <f>'CUOTA LICITADA'!C18</f>
        <v>BRACPESCA S.A.</v>
      </c>
      <c r="F68" s="10" t="s">
        <v>81</v>
      </c>
      <c r="G68" s="10" t="s">
        <v>82</v>
      </c>
      <c r="H68" s="21">
        <f>'CUOTA LICITADA'!F18</f>
        <v>74.6400285</v>
      </c>
      <c r="I68" s="21">
        <f>'CUOTA LICITADA'!G18</f>
        <v>250</v>
      </c>
      <c r="J68" s="21">
        <f>'CUOTA LICITADA'!H18</f>
        <v>324.64002849999997</v>
      </c>
      <c r="K68" s="21">
        <f>'CUOTA LICITADA'!I18</f>
        <v>46.494</v>
      </c>
      <c r="L68" s="21">
        <f>'CUOTA LICITADA'!J18</f>
        <v>278.14602849999994</v>
      </c>
      <c r="M68" s="23">
        <f>'CUOTA LICITADA'!K18</f>
        <v>0.14321708944773581</v>
      </c>
      <c r="N68" s="22" t="s">
        <v>86</v>
      </c>
      <c r="O68" s="22">
        <f>'RESUMEN '!$B$3</f>
        <v>44095</v>
      </c>
      <c r="P68" s="10">
        <v>2020</v>
      </c>
      <c r="Q68" s="10"/>
    </row>
    <row r="69" spans="1:17" x14ac:dyDescent="0.25">
      <c r="A69" s="10" t="s">
        <v>97</v>
      </c>
      <c r="B69" s="10" t="s">
        <v>78</v>
      </c>
      <c r="C69" s="10" t="s">
        <v>56</v>
      </c>
      <c r="D69" s="10" t="s">
        <v>98</v>
      </c>
      <c r="E69" s="10" t="str">
        <f>'CUOTA LICITADA'!C18</f>
        <v>BRACPESCA S.A.</v>
      </c>
      <c r="F69" s="10" t="s">
        <v>83</v>
      </c>
      <c r="G69" s="10" t="s">
        <v>84</v>
      </c>
      <c r="H69" s="21">
        <f>'CUOTA LICITADA'!F19</f>
        <v>8.2933365000000006</v>
      </c>
      <c r="I69" s="21">
        <f>'CUOTA LICITADA'!G19</f>
        <v>0</v>
      </c>
      <c r="J69" s="21">
        <f>'CUOTA LICITADA'!H19</f>
        <v>286.43936499999995</v>
      </c>
      <c r="K69" s="21">
        <f>'CUOTA LICITADA'!I19</f>
        <v>0</v>
      </c>
      <c r="L69" s="21">
        <f>'CUOTA LICITADA'!J19</f>
        <v>286.43936499999995</v>
      </c>
      <c r="M69" s="23">
        <f>'CUOTA LICITADA'!K19</f>
        <v>0</v>
      </c>
      <c r="N69" s="22" t="s">
        <v>86</v>
      </c>
      <c r="O69" s="22">
        <f>'RESUMEN '!$B$3</f>
        <v>44095</v>
      </c>
      <c r="P69" s="10">
        <v>2020</v>
      </c>
      <c r="Q69" s="10"/>
    </row>
    <row r="70" spans="1:17" x14ac:dyDescent="0.25">
      <c r="A70" s="10" t="s">
        <v>97</v>
      </c>
      <c r="B70" s="10" t="s">
        <v>78</v>
      </c>
      <c r="C70" s="10" t="s">
        <v>56</v>
      </c>
      <c r="D70" s="10" t="s">
        <v>98</v>
      </c>
      <c r="E70" s="10" t="str">
        <f>'CUOTA LICITADA'!C18</f>
        <v>BRACPESCA S.A.</v>
      </c>
      <c r="F70" s="10" t="s">
        <v>85</v>
      </c>
      <c r="G70" s="10" t="s">
        <v>84</v>
      </c>
      <c r="H70" s="21">
        <f>'CUOTA LICITADA'!L18</f>
        <v>82.933364999999995</v>
      </c>
      <c r="I70" s="21">
        <f>'CUOTA LICITADA'!M18</f>
        <v>250</v>
      </c>
      <c r="J70" s="21">
        <f>'CUOTA LICITADA'!N18</f>
        <v>332.93336499999998</v>
      </c>
      <c r="K70" s="21">
        <f>'CUOTA LICITADA'!O18</f>
        <v>46.494</v>
      </c>
      <c r="L70" s="21">
        <f>'CUOTA LICITADA'!P18</f>
        <v>286.43936499999995</v>
      </c>
      <c r="M70" s="23">
        <f>'CUOTA LICITADA'!Q18</f>
        <v>0.13964956621274652</v>
      </c>
      <c r="N70" s="22" t="s">
        <v>86</v>
      </c>
      <c r="O70" s="22">
        <f>'RESUMEN '!$B$3</f>
        <v>44095</v>
      </c>
      <c r="P70" s="10">
        <v>2020</v>
      </c>
      <c r="Q70" s="10"/>
    </row>
    <row r="71" spans="1:17" x14ac:dyDescent="0.25">
      <c r="A71" s="10" t="s">
        <v>97</v>
      </c>
      <c r="B71" s="10" t="s">
        <v>78</v>
      </c>
      <c r="C71" s="10" t="s">
        <v>56</v>
      </c>
      <c r="D71" s="10" t="s">
        <v>98</v>
      </c>
      <c r="E71" s="10" t="str">
        <f>'CUOTA LICITADA'!C20</f>
        <v>CAMANCHACA PESCA SUR S.A.</v>
      </c>
      <c r="F71" s="10" t="s">
        <v>81</v>
      </c>
      <c r="G71" s="10" t="s">
        <v>82</v>
      </c>
      <c r="H71" s="21">
        <f>'CUOTA LICITADA'!F20</f>
        <v>704.43331722000005</v>
      </c>
      <c r="I71" s="21">
        <f>'CUOTA LICITADA'!G20</f>
        <v>-584.32123000000001</v>
      </c>
      <c r="J71" s="21">
        <f>'CUOTA LICITADA'!H20</f>
        <v>120.11208722000003</v>
      </c>
      <c r="K71" s="21">
        <f>'CUOTA LICITADA'!I20</f>
        <v>0</v>
      </c>
      <c r="L71" s="21">
        <f>'CUOTA LICITADA'!J20</f>
        <v>120.11208722000003</v>
      </c>
      <c r="M71" s="23">
        <f>'CUOTA LICITADA'!K20</f>
        <v>0</v>
      </c>
      <c r="N71" s="22" t="s">
        <v>86</v>
      </c>
      <c r="O71" s="22">
        <f>'RESUMEN '!$B$3</f>
        <v>44095</v>
      </c>
      <c r="P71" s="10">
        <v>2020</v>
      </c>
      <c r="Q71" s="10"/>
    </row>
    <row r="72" spans="1:17" x14ac:dyDescent="0.25">
      <c r="A72" s="10" t="s">
        <v>97</v>
      </c>
      <c r="B72" s="10" t="s">
        <v>78</v>
      </c>
      <c r="C72" s="10" t="s">
        <v>56</v>
      </c>
      <c r="D72" s="10" t="s">
        <v>98</v>
      </c>
      <c r="E72" s="10" t="str">
        <f>'CUOTA LICITADA'!C20</f>
        <v>CAMANCHACA PESCA SUR S.A.</v>
      </c>
      <c r="F72" s="10" t="s">
        <v>83</v>
      </c>
      <c r="G72" s="10" t="s">
        <v>84</v>
      </c>
      <c r="H72" s="21">
        <f>'CUOTA LICITADA'!F21</f>
        <v>78.270368579999996</v>
      </c>
      <c r="I72" s="21">
        <f>'CUOTA LICITADA'!G21</f>
        <v>0</v>
      </c>
      <c r="J72" s="21">
        <f>'CUOTA LICITADA'!H21</f>
        <v>198.38245580000003</v>
      </c>
      <c r="K72" s="21">
        <f>'CUOTA LICITADA'!I21</f>
        <v>0</v>
      </c>
      <c r="L72" s="21">
        <f>'CUOTA LICITADA'!J21</f>
        <v>198.38245580000003</v>
      </c>
      <c r="M72" s="23">
        <f>'CUOTA LICITADA'!K21</f>
        <v>0</v>
      </c>
      <c r="N72" s="22" t="s">
        <v>86</v>
      </c>
      <c r="O72" s="22">
        <f>'RESUMEN '!$B$3</f>
        <v>44095</v>
      </c>
      <c r="P72" s="10">
        <v>2020</v>
      </c>
      <c r="Q72" s="10"/>
    </row>
    <row r="73" spans="1:17" x14ac:dyDescent="0.25">
      <c r="A73" s="10" t="s">
        <v>97</v>
      </c>
      <c r="B73" s="10" t="s">
        <v>78</v>
      </c>
      <c r="C73" s="10" t="s">
        <v>56</v>
      </c>
      <c r="D73" s="10" t="s">
        <v>98</v>
      </c>
      <c r="E73" s="10" t="str">
        <f>'CUOTA LICITADA'!C20</f>
        <v>CAMANCHACA PESCA SUR S.A.</v>
      </c>
      <c r="F73" s="10" t="s">
        <v>85</v>
      </c>
      <c r="G73" s="10" t="s">
        <v>84</v>
      </c>
      <c r="H73" s="21">
        <f>'CUOTA LICITADA'!L20</f>
        <v>782.70368580000002</v>
      </c>
      <c r="I73" s="21">
        <f>'CUOTA LICITADA'!M20</f>
        <v>-584.32123000000001</v>
      </c>
      <c r="J73" s="21">
        <f>'CUOTA LICITADA'!N20</f>
        <v>198.3824558</v>
      </c>
      <c r="K73" s="21">
        <f>'CUOTA LICITADA'!O20</f>
        <v>0</v>
      </c>
      <c r="L73" s="21">
        <f>'CUOTA LICITADA'!P20</f>
        <v>198.3824558</v>
      </c>
      <c r="M73" s="23">
        <f>'CUOTA LICITADA'!Q20</f>
        <v>0</v>
      </c>
      <c r="N73" s="22" t="s">
        <v>86</v>
      </c>
      <c r="O73" s="22">
        <f>'RESUMEN '!$B$3</f>
        <v>44095</v>
      </c>
      <c r="P73" s="10">
        <v>2020</v>
      </c>
      <c r="Q73" s="10"/>
    </row>
    <row r="74" spans="1:17" x14ac:dyDescent="0.25">
      <c r="A74" s="10" t="s">
        <v>97</v>
      </c>
      <c r="B74" s="10" t="s">
        <v>78</v>
      </c>
      <c r="C74" s="10" t="s">
        <v>56</v>
      </c>
      <c r="D74" s="10" t="s">
        <v>98</v>
      </c>
      <c r="E74" s="10" t="str">
        <f>'CUOTA LICITADA'!C22</f>
        <v>ANTONIO CRUZ CORDOVA NAKOUZI E.I.R.L.</v>
      </c>
      <c r="F74" s="10" t="s">
        <v>81</v>
      </c>
      <c r="G74" s="10" t="s">
        <v>82</v>
      </c>
      <c r="H74" s="21">
        <f>'CUOTA LICITADA'!F22</f>
        <v>5.2661650499999997</v>
      </c>
      <c r="I74" s="21">
        <f>'CUOTA LICITADA'!G22</f>
        <v>0</v>
      </c>
      <c r="J74" s="21">
        <f>'CUOTA LICITADA'!H22</f>
        <v>5.2661650499999997</v>
      </c>
      <c r="K74" s="21">
        <f>'CUOTA LICITADA'!I22</f>
        <v>2.1829999999999998</v>
      </c>
      <c r="L74" s="21">
        <f>'CUOTA LICITADA'!J22</f>
        <v>3.0831650499999999</v>
      </c>
      <c r="M74" s="23">
        <f>'CUOTA LICITADA'!K22</f>
        <v>0.41453315254522832</v>
      </c>
      <c r="N74" s="22" t="s">
        <v>86</v>
      </c>
      <c r="O74" s="22">
        <f>'RESUMEN '!$B$3</f>
        <v>44095</v>
      </c>
      <c r="P74" s="10">
        <v>2020</v>
      </c>
      <c r="Q74" s="10"/>
    </row>
    <row r="75" spans="1:17" x14ac:dyDescent="0.25">
      <c r="A75" s="10" t="s">
        <v>97</v>
      </c>
      <c r="B75" s="10" t="s">
        <v>78</v>
      </c>
      <c r="C75" s="10" t="s">
        <v>56</v>
      </c>
      <c r="D75" s="10" t="s">
        <v>98</v>
      </c>
      <c r="E75" s="10" t="str">
        <f>'CUOTA LICITADA'!C22</f>
        <v>ANTONIO CRUZ CORDOVA NAKOUZI E.I.R.L.</v>
      </c>
      <c r="F75" s="10" t="s">
        <v>83</v>
      </c>
      <c r="G75" s="10" t="s">
        <v>84</v>
      </c>
      <c r="H75" s="21">
        <f>'CUOTA LICITADA'!F23</f>
        <v>0.58512944999999994</v>
      </c>
      <c r="I75" s="21">
        <f>'CUOTA LICITADA'!G23</f>
        <v>0</v>
      </c>
      <c r="J75" s="21">
        <f>'CUOTA LICITADA'!H23</f>
        <v>3.6682945</v>
      </c>
      <c r="K75" s="21">
        <f>'CUOTA LICITADA'!I23</f>
        <v>0</v>
      </c>
      <c r="L75" s="21">
        <f>'CUOTA LICITADA'!J23</f>
        <v>3.6682945</v>
      </c>
      <c r="M75" s="23">
        <f>'CUOTA LICITADA'!K23</f>
        <v>0</v>
      </c>
      <c r="N75" s="22" t="s">
        <v>86</v>
      </c>
      <c r="O75" s="22">
        <f>'RESUMEN '!$B$3</f>
        <v>44095</v>
      </c>
      <c r="P75" s="10">
        <v>2020</v>
      </c>
      <c r="Q75" s="10"/>
    </row>
    <row r="76" spans="1:17" x14ac:dyDescent="0.25">
      <c r="A76" s="10" t="s">
        <v>97</v>
      </c>
      <c r="B76" s="10" t="s">
        <v>78</v>
      </c>
      <c r="C76" s="10" t="s">
        <v>56</v>
      </c>
      <c r="D76" s="10" t="s">
        <v>98</v>
      </c>
      <c r="E76" s="10" t="str">
        <f>'CUOTA LICITADA'!C22</f>
        <v>ANTONIO CRUZ CORDOVA NAKOUZI E.I.R.L.</v>
      </c>
      <c r="F76" s="10" t="s">
        <v>85</v>
      </c>
      <c r="G76" s="10" t="s">
        <v>84</v>
      </c>
      <c r="H76" s="21">
        <f>'CUOTA LICITADA'!L22</f>
        <v>5.8512944999999998</v>
      </c>
      <c r="I76" s="21">
        <f>'CUOTA LICITADA'!M22</f>
        <v>0</v>
      </c>
      <c r="J76" s="21">
        <f>'CUOTA LICITADA'!N22</f>
        <v>5.8512944999999998</v>
      </c>
      <c r="K76" s="21">
        <f>'CUOTA LICITADA'!O22</f>
        <v>2.1829999999999998</v>
      </c>
      <c r="L76" s="21">
        <f>'CUOTA LICITADA'!P22</f>
        <v>3.6682945</v>
      </c>
      <c r="M76" s="23">
        <f>'CUOTA LICITADA'!Q22</f>
        <v>0.37307983729070548</v>
      </c>
      <c r="N76" s="22" t="s">
        <v>86</v>
      </c>
      <c r="O76" s="22">
        <f>'RESUMEN '!$B$3</f>
        <v>44095</v>
      </c>
      <c r="P76" s="10">
        <v>2020</v>
      </c>
      <c r="Q76" s="10"/>
    </row>
    <row r="77" spans="1:17" x14ac:dyDescent="0.25">
      <c r="A77" s="10" t="s">
        <v>97</v>
      </c>
      <c r="B77" s="10" t="s">
        <v>78</v>
      </c>
      <c r="C77" s="10" t="s">
        <v>56</v>
      </c>
      <c r="D77" s="10" t="s">
        <v>98</v>
      </c>
      <c r="E77" s="10" t="str">
        <f>'CUOTA LICITADA'!C24</f>
        <v>GRIMAR S.A. PESQ.</v>
      </c>
      <c r="F77" s="10" t="s">
        <v>81</v>
      </c>
      <c r="G77" s="10" t="s">
        <v>82</v>
      </c>
      <c r="H77" s="21">
        <f>'CUOTA LICITADA'!F24</f>
        <v>0.43173</v>
      </c>
      <c r="I77" s="21">
        <f>'CUOTA LICITADA'!G24</f>
        <v>0</v>
      </c>
      <c r="J77" s="21">
        <f>'CUOTA LICITADA'!H24</f>
        <v>0.43173</v>
      </c>
      <c r="K77" s="21">
        <f>'CUOTA LICITADA'!I24</f>
        <v>0</v>
      </c>
      <c r="L77" s="21">
        <f>'CUOTA LICITADA'!J24</f>
        <v>0.43173</v>
      </c>
      <c r="M77" s="23">
        <f>'CUOTA LICITADA'!K24</f>
        <v>0</v>
      </c>
      <c r="N77" s="22" t="s">
        <v>86</v>
      </c>
      <c r="O77" s="22">
        <f>'RESUMEN '!$B$3</f>
        <v>44095</v>
      </c>
      <c r="P77" s="10">
        <v>2020</v>
      </c>
      <c r="Q77" s="10"/>
    </row>
    <row r="78" spans="1:17" x14ac:dyDescent="0.25">
      <c r="A78" s="10" t="s">
        <v>97</v>
      </c>
      <c r="B78" s="10" t="s">
        <v>78</v>
      </c>
      <c r="C78" s="10" t="s">
        <v>56</v>
      </c>
      <c r="D78" s="10" t="s">
        <v>98</v>
      </c>
      <c r="E78" s="10" t="str">
        <f>'CUOTA LICITADA'!C24</f>
        <v>GRIMAR S.A. PESQ.</v>
      </c>
      <c r="F78" s="10" t="s">
        <v>83</v>
      </c>
      <c r="G78" s="10" t="s">
        <v>84</v>
      </c>
      <c r="H78" s="21">
        <f>'CUOTA LICITADA'!F25</f>
        <v>4.7969999999999999E-2</v>
      </c>
      <c r="I78" s="21">
        <f>'CUOTA LICITADA'!G25</f>
        <v>0</v>
      </c>
      <c r="J78" s="21">
        <f>'CUOTA LICITADA'!H25</f>
        <v>0.47970000000000002</v>
      </c>
      <c r="K78" s="21">
        <f>'CUOTA LICITADA'!I25</f>
        <v>0</v>
      </c>
      <c r="L78" s="21">
        <f>'CUOTA LICITADA'!J25</f>
        <v>0.47970000000000002</v>
      </c>
      <c r="M78" s="23">
        <f>'CUOTA LICITADA'!K25</f>
        <v>0</v>
      </c>
      <c r="N78" s="22" t="s">
        <v>86</v>
      </c>
      <c r="O78" s="22">
        <f>'RESUMEN '!$B$3</f>
        <v>44095</v>
      </c>
      <c r="P78" s="10">
        <v>2020</v>
      </c>
      <c r="Q78" s="10"/>
    </row>
    <row r="79" spans="1:17" x14ac:dyDescent="0.25">
      <c r="A79" s="10" t="s">
        <v>97</v>
      </c>
      <c r="B79" s="10" t="s">
        <v>78</v>
      </c>
      <c r="C79" s="10" t="s">
        <v>56</v>
      </c>
      <c r="D79" s="10" t="s">
        <v>98</v>
      </c>
      <c r="E79" s="10" t="str">
        <f>'CUOTA LICITADA'!C24</f>
        <v>GRIMAR S.A. PESQ.</v>
      </c>
      <c r="F79" s="10" t="s">
        <v>85</v>
      </c>
      <c r="G79" s="10" t="s">
        <v>84</v>
      </c>
      <c r="H79" s="21">
        <f>'CUOTA LICITADA'!L24</f>
        <v>0.47970000000000002</v>
      </c>
      <c r="I79" s="21">
        <f>'CUOTA LICITADA'!M24</f>
        <v>0</v>
      </c>
      <c r="J79" s="21">
        <f>'CUOTA LICITADA'!N24</f>
        <v>0.47970000000000002</v>
      </c>
      <c r="K79" s="21">
        <f>'CUOTA LICITADA'!O24</f>
        <v>0</v>
      </c>
      <c r="L79" s="21">
        <f>'CUOTA LICITADA'!P24</f>
        <v>0.47970000000000002</v>
      </c>
      <c r="M79" s="23">
        <f>'CUOTA LICITADA'!Q24</f>
        <v>0</v>
      </c>
      <c r="N79" s="22" t="s">
        <v>86</v>
      </c>
      <c r="O79" s="22">
        <f>'RESUMEN '!$B$3</f>
        <v>44095</v>
      </c>
      <c r="P79" s="10">
        <v>2020</v>
      </c>
      <c r="Q79" s="10"/>
    </row>
    <row r="80" spans="1:17" x14ac:dyDescent="0.25">
      <c r="A80" s="10" t="s">
        <v>97</v>
      </c>
      <c r="B80" s="10" t="s">
        <v>78</v>
      </c>
      <c r="C80" s="10" t="s">
        <v>56</v>
      </c>
      <c r="D80" s="10" t="s">
        <v>98</v>
      </c>
      <c r="E80" s="10" t="str">
        <f>'CUOTA LICITADA'!C26</f>
        <v>ISLADAMAS S.A. PESQ.</v>
      </c>
      <c r="F80" s="10" t="s">
        <v>81</v>
      </c>
      <c r="G80" s="10" t="s">
        <v>82</v>
      </c>
      <c r="H80" s="21">
        <f>'CUOTA LICITADA'!F26</f>
        <v>63.137700720000005</v>
      </c>
      <c r="I80" s="21">
        <f>'CUOTA LICITADA'!G26</f>
        <v>200.79220000000001</v>
      </c>
      <c r="J80" s="21">
        <f>'CUOTA LICITADA'!H26</f>
        <v>263.92990072000003</v>
      </c>
      <c r="K80" s="21">
        <f>'CUOTA LICITADA'!I26</f>
        <v>223.16</v>
      </c>
      <c r="L80" s="21">
        <f>'CUOTA LICITADA'!J26</f>
        <v>40.769900720000038</v>
      </c>
      <c r="M80" s="23">
        <f>'CUOTA LICITADA'!K26</f>
        <v>0.84552754118127627</v>
      </c>
      <c r="N80" s="22" t="s">
        <v>86</v>
      </c>
      <c r="O80" s="22">
        <f>'RESUMEN '!$B$3</f>
        <v>44095</v>
      </c>
      <c r="P80" s="10">
        <v>2020</v>
      </c>
      <c r="Q80" s="10"/>
    </row>
    <row r="81" spans="1:17" x14ac:dyDescent="0.25">
      <c r="A81" s="10" t="s">
        <v>97</v>
      </c>
      <c r="B81" s="10" t="s">
        <v>78</v>
      </c>
      <c r="C81" s="10" t="s">
        <v>56</v>
      </c>
      <c r="D81" s="10" t="s">
        <v>98</v>
      </c>
      <c r="E81" s="10" t="str">
        <f>'CUOTA LICITADA'!C26</f>
        <v>ISLADAMAS S.A. PESQ.</v>
      </c>
      <c r="F81" s="10" t="s">
        <v>83</v>
      </c>
      <c r="G81" s="10" t="s">
        <v>84</v>
      </c>
      <c r="H81" s="21">
        <f>'CUOTA LICITADA'!F27</f>
        <v>7.0153000800000003</v>
      </c>
      <c r="I81" s="21">
        <f>'CUOTA LICITADA'!G27</f>
        <v>0</v>
      </c>
      <c r="J81" s="21">
        <f>'CUOTA LICITADA'!H27</f>
        <v>47.785200800000041</v>
      </c>
      <c r="K81" s="21">
        <f>'CUOTA LICITADA'!I27</f>
        <v>0</v>
      </c>
      <c r="L81" s="21">
        <f>'CUOTA LICITADA'!J27</f>
        <v>47.785200800000041</v>
      </c>
      <c r="M81" s="23">
        <f>'CUOTA LICITADA'!K27</f>
        <v>0</v>
      </c>
      <c r="N81" s="22" t="s">
        <v>86</v>
      </c>
      <c r="O81" s="22">
        <f>'RESUMEN '!$B$3</f>
        <v>44095</v>
      </c>
      <c r="P81" s="10">
        <v>2020</v>
      </c>
      <c r="Q81" s="10"/>
    </row>
    <row r="82" spans="1:17" x14ac:dyDescent="0.25">
      <c r="A82" s="10" t="s">
        <v>97</v>
      </c>
      <c r="B82" s="10" t="s">
        <v>78</v>
      </c>
      <c r="C82" s="10" t="s">
        <v>56</v>
      </c>
      <c r="D82" s="10" t="s">
        <v>98</v>
      </c>
      <c r="E82" s="10" t="str">
        <f>'CUOTA LICITADA'!C26</f>
        <v>ISLADAMAS S.A. PESQ.</v>
      </c>
      <c r="F82" s="10" t="s">
        <v>85</v>
      </c>
      <c r="G82" s="10" t="s">
        <v>84</v>
      </c>
      <c r="H82" s="21">
        <f>'CUOTA LICITADA'!L26</f>
        <v>70.153000800000001</v>
      </c>
      <c r="I82" s="21">
        <f>'CUOTA LICITADA'!M26</f>
        <v>200.79220000000001</v>
      </c>
      <c r="J82" s="21">
        <f>'CUOTA LICITADA'!N26</f>
        <v>270.94520080000001</v>
      </c>
      <c r="K82" s="21">
        <f>'CUOTA LICITADA'!O26</f>
        <v>223.16</v>
      </c>
      <c r="L82" s="21">
        <f>'CUOTA LICITADA'!P26</f>
        <v>47.785200800000013</v>
      </c>
      <c r="M82" s="23">
        <f>'CUOTA LICITADA'!Q26</f>
        <v>0.82363518283804937</v>
      </c>
      <c r="N82" s="22" t="s">
        <v>86</v>
      </c>
      <c r="O82" s="22">
        <f>'RESUMEN '!$B$3</f>
        <v>44095</v>
      </c>
      <c r="P82" s="10">
        <v>2020</v>
      </c>
      <c r="Q82" s="10"/>
    </row>
    <row r="83" spans="1:17" x14ac:dyDescent="0.25">
      <c r="A83" s="10" t="s">
        <v>97</v>
      </c>
      <c r="B83" s="10" t="s">
        <v>78</v>
      </c>
      <c r="C83" s="10" t="s">
        <v>56</v>
      </c>
      <c r="D83" s="10" t="s">
        <v>98</v>
      </c>
      <c r="E83" s="10" t="str">
        <f>'CUOTA LICITADA'!C28</f>
        <v>LANDES S.A. PESQ.</v>
      </c>
      <c r="F83" s="10" t="s">
        <v>81</v>
      </c>
      <c r="G83" s="10" t="s">
        <v>82</v>
      </c>
      <c r="H83" s="21">
        <f>'CUOTA LICITADA'!F28</f>
        <v>0.55349999999999999</v>
      </c>
      <c r="I83" s="21">
        <f>'CUOTA LICITADA'!G28</f>
        <v>0</v>
      </c>
      <c r="J83" s="21">
        <f>'CUOTA LICITADA'!H28</f>
        <v>0.55349999999999999</v>
      </c>
      <c r="K83" s="21">
        <f>'CUOTA LICITADA'!I28</f>
        <v>0</v>
      </c>
      <c r="L83" s="21">
        <f>'CUOTA LICITADA'!J28</f>
        <v>0.55349999999999999</v>
      </c>
      <c r="M83" s="23">
        <f>'CUOTA LICITADA'!K28</f>
        <v>0</v>
      </c>
      <c r="N83" s="22" t="s">
        <v>86</v>
      </c>
      <c r="O83" s="22">
        <f>'RESUMEN '!$B$3</f>
        <v>44095</v>
      </c>
      <c r="P83" s="10">
        <v>2020</v>
      </c>
      <c r="Q83" s="10"/>
    </row>
    <row r="84" spans="1:17" x14ac:dyDescent="0.25">
      <c r="A84" s="10" t="s">
        <v>97</v>
      </c>
      <c r="B84" s="10" t="s">
        <v>78</v>
      </c>
      <c r="C84" s="10" t="s">
        <v>56</v>
      </c>
      <c r="D84" s="10" t="s">
        <v>98</v>
      </c>
      <c r="E84" s="10" t="str">
        <f>'CUOTA LICITADA'!C28</f>
        <v>LANDES S.A. PESQ.</v>
      </c>
      <c r="F84" s="10" t="s">
        <v>83</v>
      </c>
      <c r="G84" s="10" t="s">
        <v>84</v>
      </c>
      <c r="H84" s="21">
        <f>'CUOTA LICITADA'!F29</f>
        <v>6.1499999999999999E-2</v>
      </c>
      <c r="I84" s="21">
        <f>'CUOTA LICITADA'!G29</f>
        <v>0</v>
      </c>
      <c r="J84" s="21">
        <f>'CUOTA LICITADA'!H29</f>
        <v>0.61499999999999999</v>
      </c>
      <c r="K84" s="21">
        <f>'CUOTA LICITADA'!I29</f>
        <v>0</v>
      </c>
      <c r="L84" s="21">
        <f>'CUOTA LICITADA'!J29</f>
        <v>0.61499999999999999</v>
      </c>
      <c r="M84" s="23">
        <f>'CUOTA LICITADA'!K29</f>
        <v>0</v>
      </c>
      <c r="N84" s="22" t="s">
        <v>86</v>
      </c>
      <c r="O84" s="22">
        <f>'RESUMEN '!$B$3</f>
        <v>44095</v>
      </c>
      <c r="P84" s="10">
        <v>2020</v>
      </c>
      <c r="Q84" s="10"/>
    </row>
    <row r="85" spans="1:17" x14ac:dyDescent="0.25">
      <c r="A85" s="10" t="s">
        <v>97</v>
      </c>
      <c r="B85" s="10" t="s">
        <v>78</v>
      </c>
      <c r="C85" s="10" t="s">
        <v>56</v>
      </c>
      <c r="D85" s="10" t="s">
        <v>98</v>
      </c>
      <c r="E85" s="10" t="str">
        <f>'CUOTA LICITADA'!C28</f>
        <v>LANDES S.A. PESQ.</v>
      </c>
      <c r="F85" s="10" t="s">
        <v>85</v>
      </c>
      <c r="G85" s="10" t="s">
        <v>84</v>
      </c>
      <c r="H85" s="21">
        <f>'CUOTA LICITADA'!L28</f>
        <v>0.61499999999999999</v>
      </c>
      <c r="I85" s="21">
        <f>'CUOTA LICITADA'!M28</f>
        <v>0</v>
      </c>
      <c r="J85" s="21">
        <f>'CUOTA LICITADA'!N28</f>
        <v>0.61499999999999999</v>
      </c>
      <c r="K85" s="21">
        <f>'CUOTA LICITADA'!O28</f>
        <v>0</v>
      </c>
      <c r="L85" s="21">
        <f>'CUOTA LICITADA'!P28</f>
        <v>0.61499999999999999</v>
      </c>
      <c r="M85" s="23">
        <f>'CUOTA LICITADA'!Q28</f>
        <v>0</v>
      </c>
      <c r="N85" s="22" t="s">
        <v>86</v>
      </c>
      <c r="O85" s="22">
        <f>'RESUMEN '!$B$3</f>
        <v>44095</v>
      </c>
      <c r="P85" s="10">
        <v>2020</v>
      </c>
      <c r="Q85" s="10"/>
    </row>
    <row r="86" spans="1:17" x14ac:dyDescent="0.25">
      <c r="A86" s="10" t="s">
        <v>97</v>
      </c>
      <c r="B86" s="10" t="s">
        <v>78</v>
      </c>
      <c r="C86" s="10" t="s">
        <v>56</v>
      </c>
      <c r="D86" s="10" t="s">
        <v>98</v>
      </c>
      <c r="E86" s="10" t="str">
        <f>'CUOTA LICITADA'!C30</f>
        <v>ZUÑIGA ROMERO GONZALO</v>
      </c>
      <c r="F86" s="10" t="s">
        <v>81</v>
      </c>
      <c r="G86" s="10" t="s">
        <v>82</v>
      </c>
      <c r="H86" s="21">
        <f>'CUOTA LICITADA'!F30</f>
        <v>1.1784014999999998E-2</v>
      </c>
      <c r="I86" s="21">
        <f>'CUOTA LICITADA'!G30</f>
        <v>0</v>
      </c>
      <c r="J86" s="21">
        <f>'CUOTA LICITADA'!H30</f>
        <v>1.1784014999999998E-2</v>
      </c>
      <c r="K86" s="21">
        <f>'CUOTA LICITADA'!I30</f>
        <v>0</v>
      </c>
      <c r="L86" s="21">
        <f>'CUOTA LICITADA'!J30</f>
        <v>1.1784014999999998E-2</v>
      </c>
      <c r="M86" s="23">
        <f>'CUOTA LICITADA'!K30</f>
        <v>0</v>
      </c>
      <c r="N86" s="22" t="s">
        <v>86</v>
      </c>
      <c r="O86" s="22">
        <f>'RESUMEN '!$B$3</f>
        <v>44095</v>
      </c>
      <c r="P86" s="10">
        <v>2020</v>
      </c>
      <c r="Q86" s="10"/>
    </row>
    <row r="87" spans="1:17" x14ac:dyDescent="0.25">
      <c r="A87" s="10" t="s">
        <v>97</v>
      </c>
      <c r="B87" s="10" t="s">
        <v>78</v>
      </c>
      <c r="C87" s="10" t="s">
        <v>56</v>
      </c>
      <c r="D87" s="10" t="s">
        <v>98</v>
      </c>
      <c r="E87" s="10" t="str">
        <f>'CUOTA LICITADA'!C30</f>
        <v>ZUÑIGA ROMERO GONZALO</v>
      </c>
      <c r="F87" s="10" t="s">
        <v>83</v>
      </c>
      <c r="G87" s="10" t="s">
        <v>84</v>
      </c>
      <c r="H87" s="21">
        <f>'CUOTA LICITADA'!F31</f>
        <v>1.3093349999999998E-3</v>
      </c>
      <c r="I87" s="21">
        <f>'CUOTA LICITADA'!G31</f>
        <v>0</v>
      </c>
      <c r="J87" s="21">
        <f>'CUOTA LICITADA'!H31</f>
        <v>1.3093349999999998E-2</v>
      </c>
      <c r="K87" s="21">
        <f>'CUOTA LICITADA'!I31</f>
        <v>0</v>
      </c>
      <c r="L87" s="21">
        <f>'CUOTA LICITADA'!J31</f>
        <v>1.3093349999999998E-2</v>
      </c>
      <c r="M87" s="23">
        <f>'CUOTA LICITADA'!K31</f>
        <v>0</v>
      </c>
      <c r="N87" s="22" t="s">
        <v>86</v>
      </c>
      <c r="O87" s="22">
        <f>'RESUMEN '!$B$3</f>
        <v>44095</v>
      </c>
      <c r="P87" s="10">
        <v>2020</v>
      </c>
      <c r="Q87" s="10"/>
    </row>
    <row r="88" spans="1:17" x14ac:dyDescent="0.25">
      <c r="A88" s="10" t="s">
        <v>97</v>
      </c>
      <c r="B88" s="10" t="s">
        <v>78</v>
      </c>
      <c r="C88" s="10" t="s">
        <v>56</v>
      </c>
      <c r="D88" s="10" t="s">
        <v>98</v>
      </c>
      <c r="E88" s="10" t="str">
        <f>'CUOTA LICITADA'!C30</f>
        <v>ZUÑIGA ROMERO GONZALO</v>
      </c>
      <c r="F88" s="10" t="s">
        <v>85</v>
      </c>
      <c r="G88" s="10" t="s">
        <v>84</v>
      </c>
      <c r="H88" s="21">
        <f>'CUOTA LICITADA'!L30</f>
        <v>1.3093349999999998E-2</v>
      </c>
      <c r="I88" s="21">
        <f>'CUOTA LICITADA'!M30</f>
        <v>0</v>
      </c>
      <c r="J88" s="21">
        <f>'CUOTA LICITADA'!N30</f>
        <v>1.3093349999999998E-2</v>
      </c>
      <c r="K88" s="21">
        <f>'CUOTA LICITADA'!O30</f>
        <v>0</v>
      </c>
      <c r="L88" s="21">
        <f>'CUOTA LICITADA'!P30</f>
        <v>1.3093349999999998E-2</v>
      </c>
      <c r="M88" s="23">
        <f>'CUOTA LICITADA'!Q30</f>
        <v>0</v>
      </c>
      <c r="N88" s="22" t="s">
        <v>86</v>
      </c>
      <c r="O88" s="22">
        <f>'RESUMEN '!$B$3</f>
        <v>44095</v>
      </c>
      <c r="P88" s="10">
        <v>2020</v>
      </c>
      <c r="Q88" s="10"/>
    </row>
    <row r="89" spans="1:17" x14ac:dyDescent="0.25">
      <c r="A89" s="10" t="s">
        <v>97</v>
      </c>
      <c r="B89" s="10" t="s">
        <v>78</v>
      </c>
      <c r="C89" s="10" t="s">
        <v>56</v>
      </c>
      <c r="D89" s="10" t="s">
        <v>98</v>
      </c>
      <c r="E89" s="10" t="str">
        <f>'CUOTA LICITADA'!C32</f>
        <v>PACIFICBLU SPA.</v>
      </c>
      <c r="F89" s="10" t="s">
        <v>81</v>
      </c>
      <c r="G89" s="10" t="s">
        <v>82</v>
      </c>
      <c r="H89" s="21">
        <f>'CUOTA LICITADA'!F32</f>
        <v>175.45530446999999</v>
      </c>
      <c r="I89" s="21">
        <f>'CUOTA LICITADA'!G32</f>
        <v>-129.19797</v>
      </c>
      <c r="J89" s="21">
        <f>'CUOTA LICITADA'!H32</f>
        <v>46.257334469999989</v>
      </c>
      <c r="K89" s="21">
        <f>'CUOTA LICITADA'!I32</f>
        <v>0</v>
      </c>
      <c r="L89" s="21">
        <f>'CUOTA LICITADA'!J32</f>
        <v>46.257334469999989</v>
      </c>
      <c r="M89" s="23">
        <f>'CUOTA LICITADA'!K32</f>
        <v>0</v>
      </c>
      <c r="N89" s="22" t="s">
        <v>86</v>
      </c>
      <c r="O89" s="22">
        <f>'RESUMEN '!$B$3</f>
        <v>44095</v>
      </c>
      <c r="P89" s="10">
        <v>2020</v>
      </c>
      <c r="Q89" s="10"/>
    </row>
    <row r="90" spans="1:17" x14ac:dyDescent="0.25">
      <c r="A90" s="10" t="s">
        <v>97</v>
      </c>
      <c r="B90" s="10" t="s">
        <v>78</v>
      </c>
      <c r="C90" s="10" t="s">
        <v>56</v>
      </c>
      <c r="D90" s="10" t="s">
        <v>98</v>
      </c>
      <c r="E90" s="10" t="str">
        <f>'CUOTA LICITADA'!C32</f>
        <v>PACIFICBLU SPA.</v>
      </c>
      <c r="F90" s="10" t="s">
        <v>83</v>
      </c>
      <c r="G90" s="10" t="s">
        <v>84</v>
      </c>
      <c r="H90" s="21">
        <f>'CUOTA LICITADA'!F33</f>
        <v>19.495033830000001</v>
      </c>
      <c r="I90" s="21">
        <f>'CUOTA LICITADA'!G33</f>
        <v>0</v>
      </c>
      <c r="J90" s="21">
        <f>'CUOTA LICITADA'!H33</f>
        <v>65.752368299999986</v>
      </c>
      <c r="K90" s="21">
        <f>'CUOTA LICITADA'!I33</f>
        <v>0</v>
      </c>
      <c r="L90" s="21">
        <f>'CUOTA LICITADA'!J33</f>
        <v>65.752368299999986</v>
      </c>
      <c r="M90" s="23">
        <f>'CUOTA LICITADA'!K33</f>
        <v>0</v>
      </c>
      <c r="N90" s="22" t="s">
        <v>86</v>
      </c>
      <c r="O90" s="22">
        <f>'RESUMEN '!$B$3</f>
        <v>44095</v>
      </c>
      <c r="P90" s="10">
        <v>2020</v>
      </c>
      <c r="Q90" s="10"/>
    </row>
    <row r="91" spans="1:17" x14ac:dyDescent="0.25">
      <c r="A91" s="10" t="s">
        <v>97</v>
      </c>
      <c r="B91" s="10" t="s">
        <v>78</v>
      </c>
      <c r="C91" s="10" t="s">
        <v>56</v>
      </c>
      <c r="D91" s="10" t="s">
        <v>98</v>
      </c>
      <c r="E91" s="10" t="str">
        <f>'CUOTA LICITADA'!C32</f>
        <v>PACIFICBLU SPA.</v>
      </c>
      <c r="F91" s="10" t="s">
        <v>85</v>
      </c>
      <c r="G91" s="10" t="s">
        <v>84</v>
      </c>
      <c r="H91" s="21">
        <f>'CUOTA LICITADA'!L32</f>
        <v>194.9503383</v>
      </c>
      <c r="I91" s="21">
        <f>'CUOTA LICITADA'!M32</f>
        <v>-129.19797</v>
      </c>
      <c r="J91" s="21">
        <f>'CUOTA LICITADA'!N32</f>
        <v>65.752368300000001</v>
      </c>
      <c r="K91" s="21">
        <f>'CUOTA LICITADA'!O32</f>
        <v>0</v>
      </c>
      <c r="L91" s="21">
        <f>'CUOTA LICITADA'!P32</f>
        <v>65.752368300000001</v>
      </c>
      <c r="M91" s="23">
        <f>'CUOTA LICITADA'!Q32</f>
        <v>0</v>
      </c>
      <c r="N91" s="22" t="s">
        <v>86</v>
      </c>
      <c r="O91" s="22">
        <f>'RESUMEN '!$B$3</f>
        <v>44095</v>
      </c>
      <c r="P91" s="10">
        <v>2020</v>
      </c>
      <c r="Q91" s="10"/>
    </row>
    <row r="92" spans="1:17" x14ac:dyDescent="0.25">
      <c r="A92" s="10" t="s">
        <v>97</v>
      </c>
      <c r="B92" s="10" t="s">
        <v>78</v>
      </c>
      <c r="C92" s="10" t="s">
        <v>56</v>
      </c>
      <c r="D92" s="10" t="s">
        <v>98</v>
      </c>
      <c r="E92" s="10" t="str">
        <f>'CUOTA LICITADA'!C34</f>
        <v>DA VENEZIA RETAMALES ANTONIO</v>
      </c>
      <c r="F92" s="10" t="s">
        <v>81</v>
      </c>
      <c r="G92" s="10" t="s">
        <v>82</v>
      </c>
      <c r="H92" s="21">
        <f>'CUOTA LICITADA'!F34</f>
        <v>1.000728E-2</v>
      </c>
      <c r="I92" s="21">
        <f>'CUOTA LICITADA'!G34</f>
        <v>0</v>
      </c>
      <c r="J92" s="21">
        <f>'CUOTA LICITADA'!H34</f>
        <v>1.000728E-2</v>
      </c>
      <c r="K92" s="21">
        <f>'CUOTA LICITADA'!I34</f>
        <v>2.1999999999999999E-2</v>
      </c>
      <c r="L92" s="21">
        <f>'CUOTA LICITADA'!J34</f>
        <v>-1.1992719999999998E-2</v>
      </c>
      <c r="M92" s="23">
        <f>'CUOTA LICITADA'!K34</f>
        <v>2.1983995651165951</v>
      </c>
      <c r="N92" s="22" t="s">
        <v>86</v>
      </c>
      <c r="O92" s="22">
        <f>'RESUMEN '!$B$3</f>
        <v>44095</v>
      </c>
      <c r="P92" s="10">
        <v>2020</v>
      </c>
      <c r="Q92" s="10"/>
    </row>
    <row r="93" spans="1:17" x14ac:dyDescent="0.25">
      <c r="A93" s="10" t="s">
        <v>97</v>
      </c>
      <c r="B93" s="10" t="s">
        <v>78</v>
      </c>
      <c r="C93" s="10" t="s">
        <v>56</v>
      </c>
      <c r="D93" s="10" t="s">
        <v>98</v>
      </c>
      <c r="E93" s="10" t="str">
        <f>'CUOTA LICITADA'!C34</f>
        <v>DA VENEZIA RETAMALES ANTONIO</v>
      </c>
      <c r="F93" s="10" t="s">
        <v>83</v>
      </c>
      <c r="G93" s="10" t="s">
        <v>84</v>
      </c>
      <c r="H93" s="21">
        <f>'CUOTA LICITADA'!F35</f>
        <v>1.11192E-3</v>
      </c>
      <c r="I93" s="21">
        <f>'CUOTA LICITADA'!G35</f>
        <v>0</v>
      </c>
      <c r="J93" s="21">
        <f>'CUOTA LICITADA'!H35</f>
        <v>-1.0880799999999998E-2</v>
      </c>
      <c r="K93" s="21">
        <f>'CUOTA LICITADA'!I35</f>
        <v>0</v>
      </c>
      <c r="L93" s="21">
        <f>'CUOTA LICITADA'!J35</f>
        <v>-1.0880799999999998E-2</v>
      </c>
      <c r="M93" s="23">
        <f>'CUOTA LICITADA'!K35</f>
        <v>0</v>
      </c>
      <c r="N93" s="22" t="s">
        <v>86</v>
      </c>
      <c r="O93" s="22">
        <f>'RESUMEN '!$B$3</f>
        <v>44095</v>
      </c>
      <c r="P93" s="10">
        <v>2020</v>
      </c>
      <c r="Q93" s="10"/>
    </row>
    <row r="94" spans="1:17" x14ac:dyDescent="0.25">
      <c r="A94" s="10" t="s">
        <v>97</v>
      </c>
      <c r="B94" s="10" t="s">
        <v>78</v>
      </c>
      <c r="C94" s="10" t="s">
        <v>56</v>
      </c>
      <c r="D94" s="10" t="s">
        <v>98</v>
      </c>
      <c r="E94" s="10" t="str">
        <f>'CUOTA LICITADA'!C34</f>
        <v>DA VENEZIA RETAMALES ANTONIO</v>
      </c>
      <c r="F94" s="10" t="s">
        <v>85</v>
      </c>
      <c r="G94" s="10" t="s">
        <v>84</v>
      </c>
      <c r="H94" s="21">
        <f>'CUOTA LICITADA'!L34</f>
        <v>1.1119200000000001E-2</v>
      </c>
      <c r="I94" s="21">
        <f>'CUOTA LICITADA'!M34</f>
        <v>0</v>
      </c>
      <c r="J94" s="21">
        <f>'CUOTA LICITADA'!N34</f>
        <v>1.1119200000000001E-2</v>
      </c>
      <c r="K94" s="21">
        <f>'CUOTA LICITADA'!O34</f>
        <v>2.1999999999999999E-2</v>
      </c>
      <c r="L94" s="21">
        <f>'CUOTA LICITADA'!P34</f>
        <v>-1.0880799999999998E-2</v>
      </c>
      <c r="M94" s="23">
        <f>'CUOTA LICITADA'!Q34</f>
        <v>1.9785596086049353</v>
      </c>
      <c r="N94" s="22" t="s">
        <v>86</v>
      </c>
      <c r="O94" s="22">
        <f>'RESUMEN '!$B$3</f>
        <v>44095</v>
      </c>
      <c r="P94" s="10">
        <v>2020</v>
      </c>
      <c r="Q94" s="10"/>
    </row>
    <row r="95" spans="1:17" x14ac:dyDescent="0.25">
      <c r="A95" s="10" t="s">
        <v>97</v>
      </c>
      <c r="B95" s="10" t="s">
        <v>78</v>
      </c>
      <c r="C95" s="10" t="s">
        <v>56</v>
      </c>
      <c r="D95" s="10" t="s">
        <v>98</v>
      </c>
      <c r="E95" s="10" t="str">
        <f>'CUOTA LICITADA'!C36</f>
        <v>ENFERMAR LTDA. SOC. PESQ.</v>
      </c>
      <c r="F95" s="10" t="s">
        <v>81</v>
      </c>
      <c r="G95" s="10" t="s">
        <v>82</v>
      </c>
      <c r="H95" s="21">
        <f>'CUOTA LICITADA'!F36</f>
        <v>4.37444334</v>
      </c>
      <c r="I95" s="21">
        <f>'CUOTA LICITADA'!G36</f>
        <v>0</v>
      </c>
      <c r="J95" s="21">
        <f>'CUOTA LICITADA'!H36</f>
        <v>4.37444334</v>
      </c>
      <c r="K95" s="21">
        <f>'CUOTA LICITADA'!I36</f>
        <v>5.0419999999999998</v>
      </c>
      <c r="L95" s="21">
        <f>'CUOTA LICITADA'!J36</f>
        <v>-0.6675566599999998</v>
      </c>
      <c r="M95" s="23">
        <f>'CUOTA LICITADA'!K36</f>
        <v>1.1526037962123885</v>
      </c>
      <c r="N95" s="22" t="s">
        <v>86</v>
      </c>
      <c r="O95" s="22">
        <f>'RESUMEN '!$B$3</f>
        <v>44095</v>
      </c>
      <c r="P95" s="10">
        <v>2020</v>
      </c>
      <c r="Q95" s="10"/>
    </row>
    <row r="96" spans="1:17" x14ac:dyDescent="0.25">
      <c r="A96" s="10" t="s">
        <v>97</v>
      </c>
      <c r="B96" s="10" t="s">
        <v>78</v>
      </c>
      <c r="C96" s="10" t="s">
        <v>56</v>
      </c>
      <c r="D96" s="10" t="s">
        <v>98</v>
      </c>
      <c r="E96" s="10" t="str">
        <f>'CUOTA LICITADA'!C36</f>
        <v>ENFERMAR LTDA. SOC. PESQ.</v>
      </c>
      <c r="F96" s="10" t="s">
        <v>83</v>
      </c>
      <c r="G96" s="10" t="s">
        <v>84</v>
      </c>
      <c r="H96" s="21">
        <f>'CUOTA LICITADA'!F37</f>
        <v>0.48604926000000004</v>
      </c>
      <c r="I96" s="21">
        <f>'CUOTA LICITADA'!G37</f>
        <v>0</v>
      </c>
      <c r="J96" s="21">
        <f>'CUOTA LICITADA'!H37</f>
        <v>-0.18150739999999976</v>
      </c>
      <c r="K96" s="21">
        <f>'CUOTA LICITADA'!I37</f>
        <v>0</v>
      </c>
      <c r="L96" s="21">
        <f>'CUOTA LICITADA'!J37</f>
        <v>-0.18150739999999976</v>
      </c>
      <c r="M96" s="23">
        <f>'CUOTA LICITADA'!K37</f>
        <v>0</v>
      </c>
      <c r="N96" s="22" t="s">
        <v>86</v>
      </c>
      <c r="O96" s="22">
        <f>'RESUMEN '!$B$3</f>
        <v>44095</v>
      </c>
      <c r="P96" s="10">
        <v>2020</v>
      </c>
      <c r="Q96" s="10"/>
    </row>
    <row r="97" spans="1:17" x14ac:dyDescent="0.25">
      <c r="A97" s="10" t="s">
        <v>97</v>
      </c>
      <c r="B97" s="10" t="s">
        <v>78</v>
      </c>
      <c r="C97" s="10" t="s">
        <v>56</v>
      </c>
      <c r="D97" s="10" t="s">
        <v>98</v>
      </c>
      <c r="E97" s="10" t="str">
        <f>'CUOTA LICITADA'!C36</f>
        <v>ENFERMAR LTDA. SOC. PESQ.</v>
      </c>
      <c r="F97" s="10" t="s">
        <v>85</v>
      </c>
      <c r="G97" s="10" t="s">
        <v>84</v>
      </c>
      <c r="H97" s="21">
        <f>'CUOTA LICITADA'!L36</f>
        <v>4.8604925999999997</v>
      </c>
      <c r="I97" s="21">
        <f>'CUOTA LICITADA'!M36</f>
        <v>0</v>
      </c>
      <c r="J97" s="21">
        <f>'CUOTA LICITADA'!N36</f>
        <v>4.8604925999999997</v>
      </c>
      <c r="K97" s="21">
        <f>'CUOTA LICITADA'!O36</f>
        <v>5.0419999999999998</v>
      </c>
      <c r="L97" s="21">
        <f>'CUOTA LICITADA'!P36</f>
        <v>-0.1815074000000001</v>
      </c>
      <c r="M97" s="23">
        <f>'CUOTA LICITADA'!Q36</f>
        <v>1.0373434165911497</v>
      </c>
      <c r="N97" s="22" t="s">
        <v>86</v>
      </c>
      <c r="O97" s="22">
        <f>'RESUMEN '!$B$3</f>
        <v>44095</v>
      </c>
      <c r="P97" s="10">
        <v>2020</v>
      </c>
      <c r="Q97" s="10"/>
    </row>
    <row r="98" spans="1:17" x14ac:dyDescent="0.25">
      <c r="A98" s="10" t="s">
        <v>97</v>
      </c>
      <c r="B98" s="10" t="s">
        <v>78</v>
      </c>
      <c r="C98" s="10" t="s">
        <v>56</v>
      </c>
      <c r="D98" s="10" t="s">
        <v>98</v>
      </c>
      <c r="E98" s="10" t="str">
        <f>'CUOTA LICITADA'!C38</f>
        <v>RUBIO Y MAUAD LTDA.</v>
      </c>
      <c r="F98" s="10" t="s">
        <v>81</v>
      </c>
      <c r="G98" s="10" t="s">
        <v>82</v>
      </c>
      <c r="H98" s="21">
        <f>'CUOTA LICITADA'!F38</f>
        <v>2.4852150000000002</v>
      </c>
      <c r="I98" s="21">
        <f>'CUOTA LICITADA'!G38</f>
        <v>0</v>
      </c>
      <c r="J98" s="21">
        <f>'CUOTA LICITADA'!H38</f>
        <v>2.4852150000000002</v>
      </c>
      <c r="K98" s="21">
        <f>'CUOTA LICITADA'!I38</f>
        <v>0</v>
      </c>
      <c r="L98" s="21">
        <f>'CUOTA LICITADA'!J38</f>
        <v>2.4852150000000002</v>
      </c>
      <c r="M98" s="23">
        <f>'CUOTA LICITADA'!K38</f>
        <v>0</v>
      </c>
      <c r="N98" s="22" t="s">
        <v>86</v>
      </c>
      <c r="O98" s="22">
        <f>'RESUMEN '!$B$3</f>
        <v>44095</v>
      </c>
      <c r="P98" s="10">
        <v>2020</v>
      </c>
      <c r="Q98" s="10"/>
    </row>
    <row r="99" spans="1:17" x14ac:dyDescent="0.25">
      <c r="A99" s="10" t="s">
        <v>97</v>
      </c>
      <c r="B99" s="10" t="s">
        <v>78</v>
      </c>
      <c r="C99" s="10" t="s">
        <v>56</v>
      </c>
      <c r="D99" s="10" t="s">
        <v>98</v>
      </c>
      <c r="E99" s="10" t="str">
        <f>'CUOTA LICITADA'!C38</f>
        <v>RUBIO Y MAUAD LTDA.</v>
      </c>
      <c r="F99" s="10" t="s">
        <v>83</v>
      </c>
      <c r="G99" s="10" t="s">
        <v>84</v>
      </c>
      <c r="H99" s="21">
        <f>'CUOTA LICITADA'!F39</f>
        <v>0.27613500000000002</v>
      </c>
      <c r="I99" s="21">
        <f>'CUOTA LICITADA'!G39</f>
        <v>0</v>
      </c>
      <c r="J99" s="21">
        <f>'CUOTA LICITADA'!H39</f>
        <v>2.7613500000000002</v>
      </c>
      <c r="K99" s="21">
        <f>'CUOTA LICITADA'!I39</f>
        <v>0</v>
      </c>
      <c r="L99" s="21">
        <f>'CUOTA LICITADA'!J39</f>
        <v>2.7613500000000002</v>
      </c>
      <c r="M99" s="23">
        <f>'CUOTA LICITADA'!K39</f>
        <v>0</v>
      </c>
      <c r="N99" s="22" t="s">
        <v>86</v>
      </c>
      <c r="O99" s="22">
        <f>'RESUMEN '!$B$3</f>
        <v>44095</v>
      </c>
      <c r="P99" s="10">
        <v>2020</v>
      </c>
      <c r="Q99" s="10"/>
    </row>
    <row r="100" spans="1:17" x14ac:dyDescent="0.25">
      <c r="A100" s="10" t="s">
        <v>97</v>
      </c>
      <c r="B100" s="10" t="s">
        <v>78</v>
      </c>
      <c r="C100" s="10" t="s">
        <v>56</v>
      </c>
      <c r="D100" s="10" t="s">
        <v>98</v>
      </c>
      <c r="E100" s="10" t="str">
        <f>'CUOTA LICITADA'!C38</f>
        <v>RUBIO Y MAUAD LTDA.</v>
      </c>
      <c r="F100" s="10" t="s">
        <v>85</v>
      </c>
      <c r="G100" s="10" t="s">
        <v>84</v>
      </c>
      <c r="H100" s="21">
        <f>'CUOTA LICITADA'!L38</f>
        <v>2.7613500000000002</v>
      </c>
      <c r="I100" s="21">
        <f>'CUOTA LICITADA'!M38</f>
        <v>0</v>
      </c>
      <c r="J100" s="21">
        <f>'CUOTA LICITADA'!N38</f>
        <v>2.7613500000000002</v>
      </c>
      <c r="K100" s="21">
        <f>'CUOTA LICITADA'!O38</f>
        <v>0</v>
      </c>
      <c r="L100" s="21">
        <f>'CUOTA LICITADA'!P38</f>
        <v>2.7613500000000002</v>
      </c>
      <c r="M100" s="23">
        <f>'CUOTA LICITADA'!Q38</f>
        <v>0</v>
      </c>
      <c r="N100" s="22" t="s">
        <v>86</v>
      </c>
      <c r="O100" s="22">
        <f>'RESUMEN '!$B$3</f>
        <v>44095</v>
      </c>
      <c r="P100" s="10">
        <v>2020</v>
      </c>
      <c r="Q100" s="10"/>
    </row>
    <row r="101" spans="1:17" x14ac:dyDescent="0.25">
      <c r="A101" s="10" t="s">
        <v>97</v>
      </c>
      <c r="B101" s="10" t="s">
        <v>78</v>
      </c>
      <c r="C101" s="10" t="s">
        <v>57</v>
      </c>
      <c r="D101" s="10" t="s">
        <v>98</v>
      </c>
      <c r="E101" s="10" t="str">
        <f>'CUOTA LICITADA'!C40</f>
        <v>ANTARTIC SEAFOOD S.A.</v>
      </c>
      <c r="F101" s="10" t="s">
        <v>81</v>
      </c>
      <c r="G101" s="10" t="s">
        <v>82</v>
      </c>
      <c r="H101" s="21">
        <f>'CUOTA LICITADA'!F40</f>
        <v>217.52552300000002</v>
      </c>
      <c r="I101" s="21">
        <f>'CUOTA LICITADA'!G40</f>
        <v>-222.727159</v>
      </c>
      <c r="J101" s="21">
        <f>'CUOTA LICITADA'!H40</f>
        <v>-5.2016359999999793</v>
      </c>
      <c r="K101" s="21">
        <f>'CUOTA LICITADA'!I40</f>
        <v>0</v>
      </c>
      <c r="L101" s="21">
        <f>'CUOTA LICITADA'!J40</f>
        <v>-5.2016359999999793</v>
      </c>
      <c r="M101" s="23">
        <f>'CUOTA LICITADA'!K40</f>
        <v>0</v>
      </c>
      <c r="N101" s="22" t="s">
        <v>86</v>
      </c>
      <c r="O101" s="22">
        <f>'RESUMEN '!$B$3</f>
        <v>44095</v>
      </c>
      <c r="P101" s="10">
        <v>2020</v>
      </c>
      <c r="Q101" s="10"/>
    </row>
    <row r="102" spans="1:17" x14ac:dyDescent="0.25">
      <c r="A102" s="10" t="s">
        <v>97</v>
      </c>
      <c r="B102" s="10" t="s">
        <v>78</v>
      </c>
      <c r="C102" s="10" t="s">
        <v>57</v>
      </c>
      <c r="D102" s="10" t="s">
        <v>98</v>
      </c>
      <c r="E102" s="10" t="str">
        <f>'CUOTA LICITADA'!C40</f>
        <v>ANTARTIC SEAFOOD S.A.</v>
      </c>
      <c r="F102" s="10" t="s">
        <v>83</v>
      </c>
      <c r="G102" s="10" t="s">
        <v>84</v>
      </c>
      <c r="H102" s="21">
        <f>'CUOTA LICITADA'!F41</f>
        <v>24.182546000000002</v>
      </c>
      <c r="I102" s="21">
        <f>'CUOTA LICITADA'!G41</f>
        <v>0</v>
      </c>
      <c r="J102" s="21">
        <f>'CUOTA LICITADA'!H41</f>
        <v>18.980910000000023</v>
      </c>
      <c r="K102" s="21">
        <f>'CUOTA LICITADA'!I41</f>
        <v>0</v>
      </c>
      <c r="L102" s="21">
        <f>'CUOTA LICITADA'!J41</f>
        <v>18.980910000000023</v>
      </c>
      <c r="M102" s="23">
        <f>'CUOTA LICITADA'!K41</f>
        <v>0</v>
      </c>
      <c r="N102" s="22" t="s">
        <v>86</v>
      </c>
      <c r="O102" s="22">
        <f>'RESUMEN '!$B$3</f>
        <v>44095</v>
      </c>
      <c r="P102" s="10">
        <v>2020</v>
      </c>
      <c r="Q102" s="10"/>
    </row>
    <row r="103" spans="1:17" x14ac:dyDescent="0.25">
      <c r="A103" s="10" t="s">
        <v>97</v>
      </c>
      <c r="B103" s="10" t="s">
        <v>78</v>
      </c>
      <c r="C103" s="10" t="s">
        <v>57</v>
      </c>
      <c r="D103" s="10" t="s">
        <v>98</v>
      </c>
      <c r="E103" s="10" t="str">
        <f>'CUOTA LICITADA'!C40</f>
        <v>ANTARTIC SEAFOOD S.A.</v>
      </c>
      <c r="F103" s="10" t="s">
        <v>85</v>
      </c>
      <c r="G103" s="10" t="s">
        <v>84</v>
      </c>
      <c r="H103" s="21">
        <f>'CUOTA LICITADA'!L40</f>
        <v>241.70806900000002</v>
      </c>
      <c r="I103" s="21">
        <f>'CUOTA LICITADA'!M40</f>
        <v>-222.727159</v>
      </c>
      <c r="J103" s="21">
        <f>'CUOTA LICITADA'!N40</f>
        <v>18.980910000000023</v>
      </c>
      <c r="K103" s="21">
        <f>'CUOTA LICITADA'!O40</f>
        <v>0</v>
      </c>
      <c r="L103" s="21">
        <f>'CUOTA LICITADA'!P40</f>
        <v>18.980910000000023</v>
      </c>
      <c r="M103" s="23">
        <f>'CUOTA LICITADA'!Q40</f>
        <v>0</v>
      </c>
      <c r="N103" s="22" t="s">
        <v>86</v>
      </c>
      <c r="O103" s="22">
        <f>'RESUMEN '!$B$3</f>
        <v>44095</v>
      </c>
      <c r="P103" s="10">
        <v>2020</v>
      </c>
      <c r="Q103" s="10"/>
    </row>
    <row r="104" spans="1:17" x14ac:dyDescent="0.25">
      <c r="A104" s="10" t="s">
        <v>97</v>
      </c>
      <c r="B104" s="10" t="s">
        <v>78</v>
      </c>
      <c r="C104" s="10" t="s">
        <v>57</v>
      </c>
      <c r="D104" s="10" t="s">
        <v>98</v>
      </c>
      <c r="E104" s="10" t="str">
        <f>'CUOTA LICITADA'!C42</f>
        <v>QUINTERO S.A. PESQ.</v>
      </c>
      <c r="F104" s="10" t="s">
        <v>81</v>
      </c>
      <c r="G104" s="10" t="s">
        <v>82</v>
      </c>
      <c r="H104" s="21">
        <f>'CUOTA LICITADA'!F42</f>
        <v>19.048691760000001</v>
      </c>
      <c r="I104" s="21">
        <f>'CUOTA LICITADA'!G42</f>
        <v>0</v>
      </c>
      <c r="J104" s="21">
        <f>'CUOTA LICITADA'!H42</f>
        <v>19.048691760000001</v>
      </c>
      <c r="K104" s="21">
        <f>'CUOTA LICITADA'!I42</f>
        <v>0.40699999999999997</v>
      </c>
      <c r="L104" s="21">
        <f>'CUOTA LICITADA'!J42</f>
        <v>18.64169176</v>
      </c>
      <c r="M104" s="23">
        <f>'CUOTA LICITADA'!K42</f>
        <v>2.1366296705721904E-2</v>
      </c>
      <c r="N104" s="22" t="s">
        <v>86</v>
      </c>
      <c r="O104" s="22">
        <f>'RESUMEN '!$B$3</f>
        <v>44095</v>
      </c>
      <c r="P104" s="10">
        <v>2020</v>
      </c>
      <c r="Q104" s="10"/>
    </row>
    <row r="105" spans="1:17" x14ac:dyDescent="0.25">
      <c r="A105" s="10" t="s">
        <v>97</v>
      </c>
      <c r="B105" s="10" t="s">
        <v>78</v>
      </c>
      <c r="C105" s="10" t="s">
        <v>57</v>
      </c>
      <c r="D105" s="10" t="s">
        <v>98</v>
      </c>
      <c r="E105" s="10" t="str">
        <f>'CUOTA LICITADA'!C42</f>
        <v>QUINTERO S.A. PESQ.</v>
      </c>
      <c r="F105" s="10" t="s">
        <v>83</v>
      </c>
      <c r="G105" s="10" t="s">
        <v>84</v>
      </c>
      <c r="H105" s="21">
        <f>'CUOTA LICITADA'!F43</f>
        <v>2.1176635199999998</v>
      </c>
      <c r="I105" s="21">
        <f>'CUOTA LICITADA'!G43</f>
        <v>0</v>
      </c>
      <c r="J105" s="21">
        <f>'CUOTA LICITADA'!H43</f>
        <v>20.759355280000001</v>
      </c>
      <c r="K105" s="21">
        <f>'CUOTA LICITADA'!I43</f>
        <v>0</v>
      </c>
      <c r="L105" s="21">
        <f>'CUOTA LICITADA'!J43</f>
        <v>20.759355280000001</v>
      </c>
      <c r="M105" s="23">
        <f>'CUOTA LICITADA'!K43</f>
        <v>0</v>
      </c>
      <c r="N105" s="22" t="s">
        <v>86</v>
      </c>
      <c r="O105" s="22">
        <f>'RESUMEN '!$B$3</f>
        <v>44095</v>
      </c>
      <c r="P105" s="10">
        <v>2020</v>
      </c>
      <c r="Q105" s="10"/>
    </row>
    <row r="106" spans="1:17" x14ac:dyDescent="0.25">
      <c r="A106" s="10" t="s">
        <v>97</v>
      </c>
      <c r="B106" s="10" t="s">
        <v>78</v>
      </c>
      <c r="C106" s="10" t="s">
        <v>57</v>
      </c>
      <c r="D106" s="10" t="s">
        <v>98</v>
      </c>
      <c r="E106" s="10" t="str">
        <f>'CUOTA LICITADA'!C42</f>
        <v>QUINTERO S.A. PESQ.</v>
      </c>
      <c r="F106" s="10" t="s">
        <v>85</v>
      </c>
      <c r="G106" s="10" t="s">
        <v>84</v>
      </c>
      <c r="H106" s="21">
        <f>'CUOTA LICITADA'!L42</f>
        <v>21.166355280000001</v>
      </c>
      <c r="I106" s="21">
        <f>'CUOTA LICITADA'!M42</f>
        <v>0</v>
      </c>
      <c r="J106" s="21">
        <f>'CUOTA LICITADA'!N42</f>
        <v>21.166355280000001</v>
      </c>
      <c r="K106" s="21">
        <f>'CUOTA LICITADA'!O42</f>
        <v>0.40699999999999997</v>
      </c>
      <c r="L106" s="21">
        <f>'CUOTA LICITADA'!P42</f>
        <v>20.759355280000001</v>
      </c>
      <c r="M106" s="23">
        <f>'CUOTA LICITADA'!Q42</f>
        <v>1.9228629332541373E-2</v>
      </c>
      <c r="N106" s="22" t="s">
        <v>86</v>
      </c>
      <c r="O106" s="22">
        <f>'RESUMEN '!$B$3</f>
        <v>44095</v>
      </c>
      <c r="P106" s="10">
        <v>2020</v>
      </c>
      <c r="Q106" s="10"/>
    </row>
    <row r="107" spans="1:17" x14ac:dyDescent="0.25">
      <c r="A107" s="10" t="s">
        <v>97</v>
      </c>
      <c r="B107" s="10" t="s">
        <v>78</v>
      </c>
      <c r="C107" s="10" t="s">
        <v>57</v>
      </c>
      <c r="D107" s="10" t="s">
        <v>98</v>
      </c>
      <c r="E107" s="10" t="str">
        <f>'CUOTA LICITADA'!C44</f>
        <v>BRACPESCA S.A.</v>
      </c>
      <c r="F107" s="10" t="s">
        <v>81</v>
      </c>
      <c r="G107" s="10" t="s">
        <v>82</v>
      </c>
      <c r="H107" s="21">
        <f>'CUOTA LICITADA'!F44</f>
        <v>249.87890300000001</v>
      </c>
      <c r="I107" s="21">
        <f>'CUOTA LICITADA'!G44</f>
        <v>-230</v>
      </c>
      <c r="J107" s="21">
        <f>'CUOTA LICITADA'!H44</f>
        <v>19.878903000000008</v>
      </c>
      <c r="K107" s="21">
        <f>'CUOTA LICITADA'!I44</f>
        <v>0.48599999999999999</v>
      </c>
      <c r="L107" s="21">
        <f>'CUOTA LICITADA'!J44</f>
        <v>19.392903000000008</v>
      </c>
      <c r="M107" s="23">
        <f>'CUOTA LICITADA'!K44</f>
        <v>2.4448029149294597E-2</v>
      </c>
      <c r="N107" s="22" t="s">
        <v>86</v>
      </c>
      <c r="O107" s="22">
        <f>'RESUMEN '!$B$3</f>
        <v>44095</v>
      </c>
      <c r="P107" s="10">
        <v>2020</v>
      </c>
      <c r="Q107" s="10"/>
    </row>
    <row r="108" spans="1:17" x14ac:dyDescent="0.25">
      <c r="A108" s="10" t="s">
        <v>97</v>
      </c>
      <c r="B108" s="10" t="s">
        <v>78</v>
      </c>
      <c r="C108" s="10" t="s">
        <v>57</v>
      </c>
      <c r="D108" s="10" t="s">
        <v>98</v>
      </c>
      <c r="E108" s="10" t="str">
        <f>'CUOTA LICITADA'!C44</f>
        <v>BRACPESCA S.A.</v>
      </c>
      <c r="F108" s="10" t="s">
        <v>83</v>
      </c>
      <c r="G108" s="10" t="s">
        <v>84</v>
      </c>
      <c r="H108" s="21">
        <f>'CUOTA LICITADA'!F45</f>
        <v>27.779305999999998</v>
      </c>
      <c r="I108" s="21">
        <f>'CUOTA LICITADA'!G45</f>
        <v>0</v>
      </c>
      <c r="J108" s="21">
        <f>'CUOTA LICITADA'!H45</f>
        <v>47.172209000000009</v>
      </c>
      <c r="K108" s="21">
        <f>'CUOTA LICITADA'!I45</f>
        <v>0</v>
      </c>
      <c r="L108" s="21">
        <f>'CUOTA LICITADA'!J45</f>
        <v>47.172209000000009</v>
      </c>
      <c r="M108" s="23">
        <f>'CUOTA LICITADA'!K45</f>
        <v>0</v>
      </c>
      <c r="N108" s="22" t="s">
        <v>86</v>
      </c>
      <c r="O108" s="22">
        <f>'RESUMEN '!$B$3</f>
        <v>44095</v>
      </c>
      <c r="P108" s="10">
        <v>2020</v>
      </c>
      <c r="Q108" s="10"/>
    </row>
    <row r="109" spans="1:17" x14ac:dyDescent="0.25">
      <c r="A109" s="10" t="s">
        <v>97</v>
      </c>
      <c r="B109" s="10" t="s">
        <v>78</v>
      </c>
      <c r="C109" s="10" t="s">
        <v>57</v>
      </c>
      <c r="D109" s="10" t="s">
        <v>98</v>
      </c>
      <c r="E109" s="10" t="str">
        <f>'CUOTA LICITADA'!C44</f>
        <v>BRACPESCA S.A.</v>
      </c>
      <c r="F109" s="10" t="s">
        <v>85</v>
      </c>
      <c r="G109" s="10" t="s">
        <v>84</v>
      </c>
      <c r="H109" s="21">
        <f>'CUOTA LICITADA'!L44</f>
        <v>277.658209</v>
      </c>
      <c r="I109" s="21">
        <f>'CUOTA LICITADA'!M44</f>
        <v>-230</v>
      </c>
      <c r="J109" s="21">
        <f>'CUOTA LICITADA'!N44</f>
        <v>47.658208999999999</v>
      </c>
      <c r="K109" s="21">
        <f>'CUOTA LICITADA'!O44</f>
        <v>0.48599999999999999</v>
      </c>
      <c r="L109" s="21">
        <f>'CUOTA LICITADA'!P44</f>
        <v>47.172209000000002</v>
      </c>
      <c r="M109" s="23">
        <f>'CUOTA LICITADA'!Q44</f>
        <v>1.0197613594753425E-2</v>
      </c>
      <c r="N109" s="22" t="s">
        <v>86</v>
      </c>
      <c r="O109" s="22">
        <f>'RESUMEN '!$B$3</f>
        <v>44095</v>
      </c>
      <c r="P109" s="10">
        <v>2020</v>
      </c>
      <c r="Q109" s="10"/>
    </row>
    <row r="110" spans="1:17" x14ac:dyDescent="0.25">
      <c r="A110" s="10" t="s">
        <v>97</v>
      </c>
      <c r="B110" s="10" t="s">
        <v>78</v>
      </c>
      <c r="C110" s="10" t="s">
        <v>57</v>
      </c>
      <c r="D110" s="10" t="s">
        <v>98</v>
      </c>
      <c r="E110" s="10" t="str">
        <f>'CUOTA LICITADA'!C46</f>
        <v>CAMANCHACA PESCA SUR S.A.</v>
      </c>
      <c r="F110" s="10" t="s">
        <v>81</v>
      </c>
      <c r="G110" s="10" t="s">
        <v>82</v>
      </c>
      <c r="H110" s="21">
        <f>'CUOTA LICITADA'!F46</f>
        <v>2358.29256876</v>
      </c>
      <c r="I110" s="21">
        <f>'CUOTA LICITADA'!G46</f>
        <v>172.65676100000005</v>
      </c>
      <c r="J110" s="21">
        <f>'CUOTA LICITADA'!H46</f>
        <v>2530.9493297600002</v>
      </c>
      <c r="K110" s="21">
        <f>'CUOTA LICITADA'!I46</f>
        <v>2372.2220000000002</v>
      </c>
      <c r="L110" s="21">
        <f>'CUOTA LICITADA'!J46</f>
        <v>158.72732975999998</v>
      </c>
      <c r="M110" s="23">
        <f>'CUOTA LICITADA'!K46</f>
        <v>0.93728545732084989</v>
      </c>
      <c r="N110" s="22" t="s">
        <v>86</v>
      </c>
      <c r="O110" s="22">
        <f>'RESUMEN '!$B$3</f>
        <v>44095</v>
      </c>
      <c r="P110" s="10">
        <v>2020</v>
      </c>
      <c r="Q110" s="10"/>
    </row>
    <row r="111" spans="1:17" x14ac:dyDescent="0.25">
      <c r="A111" s="10" t="s">
        <v>97</v>
      </c>
      <c r="B111" s="10" t="s">
        <v>78</v>
      </c>
      <c r="C111" s="10" t="s">
        <v>57</v>
      </c>
      <c r="D111" s="10" t="s">
        <v>98</v>
      </c>
      <c r="E111" s="10" t="str">
        <f>'CUOTA LICITADA'!C46</f>
        <v>CAMANCHACA PESCA SUR S.A.</v>
      </c>
      <c r="F111" s="10" t="s">
        <v>83</v>
      </c>
      <c r="G111" s="10" t="s">
        <v>84</v>
      </c>
      <c r="H111" s="21">
        <f>'CUOTA LICITADA'!F47</f>
        <v>262.17391751999997</v>
      </c>
      <c r="I111" s="21">
        <f>'CUOTA LICITADA'!G47</f>
        <v>0</v>
      </c>
      <c r="J111" s="21">
        <f>'CUOTA LICITADA'!H47</f>
        <v>420.90124727999995</v>
      </c>
      <c r="K111" s="21">
        <f>'CUOTA LICITADA'!I47</f>
        <v>0</v>
      </c>
      <c r="L111" s="21">
        <f>'CUOTA LICITADA'!J47</f>
        <v>420.90124727999995</v>
      </c>
      <c r="M111" s="23">
        <f>'CUOTA LICITADA'!K47</f>
        <v>0</v>
      </c>
      <c r="N111" s="22" t="s">
        <v>86</v>
      </c>
      <c r="O111" s="22">
        <f>'RESUMEN '!$B$3</f>
        <v>44095</v>
      </c>
      <c r="P111" s="10">
        <v>2020</v>
      </c>
      <c r="Q111" s="10"/>
    </row>
    <row r="112" spans="1:17" x14ac:dyDescent="0.25">
      <c r="A112" s="10" t="s">
        <v>97</v>
      </c>
      <c r="B112" s="10" t="s">
        <v>78</v>
      </c>
      <c r="C112" s="10" t="s">
        <v>57</v>
      </c>
      <c r="D112" s="10" t="s">
        <v>98</v>
      </c>
      <c r="E112" s="10" t="str">
        <f>'CUOTA LICITADA'!C46</f>
        <v>CAMANCHACA PESCA SUR S.A.</v>
      </c>
      <c r="F112" s="10" t="s">
        <v>85</v>
      </c>
      <c r="G112" s="10" t="s">
        <v>84</v>
      </c>
      <c r="H112" s="21">
        <f>'CUOTA LICITADA'!L46</f>
        <v>2620.46648628</v>
      </c>
      <c r="I112" s="21">
        <f>'CUOTA LICITADA'!M46</f>
        <v>172.65676100000005</v>
      </c>
      <c r="J112" s="21">
        <f>'CUOTA LICITADA'!N46</f>
        <v>2793.1232472800002</v>
      </c>
      <c r="K112" s="21">
        <f>'CUOTA LICITADA'!O46</f>
        <v>2372.2220000000002</v>
      </c>
      <c r="L112" s="21">
        <f>'CUOTA LICITADA'!P46</f>
        <v>420.90124728000001</v>
      </c>
      <c r="M112" s="23">
        <f>'CUOTA LICITADA'!Q46</f>
        <v>0.8493080290352808</v>
      </c>
      <c r="N112" s="22" t="s">
        <v>86</v>
      </c>
      <c r="O112" s="22">
        <f>'RESUMEN '!$B$3</f>
        <v>44095</v>
      </c>
      <c r="P112" s="10">
        <v>2020</v>
      </c>
      <c r="Q112" s="10"/>
    </row>
    <row r="113" spans="1:17" x14ac:dyDescent="0.25">
      <c r="A113" s="10" t="s">
        <v>97</v>
      </c>
      <c r="B113" s="10" t="s">
        <v>78</v>
      </c>
      <c r="C113" s="10" t="s">
        <v>57</v>
      </c>
      <c r="D113" s="10" t="s">
        <v>98</v>
      </c>
      <c r="E113" s="10" t="str">
        <f>'CUOTA LICITADA'!C48</f>
        <v>ANTONIO CRUZ CORDOVA NAKOUZI E.I.R.L.</v>
      </c>
      <c r="F113" s="10" t="s">
        <v>81</v>
      </c>
      <c r="G113" s="10" t="s">
        <v>82</v>
      </c>
      <c r="H113" s="21">
        <f>'CUOTA LICITADA'!F48</f>
        <v>17.629997899999999</v>
      </c>
      <c r="I113" s="21">
        <f>'CUOTA LICITADA'!G48</f>
        <v>0</v>
      </c>
      <c r="J113" s="21">
        <f>'CUOTA LICITADA'!H48</f>
        <v>17.629997899999999</v>
      </c>
      <c r="K113" s="21">
        <f>'CUOTA LICITADA'!I48</f>
        <v>0</v>
      </c>
      <c r="L113" s="21">
        <f>'CUOTA LICITADA'!J48</f>
        <v>17.629997899999999</v>
      </c>
      <c r="M113" s="23">
        <f>'CUOTA LICITADA'!K48</f>
        <v>0</v>
      </c>
      <c r="N113" s="22" t="s">
        <v>86</v>
      </c>
      <c r="O113" s="22">
        <f>'RESUMEN '!$B$3</f>
        <v>44095</v>
      </c>
      <c r="P113" s="10">
        <v>2020</v>
      </c>
      <c r="Q113" s="10"/>
    </row>
    <row r="114" spans="1:17" x14ac:dyDescent="0.25">
      <c r="A114" s="10" t="s">
        <v>97</v>
      </c>
      <c r="B114" s="10" t="s">
        <v>78</v>
      </c>
      <c r="C114" s="10" t="s">
        <v>57</v>
      </c>
      <c r="D114" s="10" t="s">
        <v>98</v>
      </c>
      <c r="E114" s="10" t="str">
        <f>'CUOTA LICITADA'!C48</f>
        <v>ANTONIO CRUZ CORDOVA NAKOUZI E.I.R.L.</v>
      </c>
      <c r="F114" s="10" t="s">
        <v>83</v>
      </c>
      <c r="G114" s="10" t="s">
        <v>84</v>
      </c>
      <c r="H114" s="21">
        <f>'CUOTA LICITADA'!F49</f>
        <v>1.9599458000000001</v>
      </c>
      <c r="I114" s="21">
        <f>'CUOTA LICITADA'!G49</f>
        <v>0</v>
      </c>
      <c r="J114" s="21">
        <f>'CUOTA LICITADA'!H49</f>
        <v>19.589943699999999</v>
      </c>
      <c r="K114" s="21">
        <f>'CUOTA LICITADA'!I49</f>
        <v>0</v>
      </c>
      <c r="L114" s="21">
        <f>'CUOTA LICITADA'!J49</f>
        <v>19.589943699999999</v>
      </c>
      <c r="M114" s="23">
        <f>'CUOTA LICITADA'!K49</f>
        <v>0</v>
      </c>
      <c r="N114" s="22" t="s">
        <v>86</v>
      </c>
      <c r="O114" s="22">
        <f>'RESUMEN '!$B$3</f>
        <v>44095</v>
      </c>
      <c r="P114" s="10">
        <v>2020</v>
      </c>
      <c r="Q114" s="10"/>
    </row>
    <row r="115" spans="1:17" x14ac:dyDescent="0.25">
      <c r="A115" s="10" t="s">
        <v>97</v>
      </c>
      <c r="B115" s="10" t="s">
        <v>78</v>
      </c>
      <c r="C115" s="10" t="s">
        <v>57</v>
      </c>
      <c r="D115" s="10" t="s">
        <v>98</v>
      </c>
      <c r="E115" s="10" t="str">
        <f>'CUOTA LICITADA'!C48</f>
        <v>ANTONIO CRUZ CORDOVA NAKOUZI E.I.R.L.</v>
      </c>
      <c r="F115" s="10" t="s">
        <v>85</v>
      </c>
      <c r="G115" s="10" t="s">
        <v>84</v>
      </c>
      <c r="H115" s="21">
        <f>'CUOTA LICITADA'!L48</f>
        <v>19.589943699999999</v>
      </c>
      <c r="I115" s="21">
        <f>'CUOTA LICITADA'!M48</f>
        <v>0</v>
      </c>
      <c r="J115" s="21">
        <f>'CUOTA LICITADA'!N48</f>
        <v>19.589943699999999</v>
      </c>
      <c r="K115" s="21">
        <f>'CUOTA LICITADA'!O48</f>
        <v>0</v>
      </c>
      <c r="L115" s="21">
        <f>'CUOTA LICITADA'!P48</f>
        <v>19.589943699999999</v>
      </c>
      <c r="M115" s="23">
        <f>'CUOTA LICITADA'!Q48</f>
        <v>0</v>
      </c>
      <c r="N115" s="22" t="s">
        <v>86</v>
      </c>
      <c r="O115" s="22">
        <f>'RESUMEN '!$B$3</f>
        <v>44095</v>
      </c>
      <c r="P115" s="10">
        <v>2020</v>
      </c>
      <c r="Q115" s="10"/>
    </row>
    <row r="116" spans="1:17" x14ac:dyDescent="0.25">
      <c r="A116" s="10" t="s">
        <v>97</v>
      </c>
      <c r="B116" s="10" t="s">
        <v>78</v>
      </c>
      <c r="C116" s="10" t="s">
        <v>57</v>
      </c>
      <c r="D116" s="10" t="s">
        <v>98</v>
      </c>
      <c r="E116" s="10" t="str">
        <f>'CUOTA LICITADA'!C50</f>
        <v>GRIMAR S.A. PESQ.</v>
      </c>
      <c r="F116" s="10" t="s">
        <v>81</v>
      </c>
      <c r="G116" s="10" t="s">
        <v>82</v>
      </c>
      <c r="H116" s="21">
        <f>'CUOTA LICITADA'!F50</f>
        <v>1.4453400000000001</v>
      </c>
      <c r="I116" s="21">
        <f>'CUOTA LICITADA'!G50</f>
        <v>0</v>
      </c>
      <c r="J116" s="21">
        <f>'CUOTA LICITADA'!H50</f>
        <v>1.4453400000000001</v>
      </c>
      <c r="K116" s="21">
        <f>'CUOTA LICITADA'!I50</f>
        <v>0</v>
      </c>
      <c r="L116" s="21">
        <f>'CUOTA LICITADA'!J50</f>
        <v>1.4453400000000001</v>
      </c>
      <c r="M116" s="23">
        <f>'CUOTA LICITADA'!K50</f>
        <v>0</v>
      </c>
      <c r="N116" s="22" t="s">
        <v>86</v>
      </c>
      <c r="O116" s="22">
        <f>'RESUMEN '!$B$3</f>
        <v>44095</v>
      </c>
      <c r="P116" s="10">
        <v>2020</v>
      </c>
      <c r="Q116" s="10"/>
    </row>
    <row r="117" spans="1:17" x14ac:dyDescent="0.25">
      <c r="A117" s="10" t="s">
        <v>97</v>
      </c>
      <c r="B117" s="10" t="s">
        <v>78</v>
      </c>
      <c r="C117" s="10" t="s">
        <v>57</v>
      </c>
      <c r="D117" s="10" t="s">
        <v>98</v>
      </c>
      <c r="E117" s="10" t="str">
        <f>'CUOTA LICITADA'!C50</f>
        <v>GRIMAR S.A. PESQ.</v>
      </c>
      <c r="F117" s="10" t="s">
        <v>83</v>
      </c>
      <c r="G117" s="10" t="s">
        <v>84</v>
      </c>
      <c r="H117" s="21">
        <f>'CUOTA LICITADA'!F51</f>
        <v>0.16067999999999999</v>
      </c>
      <c r="I117" s="21">
        <f>'CUOTA LICITADA'!G51</f>
        <v>0</v>
      </c>
      <c r="J117" s="21">
        <f>'CUOTA LICITADA'!H51</f>
        <v>1.60602</v>
      </c>
      <c r="K117" s="21">
        <f>'CUOTA LICITADA'!I51</f>
        <v>0</v>
      </c>
      <c r="L117" s="21">
        <f>'CUOTA LICITADA'!J51</f>
        <v>1.60602</v>
      </c>
      <c r="M117" s="23">
        <f>'CUOTA LICITADA'!K51</f>
        <v>0</v>
      </c>
      <c r="N117" s="22" t="s">
        <v>86</v>
      </c>
      <c r="O117" s="22">
        <f>'RESUMEN '!$B$3</f>
        <v>44095</v>
      </c>
      <c r="P117" s="10">
        <v>2020</v>
      </c>
      <c r="Q117" s="10"/>
    </row>
    <row r="118" spans="1:17" x14ac:dyDescent="0.25">
      <c r="A118" s="10" t="s">
        <v>97</v>
      </c>
      <c r="B118" s="10" t="s">
        <v>78</v>
      </c>
      <c r="C118" s="10" t="s">
        <v>57</v>
      </c>
      <c r="D118" s="10" t="s">
        <v>98</v>
      </c>
      <c r="E118" s="10" t="str">
        <f>'CUOTA LICITADA'!C50</f>
        <v>GRIMAR S.A. PESQ.</v>
      </c>
      <c r="F118" s="10" t="s">
        <v>85</v>
      </c>
      <c r="G118" s="10" t="s">
        <v>84</v>
      </c>
      <c r="H118" s="21">
        <f>'CUOTA LICITADA'!L50</f>
        <v>1.60602</v>
      </c>
      <c r="I118" s="21">
        <f>'CUOTA LICITADA'!M50</f>
        <v>0</v>
      </c>
      <c r="J118" s="21">
        <f>'CUOTA LICITADA'!N50</f>
        <v>1.60602</v>
      </c>
      <c r="K118" s="21">
        <f>'CUOTA LICITADA'!O50</f>
        <v>0</v>
      </c>
      <c r="L118" s="21">
        <f>'CUOTA LICITADA'!P50</f>
        <v>1.60602</v>
      </c>
      <c r="M118" s="23">
        <f>'CUOTA LICITADA'!Q50</f>
        <v>0</v>
      </c>
      <c r="N118" s="22" t="s">
        <v>86</v>
      </c>
      <c r="O118" s="22">
        <f>'RESUMEN '!$B$3</f>
        <v>44095</v>
      </c>
      <c r="P118" s="10">
        <v>2020</v>
      </c>
      <c r="Q118" s="10"/>
    </row>
    <row r="119" spans="1:17" x14ac:dyDescent="0.25">
      <c r="A119" s="10" t="s">
        <v>97</v>
      </c>
      <c r="B119" s="10" t="s">
        <v>78</v>
      </c>
      <c r="C119" s="10" t="s">
        <v>57</v>
      </c>
      <c r="D119" s="10" t="s">
        <v>98</v>
      </c>
      <c r="E119" s="10" t="str">
        <f>'CUOTA LICITADA'!C52</f>
        <v>ISLADAMAS S.A. PESQ.</v>
      </c>
      <c r="F119" s="10" t="s">
        <v>81</v>
      </c>
      <c r="G119" s="10" t="s">
        <v>82</v>
      </c>
      <c r="H119" s="21">
        <f>'CUOTA LICITADA'!F52</f>
        <v>211.37156176000002</v>
      </c>
      <c r="I119" s="21">
        <f>'CUOTA LICITADA'!G52</f>
        <v>0</v>
      </c>
      <c r="J119" s="21">
        <f>'CUOTA LICITADA'!H52</f>
        <v>211.37156176000002</v>
      </c>
      <c r="K119" s="21">
        <f>'CUOTA LICITADA'!I52</f>
        <v>73.471000000000004</v>
      </c>
      <c r="L119" s="21">
        <f>'CUOTA LICITADA'!J52</f>
        <v>137.90056176000002</v>
      </c>
      <c r="M119" s="23">
        <f>'CUOTA LICITADA'!K52</f>
        <v>0.34759169771107623</v>
      </c>
      <c r="N119" s="22" t="s">
        <v>86</v>
      </c>
      <c r="O119" s="22">
        <f>'RESUMEN '!$B$3</f>
        <v>44095</v>
      </c>
      <c r="P119" s="10">
        <v>2020</v>
      </c>
      <c r="Q119" s="10"/>
    </row>
    <row r="120" spans="1:17" x14ac:dyDescent="0.25">
      <c r="A120" s="10" t="s">
        <v>97</v>
      </c>
      <c r="B120" s="10" t="s">
        <v>78</v>
      </c>
      <c r="C120" s="10" t="s">
        <v>57</v>
      </c>
      <c r="D120" s="10" t="s">
        <v>98</v>
      </c>
      <c r="E120" s="10" t="str">
        <f>'CUOTA LICITADA'!C52</f>
        <v>ISLADAMAS S.A. PESQ.</v>
      </c>
      <c r="F120" s="10" t="s">
        <v>83</v>
      </c>
      <c r="G120" s="10" t="s">
        <v>84</v>
      </c>
      <c r="H120" s="21">
        <f>'CUOTA LICITADA'!F53</f>
        <v>23.49840352</v>
      </c>
      <c r="I120" s="21">
        <f>'CUOTA LICITADA'!G53</f>
        <v>0</v>
      </c>
      <c r="J120" s="21">
        <f>'CUOTA LICITADA'!H53</f>
        <v>161.39896528000003</v>
      </c>
      <c r="K120" s="21">
        <f>'CUOTA LICITADA'!I53</f>
        <v>0</v>
      </c>
      <c r="L120" s="21">
        <f>'CUOTA LICITADA'!J53</f>
        <v>161.39896528000003</v>
      </c>
      <c r="M120" s="23">
        <f>'CUOTA LICITADA'!K53</f>
        <v>0</v>
      </c>
      <c r="N120" s="22" t="s">
        <v>86</v>
      </c>
      <c r="O120" s="22">
        <f>'RESUMEN '!$B$3</f>
        <v>44095</v>
      </c>
      <c r="P120" s="10">
        <v>2020</v>
      </c>
      <c r="Q120" s="10"/>
    </row>
    <row r="121" spans="1:17" x14ac:dyDescent="0.25">
      <c r="A121" s="10" t="s">
        <v>97</v>
      </c>
      <c r="B121" s="10" t="s">
        <v>78</v>
      </c>
      <c r="C121" s="10" t="s">
        <v>57</v>
      </c>
      <c r="D121" s="10" t="s">
        <v>98</v>
      </c>
      <c r="E121" s="10" t="str">
        <f>'CUOTA LICITADA'!C52</f>
        <v>ISLADAMAS S.A. PESQ.</v>
      </c>
      <c r="F121" s="10" t="s">
        <v>85</v>
      </c>
      <c r="G121" s="10" t="s">
        <v>84</v>
      </c>
      <c r="H121" s="21">
        <f>'CUOTA LICITADA'!L52</f>
        <v>234.86996528000003</v>
      </c>
      <c r="I121" s="21">
        <f>'CUOTA LICITADA'!M52</f>
        <v>0</v>
      </c>
      <c r="J121" s="21">
        <f>'CUOTA LICITADA'!N52</f>
        <v>234.86996528000003</v>
      </c>
      <c r="K121" s="21">
        <f>'CUOTA LICITADA'!O52</f>
        <v>73.471000000000004</v>
      </c>
      <c r="L121" s="21">
        <f>'CUOTA LICITADA'!P52</f>
        <v>161.39896528000003</v>
      </c>
      <c r="M121" s="23">
        <f>'CUOTA LICITADA'!Q52</f>
        <v>0.31281564636164361</v>
      </c>
      <c r="N121" s="22" t="s">
        <v>86</v>
      </c>
      <c r="O121" s="22">
        <f>'RESUMEN '!$B$3</f>
        <v>44095</v>
      </c>
      <c r="P121" s="10">
        <v>2020</v>
      </c>
      <c r="Q121" s="10"/>
    </row>
    <row r="122" spans="1:17" x14ac:dyDescent="0.25">
      <c r="A122" s="10" t="s">
        <v>97</v>
      </c>
      <c r="B122" s="10" t="s">
        <v>78</v>
      </c>
      <c r="C122" s="10" t="s">
        <v>57</v>
      </c>
      <c r="D122" s="10" t="s">
        <v>98</v>
      </c>
      <c r="E122" s="10" t="str">
        <f>'CUOTA LICITADA'!C54</f>
        <v>LANDES S.A. PESQ.</v>
      </c>
      <c r="F122" s="10" t="s">
        <v>81</v>
      </c>
      <c r="G122" s="10" t="s">
        <v>82</v>
      </c>
      <c r="H122" s="21">
        <f>'CUOTA LICITADA'!F54</f>
        <v>1.853</v>
      </c>
      <c r="I122" s="21">
        <f>'CUOTA LICITADA'!G54</f>
        <v>0</v>
      </c>
      <c r="J122" s="21">
        <f>'CUOTA LICITADA'!H54</f>
        <v>1.853</v>
      </c>
      <c r="K122" s="21">
        <f>'CUOTA LICITADA'!I54</f>
        <v>0</v>
      </c>
      <c r="L122" s="21">
        <f>'CUOTA LICITADA'!J54</f>
        <v>1.853</v>
      </c>
      <c r="M122" s="23">
        <f>'CUOTA LICITADA'!K54</f>
        <v>0</v>
      </c>
      <c r="N122" s="22" t="s">
        <v>86</v>
      </c>
      <c r="O122" s="22">
        <f>'RESUMEN '!$B$3</f>
        <v>44095</v>
      </c>
      <c r="P122" s="10">
        <v>2020</v>
      </c>
      <c r="Q122" s="10"/>
    </row>
    <row r="123" spans="1:17" x14ac:dyDescent="0.25">
      <c r="A123" s="10" t="s">
        <v>97</v>
      </c>
      <c r="B123" s="10" t="s">
        <v>78</v>
      </c>
      <c r="C123" s="10" t="s">
        <v>57</v>
      </c>
      <c r="D123" s="10" t="s">
        <v>98</v>
      </c>
      <c r="E123" s="10" t="str">
        <f>'CUOTA LICITADA'!C54</f>
        <v>LANDES S.A. PESQ.</v>
      </c>
      <c r="F123" s="10" t="s">
        <v>83</v>
      </c>
      <c r="G123" s="10" t="s">
        <v>84</v>
      </c>
      <c r="H123" s="21">
        <f>'CUOTA LICITADA'!F55</f>
        <v>0.20600000000000002</v>
      </c>
      <c r="I123" s="21">
        <f>'CUOTA LICITADA'!G55</f>
        <v>0</v>
      </c>
      <c r="J123" s="21">
        <f>'CUOTA LICITADA'!H55</f>
        <v>2.0590000000000002</v>
      </c>
      <c r="K123" s="21">
        <f>'CUOTA LICITADA'!I55</f>
        <v>0</v>
      </c>
      <c r="L123" s="21">
        <f>'CUOTA LICITADA'!J55</f>
        <v>2.0590000000000002</v>
      </c>
      <c r="M123" s="23">
        <f>'CUOTA LICITADA'!K55</f>
        <v>0</v>
      </c>
      <c r="N123" s="22" t="s">
        <v>86</v>
      </c>
      <c r="O123" s="22">
        <f>'RESUMEN '!$B$3</f>
        <v>44095</v>
      </c>
      <c r="P123" s="10">
        <v>2020</v>
      </c>
      <c r="Q123" s="10"/>
    </row>
    <row r="124" spans="1:17" x14ac:dyDescent="0.25">
      <c r="A124" s="10" t="s">
        <v>97</v>
      </c>
      <c r="B124" s="10" t="s">
        <v>78</v>
      </c>
      <c r="C124" s="10" t="s">
        <v>57</v>
      </c>
      <c r="D124" s="10" t="s">
        <v>98</v>
      </c>
      <c r="E124" s="10" t="str">
        <f>'CUOTA LICITADA'!C54</f>
        <v>LANDES S.A. PESQ.</v>
      </c>
      <c r="F124" s="10" t="s">
        <v>85</v>
      </c>
      <c r="G124" s="10" t="s">
        <v>84</v>
      </c>
      <c r="H124" s="21">
        <f>'CUOTA LICITADA'!L54</f>
        <v>2.0590000000000002</v>
      </c>
      <c r="I124" s="21">
        <f>'CUOTA LICITADA'!M54</f>
        <v>0</v>
      </c>
      <c r="J124" s="21">
        <f>'CUOTA LICITADA'!N54</f>
        <v>2.0590000000000002</v>
      </c>
      <c r="K124" s="21">
        <f>'CUOTA LICITADA'!O54</f>
        <v>0</v>
      </c>
      <c r="L124" s="21">
        <f>'CUOTA LICITADA'!P54</f>
        <v>2.0590000000000002</v>
      </c>
      <c r="M124" s="23">
        <f>'CUOTA LICITADA'!Q54</f>
        <v>0</v>
      </c>
      <c r="N124" s="22" t="s">
        <v>86</v>
      </c>
      <c r="O124" s="22">
        <f>'RESUMEN '!$B$3</f>
        <v>44095</v>
      </c>
      <c r="P124" s="10">
        <v>2020</v>
      </c>
      <c r="Q124" s="10"/>
    </row>
    <row r="125" spans="1:17" x14ac:dyDescent="0.25">
      <c r="A125" s="10" t="s">
        <v>97</v>
      </c>
      <c r="B125" s="10" t="s">
        <v>78</v>
      </c>
      <c r="C125" s="10" t="s">
        <v>57</v>
      </c>
      <c r="D125" s="10" t="s">
        <v>98</v>
      </c>
      <c r="E125" s="10" t="str">
        <f>'CUOTA LICITADA'!C56</f>
        <v>ZUÑIGA ROMERO GONZALO</v>
      </c>
      <c r="F125" s="10" t="s">
        <v>81</v>
      </c>
      <c r="G125" s="10" t="s">
        <v>82</v>
      </c>
      <c r="H125" s="21">
        <f>'CUOTA LICITADA'!F56</f>
        <v>3.9450369999999998E-2</v>
      </c>
      <c r="I125" s="21">
        <f>'CUOTA LICITADA'!G56</f>
        <v>0</v>
      </c>
      <c r="J125" s="21">
        <f>'CUOTA LICITADA'!H56</f>
        <v>3.9450369999999998E-2</v>
      </c>
      <c r="K125" s="21">
        <f>'CUOTA LICITADA'!I56</f>
        <v>0</v>
      </c>
      <c r="L125" s="21">
        <f>'CUOTA LICITADA'!J56</f>
        <v>3.9450369999999998E-2</v>
      </c>
      <c r="M125" s="23">
        <f>'CUOTA LICITADA'!K56</f>
        <v>0</v>
      </c>
      <c r="N125" s="22" t="s">
        <v>86</v>
      </c>
      <c r="O125" s="22">
        <f>'RESUMEN '!$B$3</f>
        <v>44095</v>
      </c>
      <c r="P125" s="10">
        <v>2020</v>
      </c>
      <c r="Q125" s="10"/>
    </row>
    <row r="126" spans="1:17" x14ac:dyDescent="0.25">
      <c r="A126" s="10" t="s">
        <v>97</v>
      </c>
      <c r="B126" s="10" t="s">
        <v>78</v>
      </c>
      <c r="C126" s="10" t="s">
        <v>57</v>
      </c>
      <c r="D126" s="10" t="s">
        <v>98</v>
      </c>
      <c r="E126" s="10" t="str">
        <f>'CUOTA LICITADA'!C56</f>
        <v>ZUÑIGA ROMERO GONZALO</v>
      </c>
      <c r="F126" s="10" t="s">
        <v>83</v>
      </c>
      <c r="G126" s="10" t="s">
        <v>84</v>
      </c>
      <c r="H126" s="21">
        <f>'CUOTA LICITADA'!F57</f>
        <v>4.38574E-3</v>
      </c>
      <c r="I126" s="21">
        <f>'CUOTA LICITADA'!G57</f>
        <v>0</v>
      </c>
      <c r="J126" s="21">
        <f>'CUOTA LICITADA'!H57</f>
        <v>4.3836109999999998E-2</v>
      </c>
      <c r="K126" s="21">
        <f>'CUOTA LICITADA'!I57</f>
        <v>0</v>
      </c>
      <c r="L126" s="21">
        <f>'CUOTA LICITADA'!J57</f>
        <v>4.3836109999999998E-2</v>
      </c>
      <c r="M126" s="23">
        <f>'CUOTA LICITADA'!K57</f>
        <v>0</v>
      </c>
      <c r="N126" s="22" t="s">
        <v>86</v>
      </c>
      <c r="O126" s="22">
        <f>'RESUMEN '!$B$3</f>
        <v>44095</v>
      </c>
      <c r="P126" s="10">
        <v>2020</v>
      </c>
      <c r="Q126" s="10"/>
    </row>
    <row r="127" spans="1:17" x14ac:dyDescent="0.25">
      <c r="A127" s="10" t="s">
        <v>97</v>
      </c>
      <c r="B127" s="10" t="s">
        <v>78</v>
      </c>
      <c r="C127" s="10" t="s">
        <v>57</v>
      </c>
      <c r="D127" s="10" t="s">
        <v>98</v>
      </c>
      <c r="E127" s="10" t="str">
        <f>'CUOTA LICITADA'!C56</f>
        <v>ZUÑIGA ROMERO GONZALO</v>
      </c>
      <c r="F127" s="10" t="s">
        <v>85</v>
      </c>
      <c r="G127" s="10" t="s">
        <v>84</v>
      </c>
      <c r="H127" s="21">
        <f>'CUOTA LICITADA'!L56</f>
        <v>4.3836109999999998E-2</v>
      </c>
      <c r="I127" s="21">
        <f>'CUOTA LICITADA'!M56</f>
        <v>0</v>
      </c>
      <c r="J127" s="21">
        <f>'CUOTA LICITADA'!N56</f>
        <v>4.3836109999999998E-2</v>
      </c>
      <c r="K127" s="21">
        <f>'CUOTA LICITADA'!O56</f>
        <v>0</v>
      </c>
      <c r="L127" s="21">
        <f>'CUOTA LICITADA'!P56</f>
        <v>4.3836109999999998E-2</v>
      </c>
      <c r="M127" s="23">
        <f>'CUOTA LICITADA'!Q56</f>
        <v>0</v>
      </c>
      <c r="N127" s="22" t="s">
        <v>86</v>
      </c>
      <c r="O127" s="22">
        <f>'RESUMEN '!$B$3</f>
        <v>44095</v>
      </c>
      <c r="P127" s="10">
        <v>2020</v>
      </c>
      <c r="Q127" s="10"/>
    </row>
    <row r="128" spans="1:17" x14ac:dyDescent="0.25">
      <c r="A128" s="10" t="s">
        <v>97</v>
      </c>
      <c r="B128" s="10" t="s">
        <v>78</v>
      </c>
      <c r="C128" s="10" t="s">
        <v>57</v>
      </c>
      <c r="D128" s="10" t="s">
        <v>98</v>
      </c>
      <c r="E128" s="10" t="str">
        <f>'CUOTA LICITADA'!C58</f>
        <v>PACIFICBLU SPA.</v>
      </c>
      <c r="F128" s="10" t="s">
        <v>81</v>
      </c>
      <c r="G128" s="10" t="s">
        <v>82</v>
      </c>
      <c r="H128" s="21">
        <f>'CUOTA LICITADA'!F58</f>
        <v>587.38695426000004</v>
      </c>
      <c r="I128" s="21">
        <f>'CUOTA LICITADA'!G58</f>
        <v>-432.55060200000003</v>
      </c>
      <c r="J128" s="21">
        <f>'CUOTA LICITADA'!H58</f>
        <v>154.83635226000001</v>
      </c>
      <c r="K128" s="21">
        <f>'CUOTA LICITADA'!I58</f>
        <v>0.308</v>
      </c>
      <c r="L128" s="21">
        <f>'CUOTA LICITADA'!J58</f>
        <v>154.52835226000002</v>
      </c>
      <c r="M128" s="23">
        <f>'CUOTA LICITADA'!K58</f>
        <v>1.9891969521653981E-3</v>
      </c>
      <c r="N128" s="22" t="s">
        <v>86</v>
      </c>
      <c r="O128" s="22">
        <f>'RESUMEN '!$B$3</f>
        <v>44095</v>
      </c>
      <c r="P128" s="10">
        <v>2020</v>
      </c>
      <c r="Q128" s="10"/>
    </row>
    <row r="129" spans="1:17" x14ac:dyDescent="0.25">
      <c r="A129" s="10" t="s">
        <v>97</v>
      </c>
      <c r="B129" s="10" t="s">
        <v>78</v>
      </c>
      <c r="C129" s="10" t="s">
        <v>57</v>
      </c>
      <c r="D129" s="10" t="s">
        <v>98</v>
      </c>
      <c r="E129" s="10" t="str">
        <f>'CUOTA LICITADA'!C58</f>
        <v>PACIFICBLU SPA.</v>
      </c>
      <c r="F129" s="10" t="s">
        <v>83</v>
      </c>
      <c r="G129" s="10" t="s">
        <v>84</v>
      </c>
      <c r="H129" s="21">
        <f>'CUOTA LICITADA'!F59</f>
        <v>65.30043852</v>
      </c>
      <c r="I129" s="21">
        <f>'CUOTA LICITADA'!G59</f>
        <v>0</v>
      </c>
      <c r="J129" s="21">
        <f>'CUOTA LICITADA'!H59</f>
        <v>219.82879078000002</v>
      </c>
      <c r="K129" s="21">
        <f>'CUOTA LICITADA'!I59</f>
        <v>0</v>
      </c>
      <c r="L129" s="21">
        <f>'CUOTA LICITADA'!J59</f>
        <v>219.82879078000002</v>
      </c>
      <c r="M129" s="23">
        <f>'CUOTA LICITADA'!K59</f>
        <v>0</v>
      </c>
      <c r="N129" s="22" t="s">
        <v>86</v>
      </c>
      <c r="O129" s="22">
        <f>'RESUMEN '!$B$3</f>
        <v>44095</v>
      </c>
      <c r="P129" s="10">
        <v>2020</v>
      </c>
      <c r="Q129" s="10"/>
    </row>
    <row r="130" spans="1:17" x14ac:dyDescent="0.25">
      <c r="A130" s="10" t="s">
        <v>97</v>
      </c>
      <c r="B130" s="10" t="s">
        <v>78</v>
      </c>
      <c r="C130" s="10" t="s">
        <v>57</v>
      </c>
      <c r="D130" s="10" t="s">
        <v>98</v>
      </c>
      <c r="E130" s="10" t="str">
        <f>'CUOTA LICITADA'!C58</f>
        <v>PACIFICBLU SPA.</v>
      </c>
      <c r="F130" s="10" t="s">
        <v>85</v>
      </c>
      <c r="G130" s="10" t="s">
        <v>84</v>
      </c>
      <c r="H130" s="21">
        <f>'CUOTA LICITADA'!L58</f>
        <v>652.68739277999998</v>
      </c>
      <c r="I130" s="21">
        <f>'CUOTA LICITADA'!M58</f>
        <v>-432.55060200000003</v>
      </c>
      <c r="J130" s="21">
        <f>'CUOTA LICITADA'!N58</f>
        <v>220.13679077999996</v>
      </c>
      <c r="K130" s="21">
        <f>'CUOTA LICITADA'!O58</f>
        <v>0.308</v>
      </c>
      <c r="L130" s="21">
        <f>'CUOTA LICITADA'!P58</f>
        <v>219.82879077999996</v>
      </c>
      <c r="M130" s="23">
        <f>'CUOTA LICITADA'!Q58</f>
        <v>1.3991300541298826E-3</v>
      </c>
      <c r="N130" s="22" t="s">
        <v>86</v>
      </c>
      <c r="O130" s="22">
        <f>'RESUMEN '!$B$3</f>
        <v>44095</v>
      </c>
      <c r="P130" s="10">
        <v>2020</v>
      </c>
      <c r="Q130" s="10"/>
    </row>
    <row r="131" spans="1:17" x14ac:dyDescent="0.25">
      <c r="A131" s="10" t="s">
        <v>97</v>
      </c>
      <c r="B131" s="10" t="s">
        <v>78</v>
      </c>
      <c r="C131" s="10" t="s">
        <v>57</v>
      </c>
      <c r="D131" s="10" t="s">
        <v>98</v>
      </c>
      <c r="E131" s="10" t="str">
        <f>'CUOTA LICITADA'!C60</f>
        <v>DA VENEZIA RETAMALES ANTONIO</v>
      </c>
      <c r="F131" s="10" t="s">
        <v>81</v>
      </c>
      <c r="G131" s="10" t="s">
        <v>82</v>
      </c>
      <c r="H131" s="21">
        <f>'CUOTA LICITADA'!F60</f>
        <v>3.3502240000000003E-2</v>
      </c>
      <c r="I131" s="21">
        <f>'CUOTA LICITADA'!G60</f>
        <v>0</v>
      </c>
      <c r="J131" s="21">
        <f>'CUOTA LICITADA'!H60</f>
        <v>3.3502240000000003E-2</v>
      </c>
      <c r="K131" s="21">
        <f>'CUOTA LICITADA'!I60</f>
        <v>0</v>
      </c>
      <c r="L131" s="21">
        <f>'CUOTA LICITADA'!J60</f>
        <v>3.3502240000000003E-2</v>
      </c>
      <c r="M131" s="23">
        <f>'CUOTA LICITADA'!K60</f>
        <v>0</v>
      </c>
      <c r="N131" s="22" t="s">
        <v>86</v>
      </c>
      <c r="O131" s="22">
        <f>'RESUMEN '!$B$3</f>
        <v>44095</v>
      </c>
      <c r="P131" s="10">
        <v>2020</v>
      </c>
      <c r="Q131" s="10"/>
    </row>
    <row r="132" spans="1:17" x14ac:dyDescent="0.25">
      <c r="A132" s="10" t="s">
        <v>97</v>
      </c>
      <c r="B132" s="10" t="s">
        <v>78</v>
      </c>
      <c r="C132" s="10" t="s">
        <v>57</v>
      </c>
      <c r="D132" s="10" t="s">
        <v>98</v>
      </c>
      <c r="E132" s="10" t="str">
        <f>'CUOTA LICITADA'!C60</f>
        <v>DA VENEZIA RETAMALES ANTONIO</v>
      </c>
      <c r="F132" s="10" t="s">
        <v>83</v>
      </c>
      <c r="G132" s="10" t="s">
        <v>84</v>
      </c>
      <c r="H132" s="21">
        <f>'CUOTA LICITADA'!F61</f>
        <v>3.7244800000000001E-3</v>
      </c>
      <c r="I132" s="21">
        <f>'CUOTA LICITADA'!G61</f>
        <v>0</v>
      </c>
      <c r="J132" s="21">
        <f>'CUOTA LICITADA'!H61</f>
        <v>3.7226720000000005E-2</v>
      </c>
      <c r="K132" s="21">
        <f>'CUOTA LICITADA'!I61</f>
        <v>0</v>
      </c>
      <c r="L132" s="21">
        <f>'CUOTA LICITADA'!J61</f>
        <v>3.7226720000000005E-2</v>
      </c>
      <c r="M132" s="23">
        <f>'CUOTA LICITADA'!K61</f>
        <v>0</v>
      </c>
      <c r="N132" s="22" t="s">
        <v>86</v>
      </c>
      <c r="O132" s="22">
        <f>'RESUMEN '!$B$3</f>
        <v>44095</v>
      </c>
      <c r="P132" s="10">
        <v>2020</v>
      </c>
      <c r="Q132" s="10"/>
    </row>
    <row r="133" spans="1:17" x14ac:dyDescent="0.25">
      <c r="A133" s="10" t="s">
        <v>97</v>
      </c>
      <c r="B133" s="10" t="s">
        <v>78</v>
      </c>
      <c r="C133" s="10" t="s">
        <v>57</v>
      </c>
      <c r="D133" s="10" t="s">
        <v>98</v>
      </c>
      <c r="E133" s="10" t="str">
        <f>'CUOTA LICITADA'!C60</f>
        <v>DA VENEZIA RETAMALES ANTONIO</v>
      </c>
      <c r="F133" s="10" t="s">
        <v>85</v>
      </c>
      <c r="G133" s="10" t="s">
        <v>84</v>
      </c>
      <c r="H133" s="21">
        <f>'CUOTA LICITADA'!L60</f>
        <v>3.7226720000000005E-2</v>
      </c>
      <c r="I133" s="21">
        <f>'CUOTA LICITADA'!M60</f>
        <v>0</v>
      </c>
      <c r="J133" s="21">
        <f>'CUOTA LICITADA'!N60</f>
        <v>3.7226720000000005E-2</v>
      </c>
      <c r="K133" s="21">
        <f>'CUOTA LICITADA'!O60</f>
        <v>0</v>
      </c>
      <c r="L133" s="21">
        <f>'CUOTA LICITADA'!P60</f>
        <v>3.7226720000000005E-2</v>
      </c>
      <c r="M133" s="23">
        <f>'CUOTA LICITADA'!Q60</f>
        <v>0</v>
      </c>
      <c r="N133" s="22" t="s">
        <v>86</v>
      </c>
      <c r="O133" s="22">
        <f>'RESUMEN '!$B$3</f>
        <v>44095</v>
      </c>
      <c r="P133" s="10">
        <v>2020</v>
      </c>
      <c r="Q133" s="10"/>
    </row>
    <row r="134" spans="1:17" x14ac:dyDescent="0.25">
      <c r="A134" s="10" t="s">
        <v>97</v>
      </c>
      <c r="B134" s="10" t="s">
        <v>78</v>
      </c>
      <c r="C134" s="10" t="s">
        <v>57</v>
      </c>
      <c r="D134" s="10" t="s">
        <v>98</v>
      </c>
      <c r="E134" s="10" t="str">
        <f>'CUOTA LICITADA'!C62</f>
        <v>ENFERMAR LTDA. SOC. PESQ.</v>
      </c>
      <c r="F134" s="10" t="s">
        <v>81</v>
      </c>
      <c r="G134" s="10" t="s">
        <v>82</v>
      </c>
      <c r="H134" s="21">
        <f>'CUOTA LICITADA'!F62</f>
        <v>14.644703720000001</v>
      </c>
      <c r="I134" s="21">
        <f>'CUOTA LICITADA'!G62</f>
        <v>0</v>
      </c>
      <c r="J134" s="21">
        <f>'CUOTA LICITADA'!H62</f>
        <v>14.644703720000001</v>
      </c>
      <c r="K134" s="21">
        <f>'CUOTA LICITADA'!I62</f>
        <v>0</v>
      </c>
      <c r="L134" s="21">
        <f>'CUOTA LICITADA'!J62</f>
        <v>14.644703720000001</v>
      </c>
      <c r="M134" s="23">
        <f>'CUOTA LICITADA'!K62</f>
        <v>0</v>
      </c>
      <c r="N134" s="22" t="s">
        <v>86</v>
      </c>
      <c r="O134" s="22">
        <f>'RESUMEN '!$B$3</f>
        <v>44095</v>
      </c>
      <c r="P134" s="10">
        <v>2020</v>
      </c>
      <c r="Q134" s="10"/>
    </row>
    <row r="135" spans="1:17" x14ac:dyDescent="0.25">
      <c r="A135" s="10" t="s">
        <v>97</v>
      </c>
      <c r="B135" s="10" t="s">
        <v>78</v>
      </c>
      <c r="C135" s="10" t="s">
        <v>57</v>
      </c>
      <c r="D135" s="10" t="s">
        <v>98</v>
      </c>
      <c r="E135" s="10" t="str">
        <f>'CUOTA LICITADA'!C62</f>
        <v>ENFERMAR LTDA. SOC. PESQ.</v>
      </c>
      <c r="F135" s="10" t="s">
        <v>83</v>
      </c>
      <c r="G135" s="10" t="s">
        <v>84</v>
      </c>
      <c r="H135" s="21">
        <f>'CUOTA LICITADA'!F63</f>
        <v>1.6280674400000001</v>
      </c>
      <c r="I135" s="21">
        <f>'CUOTA LICITADA'!G63</f>
        <v>0</v>
      </c>
      <c r="J135" s="21">
        <f>'CUOTA LICITADA'!H63</f>
        <v>16.272771160000001</v>
      </c>
      <c r="K135" s="21">
        <f>'CUOTA LICITADA'!I63</f>
        <v>0</v>
      </c>
      <c r="L135" s="21">
        <f>'CUOTA LICITADA'!J63</f>
        <v>16.272771160000001</v>
      </c>
      <c r="M135" s="23">
        <f>'CUOTA LICITADA'!K63</f>
        <v>0</v>
      </c>
      <c r="N135" s="22" t="s">
        <v>86</v>
      </c>
      <c r="O135" s="22">
        <f>'RESUMEN '!$B$3</f>
        <v>44095</v>
      </c>
      <c r="P135" s="10">
        <v>2020</v>
      </c>
      <c r="Q135" s="10"/>
    </row>
    <row r="136" spans="1:17" x14ac:dyDescent="0.25">
      <c r="A136" s="10" t="s">
        <v>97</v>
      </c>
      <c r="B136" s="10" t="s">
        <v>78</v>
      </c>
      <c r="C136" s="10" t="s">
        <v>57</v>
      </c>
      <c r="D136" s="10" t="s">
        <v>98</v>
      </c>
      <c r="E136" s="10" t="str">
        <f>'CUOTA LICITADA'!C62</f>
        <v>ENFERMAR LTDA. SOC. PESQ.</v>
      </c>
      <c r="F136" s="10" t="s">
        <v>85</v>
      </c>
      <c r="G136" s="10" t="s">
        <v>84</v>
      </c>
      <c r="H136" s="21">
        <f>'CUOTA LICITADA'!L62</f>
        <v>16.272771160000001</v>
      </c>
      <c r="I136" s="21">
        <f>'CUOTA LICITADA'!M62</f>
        <v>0</v>
      </c>
      <c r="J136" s="21">
        <f>'CUOTA LICITADA'!N62</f>
        <v>16.272771160000001</v>
      </c>
      <c r="K136" s="21">
        <f>'CUOTA LICITADA'!O62</f>
        <v>0</v>
      </c>
      <c r="L136" s="21">
        <f>'CUOTA LICITADA'!P62</f>
        <v>16.272771160000001</v>
      </c>
      <c r="M136" s="23">
        <f>'CUOTA LICITADA'!Q62</f>
        <v>0</v>
      </c>
      <c r="N136" s="22" t="s">
        <v>86</v>
      </c>
      <c r="O136" s="22">
        <f>'RESUMEN '!$B$3</f>
        <v>44095</v>
      </c>
      <c r="P136" s="10">
        <v>2020</v>
      </c>
      <c r="Q136" s="10"/>
    </row>
    <row r="137" spans="1:17" x14ac:dyDescent="0.25">
      <c r="A137" s="10" t="s">
        <v>97</v>
      </c>
      <c r="B137" s="10" t="s">
        <v>78</v>
      </c>
      <c r="C137" s="10" t="s">
        <v>57</v>
      </c>
      <c r="D137" s="10" t="s">
        <v>98</v>
      </c>
      <c r="E137" s="10" t="str">
        <f>'CUOTA LICITADA'!C64</f>
        <v>RUBIO Y MAUAD LTDA.</v>
      </c>
      <c r="F137" s="10" t="s">
        <v>81</v>
      </c>
      <c r="G137" s="10" t="s">
        <v>82</v>
      </c>
      <c r="H137" s="21">
        <f>'CUOTA LICITADA'!F64</f>
        <v>8.3199699999999996</v>
      </c>
      <c r="I137" s="21">
        <f>'CUOTA LICITADA'!G64</f>
        <v>0</v>
      </c>
      <c r="J137" s="21">
        <f>'CUOTA LICITADA'!H64</f>
        <v>8.3199699999999996</v>
      </c>
      <c r="K137" s="21">
        <f>'CUOTA LICITADA'!I64</f>
        <v>0</v>
      </c>
      <c r="L137" s="21">
        <f>'CUOTA LICITADA'!J64</f>
        <v>8.3199699999999996</v>
      </c>
      <c r="M137" s="23">
        <f>'CUOTA LICITADA'!K64</f>
        <v>0</v>
      </c>
      <c r="N137" s="22" t="s">
        <v>86</v>
      </c>
      <c r="O137" s="22">
        <f>'RESUMEN '!$B$3</f>
        <v>44095</v>
      </c>
      <c r="P137" s="10">
        <v>2020</v>
      </c>
      <c r="Q137" s="10"/>
    </row>
    <row r="138" spans="1:17" x14ac:dyDescent="0.25">
      <c r="A138" s="10" t="s">
        <v>97</v>
      </c>
      <c r="B138" s="10" t="s">
        <v>78</v>
      </c>
      <c r="C138" s="10" t="s">
        <v>57</v>
      </c>
      <c r="D138" s="10" t="s">
        <v>98</v>
      </c>
      <c r="E138" s="10" t="str">
        <f>'CUOTA LICITADA'!C64</f>
        <v>RUBIO Y MAUAD LTDA.</v>
      </c>
      <c r="F138" s="10" t="s">
        <v>83</v>
      </c>
      <c r="G138" s="10" t="s">
        <v>84</v>
      </c>
      <c r="H138" s="21">
        <f>'CUOTA LICITADA'!F65</f>
        <v>0.92493999999999998</v>
      </c>
      <c r="I138" s="21">
        <f>'CUOTA LICITADA'!G65</f>
        <v>0</v>
      </c>
      <c r="J138" s="21">
        <f>'CUOTA LICITADA'!H65</f>
        <v>9.2449099999999991</v>
      </c>
      <c r="K138" s="21">
        <f>'CUOTA LICITADA'!I65</f>
        <v>0</v>
      </c>
      <c r="L138" s="21">
        <f>'CUOTA LICITADA'!J65</f>
        <v>9.2449099999999991</v>
      </c>
      <c r="M138" s="23">
        <f>'CUOTA LICITADA'!K65</f>
        <v>0</v>
      </c>
      <c r="N138" s="22" t="s">
        <v>86</v>
      </c>
      <c r="O138" s="22">
        <f>'RESUMEN '!$B$3</f>
        <v>44095</v>
      </c>
      <c r="P138" s="10">
        <v>2020</v>
      </c>
      <c r="Q138" s="10"/>
    </row>
    <row r="139" spans="1:17" x14ac:dyDescent="0.25">
      <c r="A139" s="10" t="s">
        <v>97</v>
      </c>
      <c r="B139" s="10" t="s">
        <v>78</v>
      </c>
      <c r="C139" s="10" t="s">
        <v>57</v>
      </c>
      <c r="D139" s="10" t="s">
        <v>98</v>
      </c>
      <c r="E139" s="10" t="str">
        <f>'CUOTA LICITADA'!C64</f>
        <v>RUBIO Y MAUAD LTDA.</v>
      </c>
      <c r="F139" s="10" t="s">
        <v>85</v>
      </c>
      <c r="G139" s="10" t="s">
        <v>84</v>
      </c>
      <c r="H139" s="21">
        <f>'CUOTA LICITADA'!L64</f>
        <v>9.2449099999999991</v>
      </c>
      <c r="I139" s="21">
        <f>'CUOTA LICITADA'!M64</f>
        <v>0</v>
      </c>
      <c r="J139" s="21">
        <f>'CUOTA LICITADA'!N64</f>
        <v>9.2449099999999991</v>
      </c>
      <c r="K139" s="21">
        <f>'CUOTA LICITADA'!O64</f>
        <v>0</v>
      </c>
      <c r="L139" s="21">
        <f>'CUOTA LICITADA'!P64</f>
        <v>9.2449099999999991</v>
      </c>
      <c r="M139" s="23">
        <f>'CUOTA LICITADA'!Q64</f>
        <v>0</v>
      </c>
      <c r="N139" s="22" t="s">
        <v>86</v>
      </c>
      <c r="O139" s="22">
        <f>'RESUMEN '!$B$3</f>
        <v>44095</v>
      </c>
      <c r="P139" s="10">
        <v>2020</v>
      </c>
      <c r="Q139" s="10"/>
    </row>
    <row r="140" spans="1:17" x14ac:dyDescent="0.25">
      <c r="A140" s="10" t="s">
        <v>97</v>
      </c>
      <c r="B140" s="10" t="s">
        <v>78</v>
      </c>
      <c r="C140" s="10" t="s">
        <v>57</v>
      </c>
      <c r="D140" s="10" t="s">
        <v>98</v>
      </c>
      <c r="E140" s="10" t="str">
        <f>'CUOTA LICITADA'!C66</f>
        <v>JORGE ANDRES COFRE TOLEDO</v>
      </c>
      <c r="F140" s="10" t="s">
        <v>83</v>
      </c>
      <c r="G140" s="10" t="s">
        <v>84</v>
      </c>
      <c r="H140" s="21">
        <f>'CUOTA LICITADA'!F67</f>
        <v>0</v>
      </c>
      <c r="I140" s="21">
        <f>'CUOTA LICITADA'!G67</f>
        <v>0</v>
      </c>
      <c r="J140" s="21">
        <f>'CUOTA LICITADA'!H67</f>
        <v>226.75099999999998</v>
      </c>
      <c r="K140" s="21">
        <f>'CUOTA LICITADA'!I67</f>
        <v>0</v>
      </c>
      <c r="L140" s="21">
        <f>'CUOTA LICITADA'!J67</f>
        <v>226.75099999999998</v>
      </c>
      <c r="M140" s="21">
        <f>'CUOTA LICITADA'!K67</f>
        <v>0</v>
      </c>
      <c r="N140" s="22" t="s">
        <v>86</v>
      </c>
      <c r="O140" s="22">
        <f>'RESUMEN '!$B$3</f>
        <v>44095</v>
      </c>
      <c r="P140" s="10">
        <v>2020</v>
      </c>
      <c r="Q140" s="10"/>
    </row>
    <row r="141" spans="1:17" x14ac:dyDescent="0.25">
      <c r="A141" s="10" t="s">
        <v>97</v>
      </c>
      <c r="B141" s="10" t="s">
        <v>78</v>
      </c>
      <c r="C141" s="10" t="s">
        <v>57</v>
      </c>
      <c r="D141" s="10" t="s">
        <v>98</v>
      </c>
      <c r="E141" s="10" t="str">
        <f>'CUOTA LICITADA'!C66</f>
        <v>JORGE ANDRES COFRE TOLEDO</v>
      </c>
      <c r="F141" s="10" t="s">
        <v>85</v>
      </c>
      <c r="G141" s="10" t="s">
        <v>84</v>
      </c>
      <c r="H141" s="21">
        <f>'CUOTA LICITADA'!L66</f>
        <v>0</v>
      </c>
      <c r="I141" s="21">
        <f>'CUOTA LICITADA'!M66</f>
        <v>489.34199999999998</v>
      </c>
      <c r="J141" s="21">
        <f>'CUOTA LICITADA'!N66</f>
        <v>489.34199999999998</v>
      </c>
      <c r="K141" s="21">
        <f>'CUOTA LICITADA'!O66</f>
        <v>262.59100000000001</v>
      </c>
      <c r="L141" s="21">
        <f>'CUOTA LICITADA'!P66</f>
        <v>226.75099999999998</v>
      </c>
      <c r="M141" s="21">
        <f>'CUOTA LICITADA'!Q66</f>
        <v>0.53662060481217644</v>
      </c>
      <c r="N141" s="22" t="s">
        <v>86</v>
      </c>
      <c r="O141" s="22">
        <f>'RESUMEN '!$B$3</f>
        <v>44095</v>
      </c>
      <c r="P141" s="10">
        <v>2020</v>
      </c>
      <c r="Q141" s="10"/>
    </row>
    <row r="142" spans="1:17" x14ac:dyDescent="0.25">
      <c r="A142" s="42" t="s">
        <v>97</v>
      </c>
      <c r="B142" s="42" t="s">
        <v>78</v>
      </c>
      <c r="C142" s="42" t="s">
        <v>99</v>
      </c>
      <c r="D142" s="42" t="s">
        <v>100</v>
      </c>
      <c r="E142" s="42" t="s">
        <v>101</v>
      </c>
      <c r="F142" s="42" t="s">
        <v>85</v>
      </c>
      <c r="G142" s="42" t="s">
        <v>84</v>
      </c>
      <c r="H142" s="43">
        <f>'CUOTA LICITADA'!L70</f>
        <v>5321.260240659999</v>
      </c>
      <c r="I142" s="43">
        <f>'CUOTA LICITADA'!M70</f>
        <v>0</v>
      </c>
      <c r="J142" s="43">
        <f>'CUOTA LICITADA'!N70</f>
        <v>5321.260240659999</v>
      </c>
      <c r="K142" s="43">
        <f>'CUOTA LICITADA'!O70</f>
        <v>3334.5750000000003</v>
      </c>
      <c r="L142" s="43">
        <f>'CUOTA LICITADA'!P70</f>
        <v>1986.6852406599987</v>
      </c>
      <c r="M142" s="44">
        <f>'CUOTA LICITADA'!Q70</f>
        <v>0.62665136625349693</v>
      </c>
      <c r="N142" s="45" t="s">
        <v>86</v>
      </c>
      <c r="O142" s="45">
        <f>'RESUMEN '!$B$3</f>
        <v>44095</v>
      </c>
      <c r="P142" s="42">
        <v>2020</v>
      </c>
      <c r="Q142" s="1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RESUMEN </vt:lpstr>
      <vt:lpstr>CUOTA ARTESANAL</vt:lpstr>
      <vt:lpstr>CESIONES INDIVIDUALES</vt:lpstr>
      <vt:lpstr>PESCA INVESTIGACION</vt:lpstr>
      <vt:lpstr>CUOTA LTP</vt:lpstr>
      <vt:lpstr>CUOTA LICITADA</vt:lpstr>
      <vt:lpstr>PAG. WEB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CEA TELLO, MARIO ANDRES</dc:creator>
  <cp:lastModifiedBy>Mario Cea</cp:lastModifiedBy>
  <dcterms:created xsi:type="dcterms:W3CDTF">2020-01-22T15:25:15Z</dcterms:created>
  <dcterms:modified xsi:type="dcterms:W3CDTF">2020-09-24T15:53:40Z</dcterms:modified>
</cp:coreProperties>
</file>