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360" yWindow="0" windowWidth="22920" windowHeight="12360" tabRatio="1000" activeTab="4"/>
  </bookViews>
  <sheets>
    <sheet name="Resumen Cuota Global" sheetId="1" r:id="rId1"/>
    <sheet name="Merluza sur Industrial" sheetId="2" r:id="rId2"/>
    <sheet name="Merluza sur Artesanal X" sheetId="3" r:id="rId3"/>
    <sheet name="Merluza sur Artesanal XI" sheetId="5" r:id="rId4"/>
    <sheet name="Merluza sur Artesanal XII" sheetId="4" r:id="rId5"/>
    <sheet name="Hoja1" sheetId="6" state="hidden" r:id="rId6"/>
    <sheet name="Hoja5" sheetId="11" state="hidden" r:id="rId7"/>
    <sheet name="Movimientos_cuotas" sheetId="12" r:id="rId8"/>
    <sheet name="Hoja2" sheetId="13" state="hidden" r:id="rId9"/>
  </sheets>
  <externalReferences>
    <externalReference r:id="rId10"/>
  </externalReferences>
  <definedNames>
    <definedName name="_xlnm._FilterDatabase" localSheetId="5" hidden="1">Hoja1!$B$2:$I$2</definedName>
    <definedName name="_xlnm._FilterDatabase" localSheetId="6" hidden="1">Hoja5!$A$1:$L$173</definedName>
    <definedName name="_xlnm._FilterDatabase" localSheetId="3" hidden="1">'Merluza sur Artesanal XI'!$B$11:$M$11</definedName>
    <definedName name="_xlnm._FilterDatabase" localSheetId="4" hidden="1">'Merluza sur Artesanal XII'!$B$18:$T$273</definedName>
    <definedName name="_xlnm._FilterDatabase" localSheetId="7" hidden="1">Movimientos_cuotas!$B$59:$H$83</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J156" i="5"/>
  <c r="H156"/>
  <c r="I156"/>
  <c r="G34" i="2" l="1"/>
  <c r="G20"/>
  <c r="L8" i="12"/>
  <c r="K15"/>
  <c r="F45"/>
  <c r="F44"/>
  <c r="F52" i="2"/>
  <c r="F53"/>
  <c r="F54"/>
  <c r="F55"/>
  <c r="N25" i="12"/>
  <c r="F15"/>
  <c r="L4"/>
  <c r="M3"/>
  <c r="I4"/>
  <c r="F4"/>
  <c r="H3"/>
  <c r="H45" i="5"/>
  <c r="J8" i="12" l="1"/>
  <c r="F58" i="3"/>
  <c r="J45" i="5"/>
  <c r="F28" i="1" l="1"/>
  <c r="J83" i="5"/>
  <c r="J84"/>
  <c r="H84"/>
  <c r="G228"/>
  <c r="G25"/>
  <c r="G24"/>
  <c r="E21" i="3"/>
  <c r="E20"/>
  <c r="F36"/>
  <c r="G59" i="2"/>
  <c r="D83" i="12"/>
  <c r="D84"/>
  <c r="G141" i="5"/>
  <c r="G140"/>
  <c r="I140" s="1"/>
  <c r="F100" i="2"/>
  <c r="F97"/>
  <c r="O12" l="1"/>
  <c r="J44" i="5"/>
  <c r="G80" l="1"/>
  <c r="G79"/>
  <c r="F52" i="12"/>
  <c r="I3"/>
  <c r="G3"/>
  <c r="F57"/>
  <c r="G14" i="2"/>
  <c r="I12" i="13" l="1"/>
  <c r="I11"/>
  <c r="I10"/>
  <c r="J8"/>
  <c r="I8"/>
  <c r="I9"/>
  <c r="I13"/>
  <c r="I14"/>
  <c r="I15"/>
  <c r="I5"/>
  <c r="I6"/>
  <c r="G15"/>
  <c r="G10"/>
  <c r="G9"/>
  <c r="D9"/>
  <c r="G6"/>
  <c r="D6"/>
  <c r="G18" i="2"/>
  <c r="F41" i="12" l="1"/>
  <c r="L6" s="1"/>
  <c r="J6" s="1"/>
  <c r="F40"/>
  <c r="K12" s="1"/>
  <c r="J12" s="1"/>
  <c r="G63" i="2"/>
  <c r="G65"/>
  <c r="L23" i="12"/>
  <c r="E29" i="1"/>
  <c r="H29" s="1"/>
  <c r="F30"/>
  <c r="D30"/>
  <c r="I41" i="2"/>
  <c r="I14"/>
  <c r="I59"/>
  <c r="I57"/>
  <c r="E28" i="1"/>
  <c r="J20" i="12"/>
  <c r="G20" s="1"/>
  <c r="J21"/>
  <c r="G21" s="1"/>
  <c r="J22"/>
  <c r="G22" s="1"/>
  <c r="J24"/>
  <c r="G24" s="1"/>
  <c r="G58" i="2"/>
  <c r="M58" s="1"/>
  <c r="E23" i="12"/>
  <c r="F23" s="1"/>
  <c r="J26"/>
  <c r="G26" s="1"/>
  <c r="L25"/>
  <c r="K27"/>
  <c r="J27" s="1"/>
  <c r="G27" s="1"/>
  <c r="G12" i="2"/>
  <c r="M12" s="1"/>
  <c r="F36" i="12"/>
  <c r="J5"/>
  <c r="J9"/>
  <c r="J10"/>
  <c r="J11"/>
  <c r="J13"/>
  <c r="J14"/>
  <c r="J15"/>
  <c r="G15" s="1"/>
  <c r="J3"/>
  <c r="F21"/>
  <c r="F22"/>
  <c r="F24"/>
  <c r="F5"/>
  <c r="F7"/>
  <c r="F9"/>
  <c r="F10"/>
  <c r="F11"/>
  <c r="F12"/>
  <c r="F13"/>
  <c r="F37"/>
  <c r="K4" s="1"/>
  <c r="F38"/>
  <c r="F39"/>
  <c r="F35"/>
  <c r="I25"/>
  <c r="I28" s="1"/>
  <c r="I7"/>
  <c r="I8"/>
  <c r="H32" i="3"/>
  <c r="H30"/>
  <c r="H24"/>
  <c r="J24" s="1"/>
  <c r="H22"/>
  <c r="H20"/>
  <c r="O20" s="1"/>
  <c r="H18"/>
  <c r="O18" s="1"/>
  <c r="H16"/>
  <c r="J16" s="1"/>
  <c r="H14"/>
  <c r="O14" s="1"/>
  <c r="H12"/>
  <c r="O12" s="1"/>
  <c r="H10"/>
  <c r="O10" s="1"/>
  <c r="H8"/>
  <c r="O8" s="1"/>
  <c r="M206" i="5"/>
  <c r="J202"/>
  <c r="E15" i="12"/>
  <c r="G37" i="2"/>
  <c r="D36"/>
  <c r="D50"/>
  <c r="F61"/>
  <c r="L60" s="1"/>
  <c r="N60" s="1"/>
  <c r="O60"/>
  <c r="M60"/>
  <c r="F60"/>
  <c r="E27" i="12"/>
  <c r="F27" s="1"/>
  <c r="E26"/>
  <c r="F26" s="1"/>
  <c r="E3"/>
  <c r="F3" s="1"/>
  <c r="E6"/>
  <c r="E14"/>
  <c r="F14" s="1"/>
  <c r="E8"/>
  <c r="F8" s="1"/>
  <c r="E25"/>
  <c r="F25" s="1"/>
  <c r="H60" i="2"/>
  <c r="J60"/>
  <c r="H61" s="1"/>
  <c r="K60"/>
  <c r="F35"/>
  <c r="O34"/>
  <c r="M34"/>
  <c r="F34"/>
  <c r="H34" s="1"/>
  <c r="K34" s="1"/>
  <c r="E33" i="3"/>
  <c r="E32"/>
  <c r="L32" s="1"/>
  <c r="E7"/>
  <c r="E6"/>
  <c r="E27"/>
  <c r="E37" s="1"/>
  <c r="G37" s="1"/>
  <c r="I37" s="1"/>
  <c r="E26"/>
  <c r="G26" s="1"/>
  <c r="E31"/>
  <c r="E30"/>
  <c r="D81" i="2"/>
  <c r="E80"/>
  <c r="F99"/>
  <c r="I21"/>
  <c r="I19"/>
  <c r="O18" s="1"/>
  <c r="I15"/>
  <c r="I58"/>
  <c r="I64"/>
  <c r="D80"/>
  <c r="D90" s="1"/>
  <c r="I18"/>
  <c r="L34"/>
  <c r="N34" s="1"/>
  <c r="H161" i="5"/>
  <c r="O161" s="1"/>
  <c r="H134"/>
  <c r="O134" s="1"/>
  <c r="D9"/>
  <c r="G104" s="1"/>
  <c r="G105"/>
  <c r="E58" i="3"/>
  <c r="H26"/>
  <c r="O26" s="1"/>
  <c r="H37"/>
  <c r="H6"/>
  <c r="O6" s="1"/>
  <c r="H28"/>
  <c r="O28" s="1"/>
  <c r="R28" s="1"/>
  <c r="I20" i="2"/>
  <c r="C101"/>
  <c r="E101"/>
  <c r="D101"/>
  <c r="F98"/>
  <c r="F96"/>
  <c r="F77"/>
  <c r="F78"/>
  <c r="F79"/>
  <c r="F76"/>
  <c r="F80" s="1"/>
  <c r="G21" i="5"/>
  <c r="G20"/>
  <c r="F26" i="3"/>
  <c r="H195" i="4"/>
  <c r="H55"/>
  <c r="H104" i="5"/>
  <c r="O104" s="1"/>
  <c r="H146"/>
  <c r="O146" s="1"/>
  <c r="H20"/>
  <c r="H96"/>
  <c r="O96" s="1"/>
  <c r="H132"/>
  <c r="F6" i="3"/>
  <c r="F30"/>
  <c r="F32"/>
  <c r="M32" s="1"/>
  <c r="E8"/>
  <c r="E9"/>
  <c r="H213" i="4"/>
  <c r="H217"/>
  <c r="H189"/>
  <c r="H243"/>
  <c r="H237"/>
  <c r="H235"/>
  <c r="H229"/>
  <c r="H231"/>
  <c r="H241"/>
  <c r="H239"/>
  <c r="H233"/>
  <c r="H221"/>
  <c r="H143"/>
  <c r="H31"/>
  <c r="H120" i="5"/>
  <c r="O120" s="1"/>
  <c r="H201" i="4"/>
  <c r="H203"/>
  <c r="H193"/>
  <c r="H269"/>
  <c r="H75" i="5"/>
  <c r="O75" s="1"/>
  <c r="H165"/>
  <c r="O165" s="1"/>
  <c r="H55"/>
  <c r="H179"/>
  <c r="O179" s="1"/>
  <c r="G164"/>
  <c r="H196"/>
  <c r="H207" s="1"/>
  <c r="H203"/>
  <c r="H201"/>
  <c r="O163"/>
  <c r="O167"/>
  <c r="O177"/>
  <c r="H175"/>
  <c r="O31" i="4"/>
  <c r="H285"/>
  <c r="J272"/>
  <c r="J271"/>
  <c r="H272"/>
  <c r="H271"/>
  <c r="H288" s="1"/>
  <c r="G89" i="2"/>
  <c r="J203" i="5"/>
  <c r="G16"/>
  <c r="I16" s="1"/>
  <c r="J157"/>
  <c r="J205" s="1"/>
  <c r="H157"/>
  <c r="H205" s="1"/>
  <c r="D208"/>
  <c r="O32"/>
  <c r="Q128"/>
  <c r="H122"/>
  <c r="O122" s="1"/>
  <c r="H124"/>
  <c r="O124" s="1"/>
  <c r="H148"/>
  <c r="H34" i="3"/>
  <c r="O34" s="1"/>
  <c r="B3"/>
  <c r="J279" i="4"/>
  <c r="J278"/>
  <c r="J277"/>
  <c r="J276"/>
  <c r="L276" s="1"/>
  <c r="H276"/>
  <c r="H277"/>
  <c r="H278"/>
  <c r="I278" s="1"/>
  <c r="H279"/>
  <c r="G279"/>
  <c r="G278"/>
  <c r="G15"/>
  <c r="G14"/>
  <c r="G13"/>
  <c r="G12"/>
  <c r="G277"/>
  <c r="G276"/>
  <c r="C278"/>
  <c r="C276"/>
  <c r="I276"/>
  <c r="G280"/>
  <c r="D9" i="1"/>
  <c r="C3" i="4"/>
  <c r="B3" i="5"/>
  <c r="B3" i="2"/>
  <c r="B23" i="1"/>
  <c r="J196" i="5"/>
  <c r="J207" s="1"/>
  <c r="J195"/>
  <c r="J206" s="1"/>
  <c r="E195"/>
  <c r="E206" s="1"/>
  <c r="G194"/>
  <c r="Q193"/>
  <c r="O193"/>
  <c r="G193"/>
  <c r="I193" s="1"/>
  <c r="K193" s="1"/>
  <c r="I194" s="1"/>
  <c r="G192"/>
  <c r="Q191"/>
  <c r="O191"/>
  <c r="G191"/>
  <c r="N191" s="1"/>
  <c r="G170"/>
  <c r="Q169"/>
  <c r="O169"/>
  <c r="G169"/>
  <c r="I169" s="1"/>
  <c r="K169" s="1"/>
  <c r="I170" s="1"/>
  <c r="G172"/>
  <c r="Q171"/>
  <c r="O171"/>
  <c r="G171"/>
  <c r="I171" s="1"/>
  <c r="L171" s="1"/>
  <c r="G174"/>
  <c r="Q173"/>
  <c r="O173"/>
  <c r="G173"/>
  <c r="N173" s="1"/>
  <c r="G188"/>
  <c r="Q187"/>
  <c r="O187"/>
  <c r="G187"/>
  <c r="N187" s="1"/>
  <c r="G168"/>
  <c r="Q167"/>
  <c r="G167"/>
  <c r="I167" s="1"/>
  <c r="L167" s="1"/>
  <c r="G178"/>
  <c r="Q177"/>
  <c r="G177"/>
  <c r="I177" s="1"/>
  <c r="L177" s="1"/>
  <c r="G182"/>
  <c r="Q181"/>
  <c r="O181"/>
  <c r="G181"/>
  <c r="I181" s="1"/>
  <c r="G186"/>
  <c r="Q185"/>
  <c r="O185"/>
  <c r="G185"/>
  <c r="G190"/>
  <c r="Q189"/>
  <c r="O189"/>
  <c r="G189"/>
  <c r="I189" s="1"/>
  <c r="G184"/>
  <c r="Q183"/>
  <c r="O183"/>
  <c r="G183"/>
  <c r="I183" s="1"/>
  <c r="G162"/>
  <c r="Q161"/>
  <c r="G161"/>
  <c r="G176"/>
  <c r="Q175"/>
  <c r="G175"/>
  <c r="G180"/>
  <c r="Q179"/>
  <c r="G179"/>
  <c r="Q163"/>
  <c r="G163"/>
  <c r="G166"/>
  <c r="Q165"/>
  <c r="G165"/>
  <c r="J204"/>
  <c r="E156"/>
  <c r="E204" s="1"/>
  <c r="G155"/>
  <c r="Q154"/>
  <c r="O154"/>
  <c r="G154"/>
  <c r="G147"/>
  <c r="Q146"/>
  <c r="G146"/>
  <c r="G151"/>
  <c r="Q150"/>
  <c r="O150"/>
  <c r="G150"/>
  <c r="G149"/>
  <c r="Q148"/>
  <c r="G148"/>
  <c r="G135"/>
  <c r="Q134"/>
  <c r="G134"/>
  <c r="G99"/>
  <c r="Q98"/>
  <c r="O98"/>
  <c r="G98"/>
  <c r="I98" s="1"/>
  <c r="L98" s="1"/>
  <c r="G93"/>
  <c r="Q92"/>
  <c r="O92"/>
  <c r="G92"/>
  <c r="G153"/>
  <c r="Q152"/>
  <c r="O152"/>
  <c r="G152"/>
  <c r="G145"/>
  <c r="Q144"/>
  <c r="O144"/>
  <c r="G144"/>
  <c r="I144" s="1"/>
  <c r="L144" s="1"/>
  <c r="G143"/>
  <c r="Q142"/>
  <c r="O142"/>
  <c r="G142"/>
  <c r="I142" s="1"/>
  <c r="K142" s="1"/>
  <c r="G117"/>
  <c r="Q116"/>
  <c r="O116"/>
  <c r="G116"/>
  <c r="G123"/>
  <c r="Q122"/>
  <c r="G122"/>
  <c r="G139"/>
  <c r="Q138"/>
  <c r="O138"/>
  <c r="G138"/>
  <c r="I138" s="1"/>
  <c r="Q104"/>
  <c r="G115"/>
  <c r="Q114"/>
  <c r="O114"/>
  <c r="G114"/>
  <c r="I114" s="1"/>
  <c r="K114" s="1"/>
  <c r="G103"/>
  <c r="Q102"/>
  <c r="O102"/>
  <c r="G102"/>
  <c r="I102" s="1"/>
  <c r="K102" s="1"/>
  <c r="G125"/>
  <c r="Q124"/>
  <c r="G124"/>
  <c r="G95"/>
  <c r="Q94"/>
  <c r="O94"/>
  <c r="G94"/>
  <c r="G127"/>
  <c r="Q126"/>
  <c r="O126"/>
  <c r="G126"/>
  <c r="G91"/>
  <c r="Q90"/>
  <c r="O90"/>
  <c r="G90"/>
  <c r="G111"/>
  <c r="Q110"/>
  <c r="O110"/>
  <c r="G110"/>
  <c r="I110" s="1"/>
  <c r="L110" s="1"/>
  <c r="G97"/>
  <c r="Q96"/>
  <c r="G96"/>
  <c r="G113"/>
  <c r="Q112"/>
  <c r="O112"/>
  <c r="G112"/>
  <c r="I112" s="1"/>
  <c r="K112" s="1"/>
  <c r="G121"/>
  <c r="Q120"/>
  <c r="G120"/>
  <c r="G101"/>
  <c r="Q100"/>
  <c r="O100"/>
  <c r="G100"/>
  <c r="G109"/>
  <c r="Q108"/>
  <c r="O108"/>
  <c r="G108"/>
  <c r="I108" s="1"/>
  <c r="K108" s="1"/>
  <c r="G119"/>
  <c r="Q118"/>
  <c r="O118"/>
  <c r="G118"/>
  <c r="I118" s="1"/>
  <c r="L118" s="1"/>
  <c r="G131"/>
  <c r="Q130"/>
  <c r="O130"/>
  <c r="G130"/>
  <c r="I130" s="1"/>
  <c r="Q140"/>
  <c r="O140"/>
  <c r="G137"/>
  <c r="Q136"/>
  <c r="O136"/>
  <c r="G136"/>
  <c r="I136" s="1"/>
  <c r="G129"/>
  <c r="O128"/>
  <c r="G128"/>
  <c r="G133"/>
  <c r="Q132"/>
  <c r="G132"/>
  <c r="G107"/>
  <c r="Q106"/>
  <c r="O106"/>
  <c r="G106"/>
  <c r="I106" s="1"/>
  <c r="G89"/>
  <c r="Q88"/>
  <c r="O88"/>
  <c r="G88"/>
  <c r="I88" s="1"/>
  <c r="E83"/>
  <c r="E202" s="1"/>
  <c r="G82"/>
  <c r="Q81"/>
  <c r="O81"/>
  <c r="G81"/>
  <c r="I81" s="1"/>
  <c r="G78"/>
  <c r="Q77"/>
  <c r="O77"/>
  <c r="G77"/>
  <c r="I77" s="1"/>
  <c r="G54"/>
  <c r="Q53"/>
  <c r="O53"/>
  <c r="G53"/>
  <c r="G76"/>
  <c r="Q75"/>
  <c r="G75"/>
  <c r="G74"/>
  <c r="Q73"/>
  <c r="O73"/>
  <c r="G73"/>
  <c r="I73" s="1"/>
  <c r="K73" s="1"/>
  <c r="G52"/>
  <c r="Q51"/>
  <c r="O51"/>
  <c r="G51"/>
  <c r="I51" s="1"/>
  <c r="G58"/>
  <c r="Q57"/>
  <c r="O57"/>
  <c r="G57"/>
  <c r="G62"/>
  <c r="Q61"/>
  <c r="O61"/>
  <c r="G61"/>
  <c r="I61" s="1"/>
  <c r="K61" s="1"/>
  <c r="G66"/>
  <c r="Q65"/>
  <c r="O65"/>
  <c r="G65"/>
  <c r="I65" s="1"/>
  <c r="K65" s="1"/>
  <c r="G60"/>
  <c r="Q59"/>
  <c r="O59"/>
  <c r="G59"/>
  <c r="Q79"/>
  <c r="O79"/>
  <c r="G56"/>
  <c r="Q55"/>
  <c r="G55"/>
  <c r="G70"/>
  <c r="Q69"/>
  <c r="O69"/>
  <c r="G69"/>
  <c r="I69" s="1"/>
  <c r="K69" s="1"/>
  <c r="G72"/>
  <c r="Q71"/>
  <c r="O71"/>
  <c r="G71"/>
  <c r="I71" s="1"/>
  <c r="G64"/>
  <c r="Q63"/>
  <c r="O63"/>
  <c r="G63"/>
  <c r="G50"/>
  <c r="G84" s="1"/>
  <c r="Q49"/>
  <c r="O49"/>
  <c r="G49"/>
  <c r="G68"/>
  <c r="Q67"/>
  <c r="O67"/>
  <c r="G67"/>
  <c r="I67" s="1"/>
  <c r="L67" s="1"/>
  <c r="J201"/>
  <c r="E44"/>
  <c r="E200" s="1"/>
  <c r="G43"/>
  <c r="Q42"/>
  <c r="O42"/>
  <c r="G42"/>
  <c r="G37"/>
  <c r="Q36"/>
  <c r="O36"/>
  <c r="G36"/>
  <c r="G41"/>
  <c r="Q40"/>
  <c r="O40"/>
  <c r="G40"/>
  <c r="G39"/>
  <c r="Q38"/>
  <c r="O38"/>
  <c r="G38"/>
  <c r="G27"/>
  <c r="Q26"/>
  <c r="O26"/>
  <c r="G26"/>
  <c r="I26" s="1"/>
  <c r="G31"/>
  <c r="Q30"/>
  <c r="O30"/>
  <c r="G30"/>
  <c r="I30" s="1"/>
  <c r="L30" s="1"/>
  <c r="G23"/>
  <c r="Q22"/>
  <c r="O22"/>
  <c r="G22"/>
  <c r="I22" s="1"/>
  <c r="G19"/>
  <c r="Q18"/>
  <c r="O18"/>
  <c r="G18"/>
  <c r="G35"/>
  <c r="Q34"/>
  <c r="O34"/>
  <c r="G34"/>
  <c r="I34" s="1"/>
  <c r="L34" s="1"/>
  <c r="G17"/>
  <c r="Q16"/>
  <c r="O16"/>
  <c r="G33"/>
  <c r="Q32"/>
  <c r="G32"/>
  <c r="I32" s="1"/>
  <c r="L32" s="1"/>
  <c r="G15"/>
  <c r="Q14"/>
  <c r="O14"/>
  <c r="G14"/>
  <c r="I14" s="1"/>
  <c r="L14" s="1"/>
  <c r="G13"/>
  <c r="Q12"/>
  <c r="O12"/>
  <c r="G12"/>
  <c r="I12" s="1"/>
  <c r="L12" s="1"/>
  <c r="G29"/>
  <c r="Q28"/>
  <c r="O28"/>
  <c r="G28"/>
  <c r="Q24"/>
  <c r="O24"/>
  <c r="G272" i="4"/>
  <c r="G271"/>
  <c r="Q269"/>
  <c r="O269"/>
  <c r="N269"/>
  <c r="I269"/>
  <c r="Q267"/>
  <c r="O267"/>
  <c r="N267"/>
  <c r="I267"/>
  <c r="K267"/>
  <c r="Q265"/>
  <c r="O265"/>
  <c r="N265"/>
  <c r="I265"/>
  <c r="L265"/>
  <c r="Q263"/>
  <c r="R263" s="1"/>
  <c r="O263"/>
  <c r="N263"/>
  <c r="I263"/>
  <c r="K263"/>
  <c r="I264" s="1"/>
  <c r="Q261"/>
  <c r="T261" s="1"/>
  <c r="O261"/>
  <c r="N261"/>
  <c r="I261"/>
  <c r="L261"/>
  <c r="Q259"/>
  <c r="O259"/>
  <c r="N259"/>
  <c r="I259"/>
  <c r="Q257"/>
  <c r="O257"/>
  <c r="N257"/>
  <c r="I257"/>
  <c r="L257"/>
  <c r="Q255"/>
  <c r="O255"/>
  <c r="N255"/>
  <c r="I255"/>
  <c r="K255"/>
  <c r="I256" s="1"/>
  <c r="Q253"/>
  <c r="T253" s="1"/>
  <c r="O253"/>
  <c r="N253"/>
  <c r="I253"/>
  <c r="L253"/>
  <c r="Q251"/>
  <c r="S251" s="1"/>
  <c r="O251"/>
  <c r="N251"/>
  <c r="I251"/>
  <c r="K251"/>
  <c r="I252" s="1"/>
  <c r="L252" s="1"/>
  <c r="Q249"/>
  <c r="O249"/>
  <c r="N249"/>
  <c r="I249"/>
  <c r="L249"/>
  <c r="Q247"/>
  <c r="S247" s="1"/>
  <c r="O247"/>
  <c r="N247"/>
  <c r="I247"/>
  <c r="Q245"/>
  <c r="O245"/>
  <c r="N245"/>
  <c r="I245"/>
  <c r="L245"/>
  <c r="Q243"/>
  <c r="T243" s="1"/>
  <c r="O243"/>
  <c r="N243"/>
  <c r="I243"/>
  <c r="K243"/>
  <c r="I244" s="1"/>
  <c r="Q241"/>
  <c r="O241"/>
  <c r="N241"/>
  <c r="I241"/>
  <c r="Q239"/>
  <c r="S239" s="1"/>
  <c r="O239"/>
  <c r="N239"/>
  <c r="I239"/>
  <c r="K239"/>
  <c r="Q237"/>
  <c r="O237"/>
  <c r="N237"/>
  <c r="I237"/>
  <c r="Q235"/>
  <c r="O235"/>
  <c r="N235"/>
  <c r="I235"/>
  <c r="K235"/>
  <c r="Q233"/>
  <c r="O233"/>
  <c r="N233"/>
  <c r="I233"/>
  <c r="Q231"/>
  <c r="O231"/>
  <c r="N231"/>
  <c r="I231"/>
  <c r="K231"/>
  <c r="I232" s="1"/>
  <c r="Q229"/>
  <c r="T229" s="1"/>
  <c r="O229"/>
  <c r="N229"/>
  <c r="I229"/>
  <c r="L229"/>
  <c r="Q227"/>
  <c r="O227"/>
  <c r="N227"/>
  <c r="I227"/>
  <c r="Q225"/>
  <c r="O225"/>
  <c r="N225"/>
  <c r="I225"/>
  <c r="L225"/>
  <c r="Q223"/>
  <c r="O223"/>
  <c r="N223"/>
  <c r="I223"/>
  <c r="K223"/>
  <c r="Q221"/>
  <c r="O221"/>
  <c r="N221"/>
  <c r="I221"/>
  <c r="L221"/>
  <c r="Q219"/>
  <c r="R219" s="1"/>
  <c r="O219"/>
  <c r="N219"/>
  <c r="I219"/>
  <c r="K219"/>
  <c r="Q217"/>
  <c r="T217" s="1"/>
  <c r="O217"/>
  <c r="N217"/>
  <c r="I217"/>
  <c r="L217"/>
  <c r="Q215"/>
  <c r="O215"/>
  <c r="N215"/>
  <c r="I215"/>
  <c r="Q213"/>
  <c r="O213"/>
  <c r="N213"/>
  <c r="I213"/>
  <c r="L213"/>
  <c r="Q211"/>
  <c r="R211" s="1"/>
  <c r="O211"/>
  <c r="N211"/>
  <c r="I211"/>
  <c r="K211"/>
  <c r="I212" s="1"/>
  <c r="L212" s="1"/>
  <c r="Q209"/>
  <c r="T209" s="1"/>
  <c r="O209"/>
  <c r="N209"/>
  <c r="I209"/>
  <c r="Q207"/>
  <c r="R207" s="1"/>
  <c r="O207"/>
  <c r="N207"/>
  <c r="I207"/>
  <c r="K207"/>
  <c r="Q205"/>
  <c r="O205"/>
  <c r="N205"/>
  <c r="I205"/>
  <c r="Q203"/>
  <c r="R203" s="1"/>
  <c r="O203"/>
  <c r="N203"/>
  <c r="I203"/>
  <c r="K203"/>
  <c r="Q201"/>
  <c r="O201"/>
  <c r="N201"/>
  <c r="I201"/>
  <c r="L201"/>
  <c r="Q199"/>
  <c r="T199" s="1"/>
  <c r="O199"/>
  <c r="N199"/>
  <c r="I199"/>
  <c r="K199"/>
  <c r="I200" s="1"/>
  <c r="Q197"/>
  <c r="R197" s="1"/>
  <c r="O197"/>
  <c r="N197"/>
  <c r="I197"/>
  <c r="L197"/>
  <c r="Q195"/>
  <c r="T195" s="1"/>
  <c r="O195"/>
  <c r="N195"/>
  <c r="I195"/>
  <c r="Q193"/>
  <c r="O193"/>
  <c r="N193"/>
  <c r="I193"/>
  <c r="L193"/>
  <c r="Q191"/>
  <c r="O191"/>
  <c r="N191"/>
  <c r="I191"/>
  <c r="K191"/>
  <c r="Q189"/>
  <c r="S189" s="1"/>
  <c r="O189"/>
  <c r="N189"/>
  <c r="I189"/>
  <c r="L189"/>
  <c r="Q187"/>
  <c r="T187" s="1"/>
  <c r="O187"/>
  <c r="N187"/>
  <c r="I187"/>
  <c r="K187"/>
  <c r="I188" s="1"/>
  <c r="K188" s="1"/>
  <c r="Q185"/>
  <c r="S185" s="1"/>
  <c r="O185"/>
  <c r="N185"/>
  <c r="I185"/>
  <c r="L185"/>
  <c r="Q183"/>
  <c r="O183"/>
  <c r="N183"/>
  <c r="I183"/>
  <c r="Q181"/>
  <c r="O181"/>
  <c r="N181"/>
  <c r="I181"/>
  <c r="L181"/>
  <c r="Q179"/>
  <c r="O179"/>
  <c r="N179"/>
  <c r="I179"/>
  <c r="K179"/>
  <c r="I180" s="1"/>
  <c r="L180" s="1"/>
  <c r="Q177"/>
  <c r="T177" s="1"/>
  <c r="O177"/>
  <c r="N177"/>
  <c r="I177"/>
  <c r="Q175"/>
  <c r="R175" s="1"/>
  <c r="O175"/>
  <c r="N175"/>
  <c r="I175"/>
  <c r="K175"/>
  <c r="Q173"/>
  <c r="S173" s="1"/>
  <c r="O173"/>
  <c r="N173"/>
  <c r="I173"/>
  <c r="Q171"/>
  <c r="T171" s="1"/>
  <c r="O171"/>
  <c r="N171"/>
  <c r="I171"/>
  <c r="K171"/>
  <c r="Q169"/>
  <c r="O169"/>
  <c r="N169"/>
  <c r="I169"/>
  <c r="L169"/>
  <c r="Q167"/>
  <c r="O167"/>
  <c r="N167"/>
  <c r="I167"/>
  <c r="K167"/>
  <c r="I168" s="1"/>
  <c r="K168" s="1"/>
  <c r="Q165"/>
  <c r="O165"/>
  <c r="N165"/>
  <c r="I165"/>
  <c r="L165"/>
  <c r="Q163"/>
  <c r="T163" s="1"/>
  <c r="O163"/>
  <c r="N163"/>
  <c r="I163"/>
  <c r="Q161"/>
  <c r="O161"/>
  <c r="N161"/>
  <c r="I161"/>
  <c r="L161"/>
  <c r="Q159"/>
  <c r="O159"/>
  <c r="N159"/>
  <c r="I159"/>
  <c r="K159"/>
  <c r="Q157"/>
  <c r="O157"/>
  <c r="N157"/>
  <c r="I157"/>
  <c r="Q155"/>
  <c r="O155"/>
  <c r="N155"/>
  <c r="I155"/>
  <c r="K155"/>
  <c r="I156" s="1"/>
  <c r="Q153"/>
  <c r="T153" s="1"/>
  <c r="O153"/>
  <c r="N153"/>
  <c r="I153"/>
  <c r="L153"/>
  <c r="Q151"/>
  <c r="R151" s="1"/>
  <c r="O151"/>
  <c r="N151"/>
  <c r="I151"/>
  <c r="Q149"/>
  <c r="O149"/>
  <c r="N149"/>
  <c r="I149"/>
  <c r="L149"/>
  <c r="Q147"/>
  <c r="O147"/>
  <c r="N147"/>
  <c r="I147"/>
  <c r="K147"/>
  <c r="Q145"/>
  <c r="O145"/>
  <c r="N145"/>
  <c r="I145"/>
  <c r="Q143"/>
  <c r="T143" s="1"/>
  <c r="O143"/>
  <c r="N143"/>
  <c r="I143"/>
  <c r="K143"/>
  <c r="I144" s="1"/>
  <c r="L144" s="1"/>
  <c r="Q141"/>
  <c r="R141" s="1"/>
  <c r="O141"/>
  <c r="N141"/>
  <c r="I141"/>
  <c r="Q139"/>
  <c r="T139" s="1"/>
  <c r="O139"/>
  <c r="N139"/>
  <c r="I139"/>
  <c r="K139"/>
  <c r="Q137"/>
  <c r="R137" s="1"/>
  <c r="O137"/>
  <c r="N137"/>
  <c r="I137"/>
  <c r="L137"/>
  <c r="Q135"/>
  <c r="O135"/>
  <c r="N135"/>
  <c r="I135"/>
  <c r="K135"/>
  <c r="Q133"/>
  <c r="S133" s="1"/>
  <c r="O133"/>
  <c r="N133"/>
  <c r="I133"/>
  <c r="L133"/>
  <c r="Q131"/>
  <c r="T131" s="1"/>
  <c r="O131"/>
  <c r="N131"/>
  <c r="I131"/>
  <c r="Q129"/>
  <c r="S129" s="1"/>
  <c r="O129"/>
  <c r="N129"/>
  <c r="I129"/>
  <c r="L129"/>
  <c r="Q127"/>
  <c r="O127"/>
  <c r="N127"/>
  <c r="I127"/>
  <c r="K127"/>
  <c r="Q125"/>
  <c r="O125"/>
  <c r="N125"/>
  <c r="I125"/>
  <c r="L125"/>
  <c r="Q123"/>
  <c r="O123"/>
  <c r="N123"/>
  <c r="I123"/>
  <c r="K123"/>
  <c r="I124" s="1"/>
  <c r="L124" s="1"/>
  <c r="Q121"/>
  <c r="R121" s="1"/>
  <c r="O121"/>
  <c r="N121"/>
  <c r="I121"/>
  <c r="L121"/>
  <c r="Q119"/>
  <c r="R119" s="1"/>
  <c r="O119"/>
  <c r="N119"/>
  <c r="I119"/>
  <c r="Q117"/>
  <c r="R117" s="1"/>
  <c r="O117"/>
  <c r="N117"/>
  <c r="I117"/>
  <c r="Q115"/>
  <c r="T115" s="1"/>
  <c r="O115"/>
  <c r="N115"/>
  <c r="I115"/>
  <c r="K115"/>
  <c r="I116" s="1"/>
  <c r="K116" s="1"/>
  <c r="Q113"/>
  <c r="O113"/>
  <c r="N113"/>
  <c r="I113"/>
  <c r="Q111"/>
  <c r="O111"/>
  <c r="N111"/>
  <c r="I111"/>
  <c r="K111"/>
  <c r="Q109"/>
  <c r="O109"/>
  <c r="N109"/>
  <c r="I109"/>
  <c r="Q107"/>
  <c r="O107"/>
  <c r="N107"/>
  <c r="I107"/>
  <c r="K107"/>
  <c r="I108" s="1"/>
  <c r="Q105"/>
  <c r="T105" s="1"/>
  <c r="O105"/>
  <c r="N105"/>
  <c r="I105"/>
  <c r="L105"/>
  <c r="Q103"/>
  <c r="R103" s="1"/>
  <c r="O103"/>
  <c r="N103"/>
  <c r="I103"/>
  <c r="K103"/>
  <c r="I104" s="1"/>
  <c r="L104" s="1"/>
  <c r="Q101"/>
  <c r="O101"/>
  <c r="N101"/>
  <c r="I101"/>
  <c r="Q99"/>
  <c r="O99"/>
  <c r="N99"/>
  <c r="I99"/>
  <c r="Q97"/>
  <c r="O97"/>
  <c r="N97"/>
  <c r="I97"/>
  <c r="Q95"/>
  <c r="O95"/>
  <c r="N95"/>
  <c r="I95"/>
  <c r="Q93"/>
  <c r="O93"/>
  <c r="N93"/>
  <c r="I93"/>
  <c r="Q91"/>
  <c r="O91"/>
  <c r="N91"/>
  <c r="I91"/>
  <c r="Q89"/>
  <c r="O89"/>
  <c r="N89"/>
  <c r="I89"/>
  <c r="Q87"/>
  <c r="O87"/>
  <c r="N87"/>
  <c r="I87"/>
  <c r="Q85"/>
  <c r="O85"/>
  <c r="N85"/>
  <c r="I85"/>
  <c r="Q83"/>
  <c r="R83" s="1"/>
  <c r="O83"/>
  <c r="N83"/>
  <c r="I83"/>
  <c r="Q81"/>
  <c r="O81"/>
  <c r="N81"/>
  <c r="I81"/>
  <c r="Q79"/>
  <c r="O79"/>
  <c r="N79"/>
  <c r="I79"/>
  <c r="Q77"/>
  <c r="O77"/>
  <c r="N77"/>
  <c r="I77"/>
  <c r="Q75"/>
  <c r="O75"/>
  <c r="N75"/>
  <c r="I75"/>
  <c r="Q73"/>
  <c r="O73"/>
  <c r="N73"/>
  <c r="I73"/>
  <c r="Q71"/>
  <c r="O71"/>
  <c r="N71"/>
  <c r="I71"/>
  <c r="Q69"/>
  <c r="O69"/>
  <c r="N69"/>
  <c r="I69"/>
  <c r="Q67"/>
  <c r="O67"/>
  <c r="N67"/>
  <c r="I67"/>
  <c r="Q65"/>
  <c r="O65"/>
  <c r="N65"/>
  <c r="I65"/>
  <c r="Q63"/>
  <c r="O63"/>
  <c r="N63"/>
  <c r="I63"/>
  <c r="Q61"/>
  <c r="O61"/>
  <c r="N61"/>
  <c r="I61"/>
  <c r="Q59"/>
  <c r="O59"/>
  <c r="N59"/>
  <c r="I59"/>
  <c r="Q57"/>
  <c r="O57"/>
  <c r="N57"/>
  <c r="I57"/>
  <c r="Q55"/>
  <c r="O55"/>
  <c r="N55"/>
  <c r="I55"/>
  <c r="Q53"/>
  <c r="O53"/>
  <c r="N53"/>
  <c r="I53"/>
  <c r="Q51"/>
  <c r="T51" s="1"/>
  <c r="O51"/>
  <c r="N51"/>
  <c r="I51"/>
  <c r="Q49"/>
  <c r="O49"/>
  <c r="N49"/>
  <c r="I49"/>
  <c r="Q47"/>
  <c r="O47"/>
  <c r="N47"/>
  <c r="I47"/>
  <c r="Q45"/>
  <c r="O45"/>
  <c r="N45"/>
  <c r="I45"/>
  <c r="Q43"/>
  <c r="O43"/>
  <c r="N43"/>
  <c r="I43"/>
  <c r="Q41"/>
  <c r="O41"/>
  <c r="N41"/>
  <c r="I41"/>
  <c r="Q39"/>
  <c r="O39"/>
  <c r="N39"/>
  <c r="I39"/>
  <c r="Q37"/>
  <c r="O37"/>
  <c r="N37"/>
  <c r="I37"/>
  <c r="Q35"/>
  <c r="O35"/>
  <c r="N35"/>
  <c r="I35"/>
  <c r="Q33"/>
  <c r="O33"/>
  <c r="N33"/>
  <c r="I33"/>
  <c r="K33"/>
  <c r="I34"/>
  <c r="K34" s="1"/>
  <c r="Q31"/>
  <c r="T31" s="1"/>
  <c r="N31"/>
  <c r="I31"/>
  <c r="Q29"/>
  <c r="S29" s="1"/>
  <c r="O29"/>
  <c r="N29"/>
  <c r="I29"/>
  <c r="Q27"/>
  <c r="R27" s="1"/>
  <c r="O27"/>
  <c r="N27"/>
  <c r="I27"/>
  <c r="Q25"/>
  <c r="T25" s="1"/>
  <c r="O25"/>
  <c r="N25"/>
  <c r="I25"/>
  <c r="B24"/>
  <c r="B26"/>
  <c r="B28"/>
  <c r="B30"/>
  <c r="B32"/>
  <c r="B34"/>
  <c r="B36"/>
  <c r="B38"/>
  <c r="B40"/>
  <c r="B42"/>
  <c r="B44"/>
  <c r="B46"/>
  <c r="B48"/>
  <c r="B50"/>
  <c r="B52"/>
  <c r="B54"/>
  <c r="B56"/>
  <c r="B58"/>
  <c r="B60"/>
  <c r="B62"/>
  <c r="B64"/>
  <c r="B66"/>
  <c r="B68"/>
  <c r="B70"/>
  <c r="B72"/>
  <c r="B74"/>
  <c r="B76"/>
  <c r="B78"/>
  <c r="B80"/>
  <c r="B82"/>
  <c r="B84"/>
  <c r="B86"/>
  <c r="B88"/>
  <c r="B90"/>
  <c r="B92"/>
  <c r="B94"/>
  <c r="B96"/>
  <c r="B98"/>
  <c r="B100"/>
  <c r="B102"/>
  <c r="B104"/>
  <c r="B106"/>
  <c r="B108"/>
  <c r="B110"/>
  <c r="B112"/>
  <c r="B114"/>
  <c r="B116"/>
  <c r="B118"/>
  <c r="B120"/>
  <c r="B122"/>
  <c r="B124"/>
  <c r="B126"/>
  <c r="B128"/>
  <c r="B130"/>
  <c r="B132"/>
  <c r="B134"/>
  <c r="B136"/>
  <c r="B138"/>
  <c r="B140"/>
  <c r="B142"/>
  <c r="B144"/>
  <c r="B146"/>
  <c r="B148"/>
  <c r="B150"/>
  <c r="B152"/>
  <c r="B154"/>
  <c r="B156"/>
  <c r="B158"/>
  <c r="B160"/>
  <c r="B162"/>
  <c r="B164"/>
  <c r="B166"/>
  <c r="B168"/>
  <c r="B170"/>
  <c r="B172"/>
  <c r="B174"/>
  <c r="B176"/>
  <c r="B178"/>
  <c r="B180"/>
  <c r="B182"/>
  <c r="B184"/>
  <c r="B186"/>
  <c r="B188"/>
  <c r="B190"/>
  <c r="B192"/>
  <c r="B194"/>
  <c r="B196"/>
  <c r="B198"/>
  <c r="B200"/>
  <c r="B202"/>
  <c r="B204"/>
  <c r="B206"/>
  <c r="B208"/>
  <c r="B210"/>
  <c r="B212"/>
  <c r="B214"/>
  <c r="B216"/>
  <c r="B218"/>
  <c r="B220"/>
  <c r="B222"/>
  <c r="B224"/>
  <c r="B226"/>
  <c r="B228"/>
  <c r="B230"/>
  <c r="B232"/>
  <c r="B234"/>
  <c r="B236"/>
  <c r="B238"/>
  <c r="B240"/>
  <c r="B242"/>
  <c r="B244"/>
  <c r="B246"/>
  <c r="B248"/>
  <c r="B250"/>
  <c r="B252"/>
  <c r="B254"/>
  <c r="B256"/>
  <c r="B258"/>
  <c r="B260"/>
  <c r="B262"/>
  <c r="B264"/>
  <c r="B266"/>
  <c r="B268"/>
  <c r="B270"/>
  <c r="Q23"/>
  <c r="S23" s="1"/>
  <c r="O23"/>
  <c r="N23"/>
  <c r="I23"/>
  <c r="L23"/>
  <c r="B23"/>
  <c r="B25"/>
  <c r="B27"/>
  <c r="B29"/>
  <c r="B31"/>
  <c r="B33"/>
  <c r="B35"/>
  <c r="B37"/>
  <c r="B39"/>
  <c r="B41"/>
  <c r="B43"/>
  <c r="B45"/>
  <c r="B47"/>
  <c r="B49"/>
  <c r="B51"/>
  <c r="B53"/>
  <c r="B55"/>
  <c r="B57"/>
  <c r="B59"/>
  <c r="B61"/>
  <c r="B63"/>
  <c r="B65"/>
  <c r="B67"/>
  <c r="B69"/>
  <c r="B71"/>
  <c r="B73"/>
  <c r="B75"/>
  <c r="B77"/>
  <c r="B79"/>
  <c r="B81"/>
  <c r="B83"/>
  <c r="B85"/>
  <c r="B87"/>
  <c r="B89"/>
  <c r="B91"/>
  <c r="B93"/>
  <c r="B95"/>
  <c r="B97"/>
  <c r="B99"/>
  <c r="B101"/>
  <c r="B103"/>
  <c r="B105"/>
  <c r="B107"/>
  <c r="B109"/>
  <c r="B111"/>
  <c r="B113"/>
  <c r="B115"/>
  <c r="B117"/>
  <c r="B119"/>
  <c r="B121"/>
  <c r="B123"/>
  <c r="B125"/>
  <c r="B127"/>
  <c r="B129"/>
  <c r="B131"/>
  <c r="B133"/>
  <c r="B135"/>
  <c r="B137"/>
  <c r="B139"/>
  <c r="B141"/>
  <c r="B143"/>
  <c r="B145"/>
  <c r="B147"/>
  <c r="B149"/>
  <c r="B151"/>
  <c r="B153"/>
  <c r="B155"/>
  <c r="B157"/>
  <c r="B159"/>
  <c r="B161"/>
  <c r="B163"/>
  <c r="B165"/>
  <c r="B167"/>
  <c r="B169"/>
  <c r="B171"/>
  <c r="B173"/>
  <c r="B175"/>
  <c r="B177"/>
  <c r="B179"/>
  <c r="B181"/>
  <c r="B183"/>
  <c r="B185"/>
  <c r="B187"/>
  <c r="B189"/>
  <c r="B191"/>
  <c r="B193"/>
  <c r="B195"/>
  <c r="B197"/>
  <c r="B199"/>
  <c r="B201"/>
  <c r="B203"/>
  <c r="B205"/>
  <c r="B207"/>
  <c r="B209"/>
  <c r="B211"/>
  <c r="B213"/>
  <c r="B215"/>
  <c r="B217"/>
  <c r="B219"/>
  <c r="B221"/>
  <c r="B223"/>
  <c r="B225"/>
  <c r="B227"/>
  <c r="B229"/>
  <c r="B231"/>
  <c r="B233"/>
  <c r="B235"/>
  <c r="B237"/>
  <c r="B239"/>
  <c r="B241"/>
  <c r="B243"/>
  <c r="B245"/>
  <c r="B247"/>
  <c r="B249"/>
  <c r="B251"/>
  <c r="B253"/>
  <c r="B255"/>
  <c r="B257"/>
  <c r="B259"/>
  <c r="B261"/>
  <c r="B263"/>
  <c r="B265"/>
  <c r="B267"/>
  <c r="B269"/>
  <c r="Q21"/>
  <c r="S21" s="1"/>
  <c r="O21"/>
  <c r="N21"/>
  <c r="I21"/>
  <c r="Q19"/>
  <c r="S19" s="1"/>
  <c r="O19"/>
  <c r="N19"/>
  <c r="I19"/>
  <c r="L19"/>
  <c r="E16"/>
  <c r="F16"/>
  <c r="E9"/>
  <c r="T33"/>
  <c r="T35"/>
  <c r="T37"/>
  <c r="T39"/>
  <c r="T41"/>
  <c r="T43"/>
  <c r="T45"/>
  <c r="T47"/>
  <c r="T49"/>
  <c r="T53"/>
  <c r="T55"/>
  <c r="T57"/>
  <c r="T59"/>
  <c r="T61"/>
  <c r="T63"/>
  <c r="T65"/>
  <c r="T67"/>
  <c r="T69"/>
  <c r="T71"/>
  <c r="T73"/>
  <c r="T75"/>
  <c r="T77"/>
  <c r="T79"/>
  <c r="T81"/>
  <c r="T83"/>
  <c r="T85"/>
  <c r="T87"/>
  <c r="T89"/>
  <c r="T91"/>
  <c r="T93"/>
  <c r="T95"/>
  <c r="T97"/>
  <c r="T99"/>
  <c r="T101"/>
  <c r="T103"/>
  <c r="T109"/>
  <c r="T111"/>
  <c r="T113"/>
  <c r="T117"/>
  <c r="T119"/>
  <c r="T125"/>
  <c r="T127"/>
  <c r="T135"/>
  <c r="T137"/>
  <c r="T141"/>
  <c r="T147"/>
  <c r="T149"/>
  <c r="T151"/>
  <c r="T159"/>
  <c r="T161"/>
  <c r="T165"/>
  <c r="T169"/>
  <c r="T173"/>
  <c r="T175"/>
  <c r="T181"/>
  <c r="T183"/>
  <c r="T185"/>
  <c r="T189"/>
  <c r="T191"/>
  <c r="T193"/>
  <c r="T197"/>
  <c r="T227"/>
  <c r="T29"/>
  <c r="T21"/>
  <c r="T201"/>
  <c r="T203"/>
  <c r="T205"/>
  <c r="T213"/>
  <c r="T215"/>
  <c r="T219"/>
  <c r="T223"/>
  <c r="T235"/>
  <c r="T237"/>
  <c r="T239"/>
  <c r="T241"/>
  <c r="T247"/>
  <c r="T249"/>
  <c r="T251"/>
  <c r="T257"/>
  <c r="T259"/>
  <c r="T263"/>
  <c r="T267"/>
  <c r="T269"/>
  <c r="N271"/>
  <c r="N140" i="5"/>
  <c r="N79"/>
  <c r="I24"/>
  <c r="I79"/>
  <c r="L79" s="1"/>
  <c r="K140"/>
  <c r="I141" s="1"/>
  <c r="P219" i="4"/>
  <c r="P227"/>
  <c r="L53"/>
  <c r="L117"/>
  <c r="L157"/>
  <c r="K45"/>
  <c r="I46"/>
  <c r="K77"/>
  <c r="I78" s="1"/>
  <c r="P93"/>
  <c r="I271"/>
  <c r="L233"/>
  <c r="K93"/>
  <c r="I94" s="1"/>
  <c r="L94" s="1"/>
  <c r="L37"/>
  <c r="L69"/>
  <c r="L97"/>
  <c r="P155"/>
  <c r="P191"/>
  <c r="R191"/>
  <c r="K29"/>
  <c r="I30" s="1"/>
  <c r="K61"/>
  <c r="I62" s="1"/>
  <c r="P163"/>
  <c r="P183"/>
  <c r="R183"/>
  <c r="K37"/>
  <c r="I38" s="1"/>
  <c r="L38" s="1"/>
  <c r="K53"/>
  <c r="K69"/>
  <c r="K89"/>
  <c r="I90" s="1"/>
  <c r="K97"/>
  <c r="I98" s="1"/>
  <c r="P97"/>
  <c r="L101"/>
  <c r="P123"/>
  <c r="P131"/>
  <c r="P187"/>
  <c r="S187"/>
  <c r="P195"/>
  <c r="S195"/>
  <c r="P251"/>
  <c r="P259"/>
  <c r="L29"/>
  <c r="L45"/>
  <c r="L61"/>
  <c r="L77"/>
  <c r="P89"/>
  <c r="K101"/>
  <c r="I102" s="1"/>
  <c r="L102" s="1"/>
  <c r="P101"/>
  <c r="K39"/>
  <c r="K55"/>
  <c r="K63"/>
  <c r="K113"/>
  <c r="I114" s="1"/>
  <c r="L119"/>
  <c r="P129"/>
  <c r="K145"/>
  <c r="P159"/>
  <c r="S159"/>
  <c r="L163"/>
  <c r="K173"/>
  <c r="I174" s="1"/>
  <c r="I176"/>
  <c r="K176" s="1"/>
  <c r="P189"/>
  <c r="P193"/>
  <c r="R193"/>
  <c r="K209"/>
  <c r="I220"/>
  <c r="P221"/>
  <c r="P225"/>
  <c r="L227"/>
  <c r="K241"/>
  <c r="L247"/>
  <c r="P41"/>
  <c r="P57"/>
  <c r="P73"/>
  <c r="L111"/>
  <c r="P121"/>
  <c r="K133"/>
  <c r="I136"/>
  <c r="L136" s="1"/>
  <c r="P151"/>
  <c r="S151"/>
  <c r="K165"/>
  <c r="I166" s="1"/>
  <c r="K169"/>
  <c r="L187"/>
  <c r="P213"/>
  <c r="S213"/>
  <c r="P215"/>
  <c r="S215"/>
  <c r="L219"/>
  <c r="K233"/>
  <c r="I234" s="1"/>
  <c r="L234" s="1"/>
  <c r="L239"/>
  <c r="P247"/>
  <c r="L251"/>
  <c r="K261"/>
  <c r="P21"/>
  <c r="K23"/>
  <c r="P25"/>
  <c r="P31"/>
  <c r="S31"/>
  <c r="P39"/>
  <c r="R39"/>
  <c r="P47"/>
  <c r="R47"/>
  <c r="P55"/>
  <c r="S55"/>
  <c r="P63"/>
  <c r="S63"/>
  <c r="P71"/>
  <c r="S71"/>
  <c r="P109"/>
  <c r="P111"/>
  <c r="S111"/>
  <c r="P113"/>
  <c r="S113"/>
  <c r="L115"/>
  <c r="K125"/>
  <c r="I128"/>
  <c r="K128" s="1"/>
  <c r="K129"/>
  <c r="L135"/>
  <c r="I140"/>
  <c r="L140" s="1"/>
  <c r="P141"/>
  <c r="P143"/>
  <c r="P145"/>
  <c r="L147"/>
  <c r="K157"/>
  <c r="I160"/>
  <c r="L160" s="1"/>
  <c r="K161"/>
  <c r="L167"/>
  <c r="I172"/>
  <c r="P173"/>
  <c r="P175"/>
  <c r="S175"/>
  <c r="P177"/>
  <c r="L179"/>
  <c r="K189"/>
  <c r="I192"/>
  <c r="K193"/>
  <c r="L199"/>
  <c r="I204"/>
  <c r="K204" s="1"/>
  <c r="P205"/>
  <c r="S205"/>
  <c r="P207"/>
  <c r="P209"/>
  <c r="S209"/>
  <c r="L211"/>
  <c r="K221"/>
  <c r="I224"/>
  <c r="K225"/>
  <c r="I226" s="1"/>
  <c r="L231"/>
  <c r="I236"/>
  <c r="P237"/>
  <c r="S237"/>
  <c r="P239"/>
  <c r="P241"/>
  <c r="S241"/>
  <c r="L243"/>
  <c r="K253"/>
  <c r="K257"/>
  <c r="I258" s="1"/>
  <c r="L258" s="1"/>
  <c r="L263"/>
  <c r="I268"/>
  <c r="P269"/>
  <c r="S269"/>
  <c r="P19"/>
  <c r="P29"/>
  <c r="P37"/>
  <c r="P45"/>
  <c r="P53"/>
  <c r="P61"/>
  <c r="S61"/>
  <c r="P69"/>
  <c r="P77"/>
  <c r="L81"/>
  <c r="L85"/>
  <c r="P115"/>
  <c r="P147"/>
  <c r="P179"/>
  <c r="P211"/>
  <c r="P243"/>
  <c r="L21"/>
  <c r="K25"/>
  <c r="I26" s="1"/>
  <c r="K26" s="1"/>
  <c r="K31"/>
  <c r="K47"/>
  <c r="K71"/>
  <c r="K109"/>
  <c r="I110" s="1"/>
  <c r="I112"/>
  <c r="L112" s="1"/>
  <c r="P125"/>
  <c r="S125"/>
  <c r="P127"/>
  <c r="L131"/>
  <c r="K141"/>
  <c r="I142" s="1"/>
  <c r="L151"/>
  <c r="P157"/>
  <c r="P161"/>
  <c r="S161"/>
  <c r="K177"/>
  <c r="L183"/>
  <c r="L195"/>
  <c r="K205"/>
  <c r="I208"/>
  <c r="L208" s="1"/>
  <c r="L215"/>
  <c r="P223"/>
  <c r="K237"/>
  <c r="I238" s="1"/>
  <c r="K238" s="1"/>
  <c r="I240"/>
  <c r="L240" s="1"/>
  <c r="P253"/>
  <c r="S253"/>
  <c r="P255"/>
  <c r="P257"/>
  <c r="S257"/>
  <c r="L259"/>
  <c r="K269"/>
  <c r="P33"/>
  <c r="P49"/>
  <c r="P65"/>
  <c r="K105"/>
  <c r="P117"/>
  <c r="S117"/>
  <c r="P119"/>
  <c r="L123"/>
  <c r="K137"/>
  <c r="I138" s="1"/>
  <c r="K138" s="1"/>
  <c r="L143"/>
  <c r="I148"/>
  <c r="P149"/>
  <c r="P153"/>
  <c r="S153"/>
  <c r="L155"/>
  <c r="L175"/>
  <c r="P185"/>
  <c r="K197"/>
  <c r="I198" s="1"/>
  <c r="K201"/>
  <c r="I202" s="1"/>
  <c r="K202" s="1"/>
  <c r="L207"/>
  <c r="P217"/>
  <c r="K229"/>
  <c r="P249"/>
  <c r="K265"/>
  <c r="I266" s="1"/>
  <c r="L266" s="1"/>
  <c r="K27"/>
  <c r="K35"/>
  <c r="K41"/>
  <c r="K43"/>
  <c r="K49"/>
  <c r="K51"/>
  <c r="I52" s="1"/>
  <c r="K57"/>
  <c r="I58" s="1"/>
  <c r="K58" s="1"/>
  <c r="K59"/>
  <c r="I60" s="1"/>
  <c r="K60" s="1"/>
  <c r="K65"/>
  <c r="K67"/>
  <c r="K73"/>
  <c r="I74" s="1"/>
  <c r="K75"/>
  <c r="L103"/>
  <c r="P105"/>
  <c r="S105"/>
  <c r="L107"/>
  <c r="K117"/>
  <c r="K121"/>
  <c r="L127"/>
  <c r="P133"/>
  <c r="P135"/>
  <c r="S135"/>
  <c r="P137"/>
  <c r="S137"/>
  <c r="L139"/>
  <c r="K149"/>
  <c r="I150" s="1"/>
  <c r="K150" s="1"/>
  <c r="K153"/>
  <c r="I154" s="1"/>
  <c r="K154" s="1"/>
  <c r="L159"/>
  <c r="P165"/>
  <c r="S165"/>
  <c r="P167"/>
  <c r="P169"/>
  <c r="S169"/>
  <c r="L171"/>
  <c r="K181"/>
  <c r="I182" s="1"/>
  <c r="K185"/>
  <c r="L191"/>
  <c r="P197"/>
  <c r="P199"/>
  <c r="P201"/>
  <c r="S201"/>
  <c r="L203"/>
  <c r="K213"/>
  <c r="K217"/>
  <c r="L223"/>
  <c r="P229"/>
  <c r="S229"/>
  <c r="P231"/>
  <c r="P233"/>
  <c r="L235"/>
  <c r="K245"/>
  <c r="K249"/>
  <c r="L255"/>
  <c r="P261"/>
  <c r="S261"/>
  <c r="P263"/>
  <c r="S263"/>
  <c r="P265"/>
  <c r="L267"/>
  <c r="P181"/>
  <c r="R181"/>
  <c r="K21"/>
  <c r="L31"/>
  <c r="L39"/>
  <c r="L47"/>
  <c r="L55"/>
  <c r="L63"/>
  <c r="L71"/>
  <c r="K81"/>
  <c r="P81"/>
  <c r="K85"/>
  <c r="P85"/>
  <c r="L89"/>
  <c r="L93"/>
  <c r="P103"/>
  <c r="P107"/>
  <c r="L109"/>
  <c r="L113"/>
  <c r="K119"/>
  <c r="K131"/>
  <c r="I132" s="1"/>
  <c r="L132" s="1"/>
  <c r="P139"/>
  <c r="L141"/>
  <c r="L145"/>
  <c r="K151"/>
  <c r="I152" s="1"/>
  <c r="K152" s="1"/>
  <c r="K163"/>
  <c r="P171"/>
  <c r="L173"/>
  <c r="L177"/>
  <c r="K183"/>
  <c r="K195"/>
  <c r="P203"/>
  <c r="L205"/>
  <c r="L209"/>
  <c r="K215"/>
  <c r="K227"/>
  <c r="P235"/>
  <c r="L237"/>
  <c r="L241"/>
  <c r="K247"/>
  <c r="K259"/>
  <c r="I260" s="1"/>
  <c r="K260" s="1"/>
  <c r="P267"/>
  <c r="L269"/>
  <c r="N24" i="5"/>
  <c r="K87" i="4"/>
  <c r="L87"/>
  <c r="K95"/>
  <c r="L95"/>
  <c r="P245"/>
  <c r="K83"/>
  <c r="I84" s="1"/>
  <c r="L83"/>
  <c r="L91"/>
  <c r="K91"/>
  <c r="K99"/>
  <c r="L99"/>
  <c r="P99"/>
  <c r="P27"/>
  <c r="L33"/>
  <c r="P43"/>
  <c r="L49"/>
  <c r="P51"/>
  <c r="L57"/>
  <c r="P59"/>
  <c r="L65"/>
  <c r="P67"/>
  <c r="L73"/>
  <c r="P75"/>
  <c r="K79"/>
  <c r="L79"/>
  <c r="P23"/>
  <c r="P83"/>
  <c r="P91"/>
  <c r="L25"/>
  <c r="P35"/>
  <c r="L41"/>
  <c r="K19"/>
  <c r="I20" s="1"/>
  <c r="K20" s="1"/>
  <c r="L27"/>
  <c r="L35"/>
  <c r="L43"/>
  <c r="L51"/>
  <c r="L59"/>
  <c r="L67"/>
  <c r="L75"/>
  <c r="P79"/>
  <c r="P87"/>
  <c r="P95"/>
  <c r="L20"/>
  <c r="L140" i="5"/>
  <c r="S219" i="4"/>
  <c r="S259"/>
  <c r="R227"/>
  <c r="S147"/>
  <c r="I54"/>
  <c r="L54" s="1"/>
  <c r="S227"/>
  <c r="R61"/>
  <c r="R147"/>
  <c r="R115"/>
  <c r="S183"/>
  <c r="R53"/>
  <c r="R243"/>
  <c r="R21"/>
  <c r="R81"/>
  <c r="S243"/>
  <c r="R195"/>
  <c r="S49"/>
  <c r="S193"/>
  <c r="S191"/>
  <c r="R251"/>
  <c r="R93"/>
  <c r="S181"/>
  <c r="R101"/>
  <c r="R235"/>
  <c r="S65"/>
  <c r="S101"/>
  <c r="I70"/>
  <c r="K70" s="1"/>
  <c r="S93"/>
  <c r="R33"/>
  <c r="S197"/>
  <c r="R89"/>
  <c r="S235"/>
  <c r="R163"/>
  <c r="S115"/>
  <c r="K102"/>
  <c r="S33"/>
  <c r="S45"/>
  <c r="S103"/>
  <c r="R49"/>
  <c r="S89"/>
  <c r="S97"/>
  <c r="S131"/>
  <c r="R97"/>
  <c r="R85"/>
  <c r="R187"/>
  <c r="R29"/>
  <c r="R259"/>
  <c r="K104"/>
  <c r="R65"/>
  <c r="S85"/>
  <c r="R75"/>
  <c r="R43"/>
  <c r="I92"/>
  <c r="L92" s="1"/>
  <c r="I250"/>
  <c r="R199"/>
  <c r="I186"/>
  <c r="L186" s="1"/>
  <c r="R135"/>
  <c r="I122"/>
  <c r="K122" s="1"/>
  <c r="R217"/>
  <c r="R239"/>
  <c r="I194"/>
  <c r="R177"/>
  <c r="R35"/>
  <c r="I196"/>
  <c r="I118"/>
  <c r="K118" s="1"/>
  <c r="I68"/>
  <c r="K68" s="1"/>
  <c r="I44"/>
  <c r="L44" s="1"/>
  <c r="R149"/>
  <c r="I270"/>
  <c r="L270" s="1"/>
  <c r="K240"/>
  <c r="R223"/>
  <c r="I206"/>
  <c r="I178"/>
  <c r="K178" s="1"/>
  <c r="R127"/>
  <c r="K140"/>
  <c r="I24"/>
  <c r="K24" s="1"/>
  <c r="I262"/>
  <c r="K262" s="1"/>
  <c r="I210"/>
  <c r="L210" s="1"/>
  <c r="I40"/>
  <c r="R67"/>
  <c r="I88"/>
  <c r="L88" s="1"/>
  <c r="I82"/>
  <c r="L82" s="1"/>
  <c r="I66"/>
  <c r="L66" s="1"/>
  <c r="I50"/>
  <c r="L50" s="1"/>
  <c r="I42"/>
  <c r="K42" s="1"/>
  <c r="R185"/>
  <c r="R153"/>
  <c r="K148"/>
  <c r="L148"/>
  <c r="I106"/>
  <c r="L106" s="1"/>
  <c r="R257"/>
  <c r="K208"/>
  <c r="R161"/>
  <c r="R125"/>
  <c r="I72"/>
  <c r="I32"/>
  <c r="K32" s="1"/>
  <c r="I158"/>
  <c r="I130"/>
  <c r="I126"/>
  <c r="K126" s="1"/>
  <c r="R113"/>
  <c r="R71"/>
  <c r="R63"/>
  <c r="R55"/>
  <c r="S47"/>
  <c r="S39"/>
  <c r="R31"/>
  <c r="R215"/>
  <c r="I170"/>
  <c r="I134"/>
  <c r="I242"/>
  <c r="L188"/>
  <c r="R159"/>
  <c r="I146"/>
  <c r="K146" s="1"/>
  <c r="I56"/>
  <c r="S35"/>
  <c r="S77"/>
  <c r="L176"/>
  <c r="S119"/>
  <c r="R77"/>
  <c r="R267"/>
  <c r="R171"/>
  <c r="R139"/>
  <c r="R57"/>
  <c r="S149"/>
  <c r="S223"/>
  <c r="S127"/>
  <c r="R45"/>
  <c r="S267"/>
  <c r="S171"/>
  <c r="S139"/>
  <c r="R69"/>
  <c r="K94"/>
  <c r="L46"/>
  <c r="S73"/>
  <c r="S57"/>
  <c r="S41"/>
  <c r="S81"/>
  <c r="S69"/>
  <c r="S53"/>
  <c r="S37"/>
  <c r="R59"/>
  <c r="I184"/>
  <c r="I164"/>
  <c r="L164" s="1"/>
  <c r="I22"/>
  <c r="L22" s="1"/>
  <c r="I218"/>
  <c r="I36"/>
  <c r="R249"/>
  <c r="K236"/>
  <c r="L236"/>
  <c r="I190"/>
  <c r="R173"/>
  <c r="I162"/>
  <c r="I100"/>
  <c r="I96"/>
  <c r="I216"/>
  <c r="I86"/>
  <c r="R105"/>
  <c r="I76"/>
  <c r="L76" s="1"/>
  <c r="L116"/>
  <c r="K252"/>
  <c r="I48"/>
  <c r="L48" s="1"/>
  <c r="R111"/>
  <c r="R213"/>
  <c r="I64"/>
  <c r="I80"/>
  <c r="I248"/>
  <c r="I228"/>
  <c r="I120"/>
  <c r="R261"/>
  <c r="I246"/>
  <c r="K246" s="1"/>
  <c r="R229"/>
  <c r="I214"/>
  <c r="R201"/>
  <c r="R169"/>
  <c r="R165"/>
  <c r="I28"/>
  <c r="I230"/>
  <c r="K230" s="1"/>
  <c r="R19"/>
  <c r="T19" s="1"/>
  <c r="R269"/>
  <c r="K268"/>
  <c r="L268"/>
  <c r="I254"/>
  <c r="R241"/>
  <c r="R237"/>
  <c r="I222"/>
  <c r="R209"/>
  <c r="R205"/>
  <c r="K172"/>
  <c r="L172"/>
  <c r="S207"/>
  <c r="L128"/>
  <c r="R37"/>
  <c r="S67"/>
  <c r="K46"/>
  <c r="R73"/>
  <c r="R41"/>
  <c r="S249"/>
  <c r="S217"/>
  <c r="S95"/>
  <c r="R95"/>
  <c r="S79"/>
  <c r="R79"/>
  <c r="S99"/>
  <c r="R99"/>
  <c r="R91"/>
  <c r="S91"/>
  <c r="S87"/>
  <c r="R87"/>
  <c r="S75"/>
  <c r="S43"/>
  <c r="S59"/>
  <c r="S27"/>
  <c r="K78"/>
  <c r="K54"/>
  <c r="L78"/>
  <c r="K38"/>
  <c r="L70"/>
  <c r="H280"/>
  <c r="I280" s="1"/>
  <c r="K92"/>
  <c r="L182"/>
  <c r="K182"/>
  <c r="K184"/>
  <c r="L184"/>
  <c r="K106"/>
  <c r="L230"/>
  <c r="K76"/>
  <c r="K50"/>
  <c r="K66"/>
  <c r="L152"/>
  <c r="L24"/>
  <c r="L60"/>
  <c r="L222"/>
  <c r="K222"/>
  <c r="K258"/>
  <c r="K28"/>
  <c r="L28"/>
  <c r="K216"/>
  <c r="L216"/>
  <c r="K56"/>
  <c r="L56"/>
  <c r="L146"/>
  <c r="L170"/>
  <c r="K170"/>
  <c r="K234"/>
  <c r="L238"/>
  <c r="K210"/>
  <c r="L138"/>
  <c r="L68"/>
  <c r="K228"/>
  <c r="L228"/>
  <c r="K22"/>
  <c r="L174"/>
  <c r="K174"/>
  <c r="L32"/>
  <c r="K270"/>
  <c r="K86"/>
  <c r="L86"/>
  <c r="L162"/>
  <c r="K162"/>
  <c r="L26"/>
  <c r="L246"/>
  <c r="K120"/>
  <c r="L120"/>
  <c r="K64"/>
  <c r="L64"/>
  <c r="L190"/>
  <c r="K190"/>
  <c r="K164"/>
  <c r="L72"/>
  <c r="K72"/>
  <c r="K196"/>
  <c r="L196"/>
  <c r="L250"/>
  <c r="K250"/>
  <c r="E9" i="1"/>
  <c r="F37" i="3"/>
  <c r="E36"/>
  <c r="M34"/>
  <c r="L34"/>
  <c r="G34"/>
  <c r="G32"/>
  <c r="L30"/>
  <c r="M28"/>
  <c r="N28" s="1"/>
  <c r="L28"/>
  <c r="G28"/>
  <c r="M26"/>
  <c r="M24"/>
  <c r="L24"/>
  <c r="G24"/>
  <c r="M22"/>
  <c r="L22"/>
  <c r="G22"/>
  <c r="M20"/>
  <c r="L20"/>
  <c r="N20" s="1"/>
  <c r="G20"/>
  <c r="M18"/>
  <c r="N18" s="1"/>
  <c r="L18"/>
  <c r="G18"/>
  <c r="M16"/>
  <c r="N16" s="1"/>
  <c r="L16"/>
  <c r="G16"/>
  <c r="M14"/>
  <c r="N14" s="1"/>
  <c r="L14"/>
  <c r="G14"/>
  <c r="M12"/>
  <c r="L12"/>
  <c r="N12" s="1"/>
  <c r="G12"/>
  <c r="M10"/>
  <c r="L10"/>
  <c r="N10" s="1"/>
  <c r="G10"/>
  <c r="M8"/>
  <c r="L8"/>
  <c r="N8" s="1"/>
  <c r="G8"/>
  <c r="M6"/>
  <c r="L6"/>
  <c r="N6" s="1"/>
  <c r="G6"/>
  <c r="F63" i="2"/>
  <c r="O62"/>
  <c r="M62"/>
  <c r="F62"/>
  <c r="L62" s="1"/>
  <c r="N62" s="1"/>
  <c r="P62" s="1"/>
  <c r="F59"/>
  <c r="F58"/>
  <c r="H58" s="1"/>
  <c r="F57"/>
  <c r="M56"/>
  <c r="F56"/>
  <c r="H56" s="1"/>
  <c r="O54"/>
  <c r="O52"/>
  <c r="M52"/>
  <c r="O50"/>
  <c r="M50"/>
  <c r="D46"/>
  <c r="F33"/>
  <c r="L32" s="1"/>
  <c r="N32" s="1"/>
  <c r="O32"/>
  <c r="M32"/>
  <c r="F32"/>
  <c r="F31"/>
  <c r="L30" s="1"/>
  <c r="N30" s="1"/>
  <c r="O30"/>
  <c r="M30"/>
  <c r="F30"/>
  <c r="F29"/>
  <c r="O28"/>
  <c r="M28"/>
  <c r="F28"/>
  <c r="F27"/>
  <c r="O26"/>
  <c r="M26"/>
  <c r="F26"/>
  <c r="F25"/>
  <c r="O24"/>
  <c r="M24"/>
  <c r="F24"/>
  <c r="H24" s="1"/>
  <c r="J24" s="1"/>
  <c r="F23"/>
  <c r="L22" s="1"/>
  <c r="N22" s="1"/>
  <c r="P22" s="1"/>
  <c r="O22"/>
  <c r="M22"/>
  <c r="F22"/>
  <c r="H22" s="1"/>
  <c r="J22" s="1"/>
  <c r="F21"/>
  <c r="L20" s="1"/>
  <c r="N20" s="1"/>
  <c r="M20"/>
  <c r="F20"/>
  <c r="F19"/>
  <c r="L18" s="1"/>
  <c r="M18"/>
  <c r="F18"/>
  <c r="F17"/>
  <c r="O16"/>
  <c r="F16"/>
  <c r="F15"/>
  <c r="M14"/>
  <c r="F14"/>
  <c r="H14" s="1"/>
  <c r="J14" s="1"/>
  <c r="H15" s="1"/>
  <c r="F13"/>
  <c r="F12"/>
  <c r="D9"/>
  <c r="C38"/>
  <c r="F16" i="1"/>
  <c r="H16" s="1"/>
  <c r="F11"/>
  <c r="H11" s="1"/>
  <c r="N34" i="3"/>
  <c r="H20" i="2"/>
  <c r="K20" s="1"/>
  <c r="L16"/>
  <c r="H30"/>
  <c r="J30"/>
  <c r="L28"/>
  <c r="N28" s="1"/>
  <c r="P28" s="1"/>
  <c r="N24" i="3"/>
  <c r="N22"/>
  <c r="H18" i="2"/>
  <c r="J18" s="1"/>
  <c r="H19" s="1"/>
  <c r="H28"/>
  <c r="J28" s="1"/>
  <c r="H32"/>
  <c r="L24"/>
  <c r="N24" s="1"/>
  <c r="P24" s="1"/>
  <c r="K30"/>
  <c r="J32"/>
  <c r="K32"/>
  <c r="K18"/>
  <c r="K28"/>
  <c r="Q20" i="5"/>
  <c r="J200"/>
  <c r="L52" i="4" l="1"/>
  <c r="K52"/>
  <c r="R51"/>
  <c r="H44" i="5"/>
  <c r="H200" s="1"/>
  <c r="N177"/>
  <c r="P177" s="1"/>
  <c r="S177" s="1"/>
  <c r="H83"/>
  <c r="K24"/>
  <c r="I25" s="1"/>
  <c r="I49"/>
  <c r="G83"/>
  <c r="O132"/>
  <c r="J58" i="2"/>
  <c r="H59" s="1"/>
  <c r="K59" s="1"/>
  <c r="K58"/>
  <c r="P30"/>
  <c r="Q30"/>
  <c r="J61"/>
  <c r="K61"/>
  <c r="Q60"/>
  <c r="P60"/>
  <c r="P32"/>
  <c r="Q32"/>
  <c r="J56"/>
  <c r="H57" s="1"/>
  <c r="K56"/>
  <c r="H29"/>
  <c r="J29" s="1"/>
  <c r="R29" s="1"/>
  <c r="F50"/>
  <c r="F51"/>
  <c r="H12"/>
  <c r="L12"/>
  <c r="N12" s="1"/>
  <c r="F37"/>
  <c r="H37" s="1"/>
  <c r="H33"/>
  <c r="H62"/>
  <c r="H31"/>
  <c r="R24"/>
  <c r="R28"/>
  <c r="R30"/>
  <c r="L58"/>
  <c r="R18"/>
  <c r="K14"/>
  <c r="L14"/>
  <c r="N14" s="1"/>
  <c r="R62"/>
  <c r="I36"/>
  <c r="D64"/>
  <c r="E20" i="12"/>
  <c r="F20" s="1"/>
  <c r="H20" s="1"/>
  <c r="R12" i="2"/>
  <c r="O20"/>
  <c r="Q20" s="1"/>
  <c r="R60"/>
  <c r="N18"/>
  <c r="R22"/>
  <c r="R26"/>
  <c r="R32"/>
  <c r="L56"/>
  <c r="N56" s="1"/>
  <c r="H23"/>
  <c r="J23" s="1"/>
  <c r="R23" s="1"/>
  <c r="H25"/>
  <c r="J25" s="1"/>
  <c r="R25" s="1"/>
  <c r="L26"/>
  <c r="N26" s="1"/>
  <c r="P26" s="1"/>
  <c r="R34"/>
  <c r="P34"/>
  <c r="J34"/>
  <c r="H35" s="1"/>
  <c r="M12" i="12"/>
  <c r="M9"/>
  <c r="M11"/>
  <c r="G14"/>
  <c r="H14" s="1"/>
  <c r="M14"/>
  <c r="G10"/>
  <c r="H10" s="1"/>
  <c r="M10"/>
  <c r="G13"/>
  <c r="M13"/>
  <c r="G5"/>
  <c r="H5" s="1"/>
  <c r="M5"/>
  <c r="M15"/>
  <c r="H28" i="1"/>
  <c r="E30"/>
  <c r="F101" i="2"/>
  <c r="F119" s="1"/>
  <c r="I65"/>
  <c r="O64" s="1"/>
  <c r="L26" i="5"/>
  <c r="K26"/>
  <c r="I75"/>
  <c r="K75" s="1"/>
  <c r="I76" s="1"/>
  <c r="I146"/>
  <c r="L146" s="1"/>
  <c r="N12"/>
  <c r="T12" s="1"/>
  <c r="N28"/>
  <c r="P28" s="1"/>
  <c r="R28" s="1"/>
  <c r="T28" s="1"/>
  <c r="N132"/>
  <c r="P132" s="1"/>
  <c r="R132" s="1"/>
  <c r="T132" s="1"/>
  <c r="I134"/>
  <c r="L134" s="1"/>
  <c r="K144"/>
  <c r="I145" s="1"/>
  <c r="K145" s="1"/>
  <c r="N171"/>
  <c r="P171" s="1"/>
  <c r="R171" s="1"/>
  <c r="T171" s="1"/>
  <c r="I66"/>
  <c r="L66" s="1"/>
  <c r="I62"/>
  <c r="K62" s="1"/>
  <c r="N57"/>
  <c r="P57" s="1"/>
  <c r="S57" s="1"/>
  <c r="I179"/>
  <c r="L179" s="1"/>
  <c r="I28"/>
  <c r="K28" s="1"/>
  <c r="I29" s="1"/>
  <c r="K29" s="1"/>
  <c r="N71"/>
  <c r="P71" s="1"/>
  <c r="S71" s="1"/>
  <c r="N163"/>
  <c r="P163" s="1"/>
  <c r="S163" s="1"/>
  <c r="N112"/>
  <c r="P112" s="1"/>
  <c r="R112" s="1"/>
  <c r="T112" s="1"/>
  <c r="N69"/>
  <c r="P69" s="1"/>
  <c r="S69" s="1"/>
  <c r="I109"/>
  <c r="K109" s="1"/>
  <c r="N100"/>
  <c r="P100" s="1"/>
  <c r="S100" s="1"/>
  <c r="N150"/>
  <c r="P150" s="1"/>
  <c r="I100"/>
  <c r="L100" s="1"/>
  <c r="N63"/>
  <c r="P63" s="1"/>
  <c r="S63" s="1"/>
  <c r="I70"/>
  <c r="L70" s="1"/>
  <c r="N120"/>
  <c r="P120" s="1"/>
  <c r="S120" s="1"/>
  <c r="N22"/>
  <c r="P22" s="1"/>
  <c r="R22" s="1"/>
  <c r="T22" s="1"/>
  <c r="N130"/>
  <c r="P130" s="1"/>
  <c r="R130" s="1"/>
  <c r="T130" s="1"/>
  <c r="N146"/>
  <c r="P146" s="1"/>
  <c r="R146" s="1"/>
  <c r="T146" s="1"/>
  <c r="N96"/>
  <c r="P96" s="1"/>
  <c r="S96" s="1"/>
  <c r="K32"/>
  <c r="I33" s="1"/>
  <c r="N14"/>
  <c r="P14" s="1"/>
  <c r="R14" s="1"/>
  <c r="O44"/>
  <c r="N18"/>
  <c r="T18" s="1"/>
  <c r="I113"/>
  <c r="K113" s="1"/>
  <c r="I122"/>
  <c r="K122" s="1"/>
  <c r="N148"/>
  <c r="N175"/>
  <c r="N189"/>
  <c r="P189" s="1"/>
  <c r="S189" s="1"/>
  <c r="N110"/>
  <c r="P110" s="1"/>
  <c r="I103"/>
  <c r="K103" s="1"/>
  <c r="I120"/>
  <c r="K120" s="1"/>
  <c r="I121" s="1"/>
  <c r="K121" s="1"/>
  <c r="K22"/>
  <c r="I23" s="1"/>
  <c r="L23" s="1"/>
  <c r="L22"/>
  <c r="K138"/>
  <c r="I139" s="1"/>
  <c r="L138"/>
  <c r="K81"/>
  <c r="I82" s="1"/>
  <c r="L82" s="1"/>
  <c r="L81"/>
  <c r="G45"/>
  <c r="G201" s="1"/>
  <c r="N51"/>
  <c r="P51" s="1"/>
  <c r="R51" s="1"/>
  <c r="T51" s="1"/>
  <c r="P173"/>
  <c r="S173" s="1"/>
  <c r="L24"/>
  <c r="K67"/>
  <c r="I68" s="1"/>
  <c r="L68" s="1"/>
  <c r="N34"/>
  <c r="P34" s="1"/>
  <c r="R34" s="1"/>
  <c r="T34" s="1"/>
  <c r="N122"/>
  <c r="P122" s="1"/>
  <c r="S122" s="1"/>
  <c r="N118"/>
  <c r="P118" s="1"/>
  <c r="R118" s="1"/>
  <c r="T118" s="1"/>
  <c r="N26"/>
  <c r="P26" s="1"/>
  <c r="S26" s="1"/>
  <c r="I18"/>
  <c r="K18" s="1"/>
  <c r="I19" s="1"/>
  <c r="L19" s="1"/>
  <c r="T19" s="1"/>
  <c r="I115"/>
  <c r="L115" s="1"/>
  <c r="I165"/>
  <c r="L165" s="1"/>
  <c r="I27"/>
  <c r="L27" s="1"/>
  <c r="N73"/>
  <c r="P73" s="1"/>
  <c r="R73" s="1"/>
  <c r="T73" s="1"/>
  <c r="P187"/>
  <c r="S187" s="1"/>
  <c r="P191"/>
  <c r="S191" s="1"/>
  <c r="K12"/>
  <c r="I13" s="1"/>
  <c r="N142"/>
  <c r="P142" s="1"/>
  <c r="R142" s="1"/>
  <c r="T142" s="1"/>
  <c r="I132"/>
  <c r="K132" s="1"/>
  <c r="I133" s="1"/>
  <c r="K133" s="1"/>
  <c r="I96"/>
  <c r="K96" s="1"/>
  <c r="I97" s="1"/>
  <c r="N138"/>
  <c r="P138" s="1"/>
  <c r="S138" s="1"/>
  <c r="N144"/>
  <c r="P144" s="1"/>
  <c r="S144" s="1"/>
  <c r="N98"/>
  <c r="P98" s="1"/>
  <c r="R98" s="1"/>
  <c r="T98" s="1"/>
  <c r="K16"/>
  <c r="I17" s="1"/>
  <c r="L17" s="1"/>
  <c r="T17" s="1"/>
  <c r="L16"/>
  <c r="L88"/>
  <c r="K88"/>
  <c r="I89" s="1"/>
  <c r="I124"/>
  <c r="K124" s="1"/>
  <c r="I125" s="1"/>
  <c r="I163"/>
  <c r="K163" s="1"/>
  <c r="I164" s="1"/>
  <c r="N102"/>
  <c r="P102" s="1"/>
  <c r="R102" s="1"/>
  <c r="T102" s="1"/>
  <c r="L102"/>
  <c r="N193"/>
  <c r="P193" s="1"/>
  <c r="R193" s="1"/>
  <c r="T193" s="1"/>
  <c r="L108"/>
  <c r="N106"/>
  <c r="P106" s="1"/>
  <c r="R106" s="1"/>
  <c r="T106" s="1"/>
  <c r="I187"/>
  <c r="K187" s="1"/>
  <c r="I188" s="1"/>
  <c r="N124"/>
  <c r="P124" s="1"/>
  <c r="S124" s="1"/>
  <c r="I63"/>
  <c r="K110"/>
  <c r="I111" s="1"/>
  <c r="K111" s="1"/>
  <c r="I57"/>
  <c r="L57" s="1"/>
  <c r="N16"/>
  <c r="T16" s="1"/>
  <c r="N61"/>
  <c r="P61" s="1"/>
  <c r="R61" s="1"/>
  <c r="T61" s="1"/>
  <c r="I173"/>
  <c r="L173" s="1"/>
  <c r="N114"/>
  <c r="P114" s="1"/>
  <c r="N108"/>
  <c r="P108" s="1"/>
  <c r="R108" s="1"/>
  <c r="T108" s="1"/>
  <c r="N65"/>
  <c r="P65" s="1"/>
  <c r="R65" s="1"/>
  <c r="T65" s="1"/>
  <c r="I150"/>
  <c r="P140"/>
  <c r="R140" s="1"/>
  <c r="T140" s="1"/>
  <c r="O20"/>
  <c r="N67"/>
  <c r="P67" s="1"/>
  <c r="S67" s="1"/>
  <c r="N77"/>
  <c r="P77" s="1"/>
  <c r="N81"/>
  <c r="P81" s="1"/>
  <c r="I143"/>
  <c r="K143" s="1"/>
  <c r="N167"/>
  <c r="P167" s="1"/>
  <c r="K177"/>
  <c r="I178" s="1"/>
  <c r="K178" s="1"/>
  <c r="K14"/>
  <c r="I15" s="1"/>
  <c r="K15" s="1"/>
  <c r="P24"/>
  <c r="S24" s="1"/>
  <c r="L73"/>
  <c r="I16" i="3"/>
  <c r="G17" s="1"/>
  <c r="J17" s="1"/>
  <c r="R17" s="1"/>
  <c r="O16"/>
  <c r="P16" s="1"/>
  <c r="I24"/>
  <c r="G25" s="1"/>
  <c r="I25" s="1"/>
  <c r="O24"/>
  <c r="Q24" s="1"/>
  <c r="J8"/>
  <c r="I34"/>
  <c r="G35" s="1"/>
  <c r="I35" s="1"/>
  <c r="L74" i="4"/>
  <c r="K74"/>
  <c r="K142"/>
  <c r="L142"/>
  <c r="L114"/>
  <c r="K114"/>
  <c r="K198"/>
  <c r="L198"/>
  <c r="L108"/>
  <c r="K108"/>
  <c r="L156"/>
  <c r="K156"/>
  <c r="L256"/>
  <c r="K256"/>
  <c r="L218"/>
  <c r="K218"/>
  <c r="K224"/>
  <c r="L224"/>
  <c r="T107"/>
  <c r="S107"/>
  <c r="R109"/>
  <c r="S109"/>
  <c r="T123"/>
  <c r="R123"/>
  <c r="S123"/>
  <c r="T145"/>
  <c r="S145"/>
  <c r="R145"/>
  <c r="T155"/>
  <c r="R155"/>
  <c r="R157"/>
  <c r="S157"/>
  <c r="S167"/>
  <c r="R167"/>
  <c r="T167"/>
  <c r="T179"/>
  <c r="S179"/>
  <c r="R179"/>
  <c r="K200"/>
  <c r="L200"/>
  <c r="S221"/>
  <c r="T221"/>
  <c r="K232"/>
  <c r="L232"/>
  <c r="R231"/>
  <c r="S231"/>
  <c r="R233"/>
  <c r="T233"/>
  <c r="T245"/>
  <c r="R245"/>
  <c r="S255"/>
  <c r="R255"/>
  <c r="T265"/>
  <c r="S265"/>
  <c r="L100"/>
  <c r="K100"/>
  <c r="K36"/>
  <c r="L36"/>
  <c r="K134"/>
  <c r="L134"/>
  <c r="L40"/>
  <c r="K40"/>
  <c r="K206"/>
  <c r="L206"/>
  <c r="K192"/>
  <c r="L192"/>
  <c r="K166"/>
  <c r="L166"/>
  <c r="L244"/>
  <c r="K244"/>
  <c r="L264"/>
  <c r="K264"/>
  <c r="K254"/>
  <c r="L254"/>
  <c r="K214"/>
  <c r="L214"/>
  <c r="L80"/>
  <c r="K80"/>
  <c r="L96"/>
  <c r="K96"/>
  <c r="L242"/>
  <c r="K242"/>
  <c r="K158"/>
  <c r="L158"/>
  <c r="L194"/>
  <c r="K194"/>
  <c r="K110"/>
  <c r="L110"/>
  <c r="L220"/>
  <c r="K220"/>
  <c r="K90"/>
  <c r="L90"/>
  <c r="L30"/>
  <c r="K30"/>
  <c r="L248"/>
  <c r="K248"/>
  <c r="L130"/>
  <c r="K130"/>
  <c r="L98"/>
  <c r="K98"/>
  <c r="K62"/>
  <c r="L62"/>
  <c r="L150"/>
  <c r="K44"/>
  <c r="K132"/>
  <c r="R143"/>
  <c r="L204"/>
  <c r="K212"/>
  <c r="S233"/>
  <c r="L168"/>
  <c r="L154"/>
  <c r="K82"/>
  <c r="L260"/>
  <c r="L42"/>
  <c r="L202"/>
  <c r="K48"/>
  <c r="K88"/>
  <c r="R133"/>
  <c r="R265"/>
  <c r="S245"/>
  <c r="K180"/>
  <c r="K144"/>
  <c r="R107"/>
  <c r="R271" s="1"/>
  <c r="S155"/>
  <c r="S199"/>
  <c r="R189"/>
  <c r="T211"/>
  <c r="T157"/>
  <c r="L58"/>
  <c r="R247"/>
  <c r="K124"/>
  <c r="R221"/>
  <c r="S211"/>
  <c r="L34"/>
  <c r="S143"/>
  <c r="T255"/>
  <c r="T231"/>
  <c r="T133"/>
  <c r="K186"/>
  <c r="L122"/>
  <c r="L118"/>
  <c r="L178"/>
  <c r="L262"/>
  <c r="R23"/>
  <c r="K160"/>
  <c r="S177"/>
  <c r="K112"/>
  <c r="R253"/>
  <c r="K136"/>
  <c r="R131"/>
  <c r="S141"/>
  <c r="T207"/>
  <c r="T27"/>
  <c r="T129"/>
  <c r="T121"/>
  <c r="T23"/>
  <c r="S121"/>
  <c r="S203"/>
  <c r="R129"/>
  <c r="S163"/>
  <c r="R25"/>
  <c r="S25"/>
  <c r="S225"/>
  <c r="T225"/>
  <c r="I67" i="2"/>
  <c r="G14" i="1" s="1"/>
  <c r="J59" i="2"/>
  <c r="O58"/>
  <c r="R58" s="1"/>
  <c r="K57"/>
  <c r="O56"/>
  <c r="J57"/>
  <c r="J23" i="12"/>
  <c r="L28"/>
  <c r="N58" i="2"/>
  <c r="L226" i="4"/>
  <c r="K226"/>
  <c r="R225"/>
  <c r="O271"/>
  <c r="K278"/>
  <c r="I279" s="1"/>
  <c r="K279" s="1"/>
  <c r="L271"/>
  <c r="K141" i="5"/>
  <c r="R177"/>
  <c r="T177" s="1"/>
  <c r="G28" i="1"/>
  <c r="I28" s="1"/>
  <c r="R20" i="2"/>
  <c r="O14"/>
  <c r="K15"/>
  <c r="I39"/>
  <c r="J14" i="3"/>
  <c r="Q34"/>
  <c r="R34"/>
  <c r="P34"/>
  <c r="J26"/>
  <c r="I26"/>
  <c r="G27" s="1"/>
  <c r="I27" s="1"/>
  <c r="J37"/>
  <c r="R37" s="1"/>
  <c r="N32"/>
  <c r="M36"/>
  <c r="E7" i="1" s="1"/>
  <c r="G36" i="3"/>
  <c r="P18"/>
  <c r="J34"/>
  <c r="I8"/>
  <c r="G9" s="1"/>
  <c r="J9" s="1"/>
  <c r="R9" s="1"/>
  <c r="Q8"/>
  <c r="L26"/>
  <c r="I32"/>
  <c r="G33" s="1"/>
  <c r="J33" s="1"/>
  <c r="R33" s="1"/>
  <c r="M30"/>
  <c r="N30" s="1"/>
  <c r="G30"/>
  <c r="J30" s="1"/>
  <c r="J28"/>
  <c r="J22"/>
  <c r="F39" i="2"/>
  <c r="D13" i="1" s="1"/>
  <c r="H26" i="2"/>
  <c r="J26" s="1"/>
  <c r="H27" s="1"/>
  <c r="J27" s="1"/>
  <c r="R27" s="1"/>
  <c r="F36"/>
  <c r="L36" s="1"/>
  <c r="G29" i="1"/>
  <c r="I29" s="1"/>
  <c r="F9"/>
  <c r="I11"/>
  <c r="L141" i="5"/>
  <c r="K170"/>
  <c r="L170"/>
  <c r="K51"/>
  <c r="I52" s="1"/>
  <c r="L52" s="1"/>
  <c r="L51"/>
  <c r="N128"/>
  <c r="P128" s="1"/>
  <c r="R128" s="1"/>
  <c r="T128" s="1"/>
  <c r="I128"/>
  <c r="L128" s="1"/>
  <c r="K130"/>
  <c r="I131" s="1"/>
  <c r="L130"/>
  <c r="N183"/>
  <c r="P183" s="1"/>
  <c r="R183" s="1"/>
  <c r="T183" s="1"/>
  <c r="K194"/>
  <c r="L194"/>
  <c r="I38"/>
  <c r="N38"/>
  <c r="P38" s="1"/>
  <c r="S38" s="1"/>
  <c r="N40"/>
  <c r="P40" s="1"/>
  <c r="S40" s="1"/>
  <c r="I40"/>
  <c r="G44"/>
  <c r="N36"/>
  <c r="P36" s="1"/>
  <c r="S36" s="1"/>
  <c r="I36"/>
  <c r="I42"/>
  <c r="N42"/>
  <c r="P42" s="1"/>
  <c r="R42" s="1"/>
  <c r="T42" s="1"/>
  <c r="N49"/>
  <c r="P49" s="1"/>
  <c r="S49" s="1"/>
  <c r="G203"/>
  <c r="N59"/>
  <c r="P59" s="1"/>
  <c r="S59" s="1"/>
  <c r="I59"/>
  <c r="N88"/>
  <c r="G157"/>
  <c r="G205" s="1"/>
  <c r="K136"/>
  <c r="I137" s="1"/>
  <c r="L136"/>
  <c r="N136"/>
  <c r="P136" s="1"/>
  <c r="N154"/>
  <c r="P154" s="1"/>
  <c r="I154"/>
  <c r="I175"/>
  <c r="H195"/>
  <c r="H206" s="1"/>
  <c r="O175"/>
  <c r="N32"/>
  <c r="P32" s="1"/>
  <c r="K71"/>
  <c r="I72" s="1"/>
  <c r="L72" s="1"/>
  <c r="L71"/>
  <c r="N53"/>
  <c r="P53" s="1"/>
  <c r="R53" s="1"/>
  <c r="T53" s="1"/>
  <c r="I53"/>
  <c r="K77"/>
  <c r="I78" s="1"/>
  <c r="K78" s="1"/>
  <c r="L77"/>
  <c r="G156"/>
  <c r="N90"/>
  <c r="P90" s="1"/>
  <c r="I90"/>
  <c r="K90" s="1"/>
  <c r="I91" s="1"/>
  <c r="I126"/>
  <c r="K126" s="1"/>
  <c r="I127" s="1"/>
  <c r="K127" s="1"/>
  <c r="N126"/>
  <c r="P126" s="1"/>
  <c r="R126" s="1"/>
  <c r="T126" s="1"/>
  <c r="N94"/>
  <c r="P94" s="1"/>
  <c r="I94"/>
  <c r="K94" s="1"/>
  <c r="I95" s="1"/>
  <c r="K95" s="1"/>
  <c r="N116"/>
  <c r="P116" s="1"/>
  <c r="I116"/>
  <c r="K116" s="1"/>
  <c r="I117" s="1"/>
  <c r="K117" s="1"/>
  <c r="N179"/>
  <c r="P179" s="1"/>
  <c r="I161"/>
  <c r="N161"/>
  <c r="G195"/>
  <c r="G206" s="1"/>
  <c r="K189"/>
  <c r="I190" s="1"/>
  <c r="L189"/>
  <c r="I185"/>
  <c r="N185"/>
  <c r="P185" s="1"/>
  <c r="L181"/>
  <c r="K181"/>
  <c r="I182" s="1"/>
  <c r="N181"/>
  <c r="P181" s="1"/>
  <c r="I148"/>
  <c r="O148"/>
  <c r="N104"/>
  <c r="P104" s="1"/>
  <c r="I104"/>
  <c r="L169"/>
  <c r="K79"/>
  <c r="I80" s="1"/>
  <c r="K80" s="1"/>
  <c r="K118"/>
  <c r="I119" s="1"/>
  <c r="E208"/>
  <c r="L65"/>
  <c r="L61"/>
  <c r="L69"/>
  <c r="N20"/>
  <c r="K106"/>
  <c r="I107" s="1"/>
  <c r="L106"/>
  <c r="K183"/>
  <c r="I184" s="1"/>
  <c r="L183"/>
  <c r="G202"/>
  <c r="I55"/>
  <c r="N55"/>
  <c r="N152"/>
  <c r="P152" s="1"/>
  <c r="I152"/>
  <c r="I92"/>
  <c r="N92"/>
  <c r="P92" s="1"/>
  <c r="N165"/>
  <c r="P165" s="1"/>
  <c r="R165" s="1"/>
  <c r="G196"/>
  <c r="G207" s="1"/>
  <c r="O55"/>
  <c r="O83" s="1"/>
  <c r="L193"/>
  <c r="K167"/>
  <c r="I168" s="1"/>
  <c r="K34"/>
  <c r="I35" s="1"/>
  <c r="K30"/>
  <c r="I31" s="1"/>
  <c r="K31" s="1"/>
  <c r="N134"/>
  <c r="P134" s="1"/>
  <c r="K98"/>
  <c r="I99" s="1"/>
  <c r="H8"/>
  <c r="I74"/>
  <c r="K74" s="1"/>
  <c r="I191"/>
  <c r="Q195"/>
  <c r="N75"/>
  <c r="P75" s="1"/>
  <c r="P79"/>
  <c r="R79" s="1"/>
  <c r="T79" s="1"/>
  <c r="I20"/>
  <c r="N169"/>
  <c r="P169" s="1"/>
  <c r="K171"/>
  <c r="I172" s="1"/>
  <c r="N30"/>
  <c r="P30" s="1"/>
  <c r="R30" s="1"/>
  <c r="T30" s="1"/>
  <c r="J8"/>
  <c r="Q83"/>
  <c r="J9"/>
  <c r="Q44"/>
  <c r="J6"/>
  <c r="J208"/>
  <c r="G8" i="1" s="1"/>
  <c r="Q156" i="5"/>
  <c r="S83" i="4"/>
  <c r="L126"/>
  <c r="L279"/>
  <c r="Q271"/>
  <c r="T271" s="1"/>
  <c r="J280"/>
  <c r="K280" s="1"/>
  <c r="K266"/>
  <c r="L278"/>
  <c r="K271"/>
  <c r="I272" s="1"/>
  <c r="L272" s="1"/>
  <c r="L84"/>
  <c r="K84"/>
  <c r="K276"/>
  <c r="I277" s="1"/>
  <c r="K277" s="1"/>
  <c r="S51"/>
  <c r="J18" i="3"/>
  <c r="J10"/>
  <c r="I18"/>
  <c r="G19" s="1"/>
  <c r="I19" s="1"/>
  <c r="I28"/>
  <c r="G29" s="1"/>
  <c r="I29" s="1"/>
  <c r="R26"/>
  <c r="I30"/>
  <c r="G31" s="1"/>
  <c r="I31" s="1"/>
  <c r="O30"/>
  <c r="O32"/>
  <c r="R32" s="1"/>
  <c r="Q28"/>
  <c r="R14"/>
  <c r="P14"/>
  <c r="Q14"/>
  <c r="I22"/>
  <c r="G23" s="1"/>
  <c r="I23" s="1"/>
  <c r="O22"/>
  <c r="Q22" s="1"/>
  <c r="H36"/>
  <c r="I12"/>
  <c r="G13" s="1"/>
  <c r="J13" s="1"/>
  <c r="R13" s="1"/>
  <c r="R18"/>
  <c r="I14"/>
  <c r="G15" s="1"/>
  <c r="I15" s="1"/>
  <c r="P6"/>
  <c r="R6"/>
  <c r="Q6"/>
  <c r="Q12"/>
  <c r="R12"/>
  <c r="P12"/>
  <c r="R20"/>
  <c r="Q20"/>
  <c r="P20"/>
  <c r="Q10"/>
  <c r="P10"/>
  <c r="R10"/>
  <c r="J20"/>
  <c r="P8"/>
  <c r="Q18"/>
  <c r="J12"/>
  <c r="R8"/>
  <c r="I10"/>
  <c r="G11" s="1"/>
  <c r="I20"/>
  <c r="G21" s="1"/>
  <c r="J32"/>
  <c r="P28"/>
  <c r="J6"/>
  <c r="I6"/>
  <c r="G7" s="1"/>
  <c r="H30" i="1"/>
  <c r="I37" i="2"/>
  <c r="H22" i="12"/>
  <c r="L7"/>
  <c r="H21"/>
  <c r="I16"/>
  <c r="H24"/>
  <c r="E16"/>
  <c r="H27"/>
  <c r="G54" i="2"/>
  <c r="G67" s="1"/>
  <c r="K25" i="12"/>
  <c r="G23"/>
  <c r="H23" s="1"/>
  <c r="G12"/>
  <c r="H12" s="1"/>
  <c r="H15"/>
  <c r="H26"/>
  <c r="G6"/>
  <c r="G16" i="2" s="1"/>
  <c r="F6" i="12"/>
  <c r="M6" s="1"/>
  <c r="H13"/>
  <c r="G11"/>
  <c r="H11" s="1"/>
  <c r="G9"/>
  <c r="J4"/>
  <c r="K7"/>
  <c r="K8"/>
  <c r="F28"/>
  <c r="I16" i="1"/>
  <c r="J20" i="2"/>
  <c r="H21" s="1"/>
  <c r="P18"/>
  <c r="Q18"/>
  <c r="K19"/>
  <c r="J19"/>
  <c r="J15"/>
  <c r="L25" i="5" l="1"/>
  <c r="K25"/>
  <c r="K49"/>
  <c r="I83"/>
  <c r="L49"/>
  <c r="J62" i="2"/>
  <c r="H63" s="1"/>
  <c r="J63" s="1"/>
  <c r="R63" s="1"/>
  <c r="K62"/>
  <c r="K12"/>
  <c r="J12"/>
  <c r="H13" s="1"/>
  <c r="K31"/>
  <c r="R31" s="1"/>
  <c r="J31"/>
  <c r="Q12"/>
  <c r="P12"/>
  <c r="R61"/>
  <c r="E28" i="12"/>
  <c r="P20" i="2"/>
  <c r="J33"/>
  <c r="K33"/>
  <c r="R33" s="1"/>
  <c r="R59"/>
  <c r="P14"/>
  <c r="M9"/>
  <c r="J35"/>
  <c r="M4" i="12"/>
  <c r="G4"/>
  <c r="J25" i="3"/>
  <c r="R25" s="1"/>
  <c r="F104" i="2"/>
  <c r="L13" i="5"/>
  <c r="T13" s="1"/>
  <c r="I13" i="3"/>
  <c r="I17"/>
  <c r="L75" i="5"/>
  <c r="L29"/>
  <c r="K100"/>
  <c r="I101" s="1"/>
  <c r="K101" s="1"/>
  <c r="L62"/>
  <c r="L109"/>
  <c r="K146"/>
  <c r="I147" s="1"/>
  <c r="K147" s="1"/>
  <c r="P12"/>
  <c r="S12" s="1"/>
  <c r="I123"/>
  <c r="R173"/>
  <c r="T173" s="1"/>
  <c r="P18"/>
  <c r="R18" s="1"/>
  <c r="K179"/>
  <c r="I180" s="1"/>
  <c r="L180" s="1"/>
  <c r="T14"/>
  <c r="R120"/>
  <c r="T120" s="1"/>
  <c r="K66"/>
  <c r="K134"/>
  <c r="I135" s="1"/>
  <c r="K135" s="1"/>
  <c r="R138"/>
  <c r="T138" s="1"/>
  <c r="L28"/>
  <c r="R122"/>
  <c r="T122" s="1"/>
  <c r="L133"/>
  <c r="K70"/>
  <c r="S79"/>
  <c r="K13"/>
  <c r="R191"/>
  <c r="T191" s="1"/>
  <c r="L103"/>
  <c r="R24"/>
  <c r="T24" s="1"/>
  <c r="R150"/>
  <c r="T150" s="1"/>
  <c r="S150"/>
  <c r="L178"/>
  <c r="L74"/>
  <c r="R57"/>
  <c r="T57" s="1"/>
  <c r="S171"/>
  <c r="K115"/>
  <c r="R187"/>
  <c r="T187" s="1"/>
  <c r="L163"/>
  <c r="K23"/>
  <c r="R63"/>
  <c r="T63" s="1"/>
  <c r="S28"/>
  <c r="S118"/>
  <c r="L132"/>
  <c r="S132"/>
  <c r="R144"/>
  <c r="T144" s="1"/>
  <c r="S102"/>
  <c r="L111"/>
  <c r="L187"/>
  <c r="K165"/>
  <c r="I166" s="1"/>
  <c r="L166" s="1"/>
  <c r="R110"/>
  <c r="T110" s="1"/>
  <c r="S110"/>
  <c r="K82"/>
  <c r="S140"/>
  <c r="S98"/>
  <c r="S106"/>
  <c r="P175"/>
  <c r="R175" s="1"/>
  <c r="T175" s="1"/>
  <c r="K19"/>
  <c r="S165"/>
  <c r="R71"/>
  <c r="T71" s="1"/>
  <c r="P148"/>
  <c r="R148" s="1"/>
  <c r="T148" s="1"/>
  <c r="R96"/>
  <c r="T96" s="1"/>
  <c r="R38"/>
  <c r="T38" s="1"/>
  <c r="S61"/>
  <c r="S51"/>
  <c r="S112"/>
  <c r="K68"/>
  <c r="L96"/>
  <c r="S142"/>
  <c r="L143"/>
  <c r="K27"/>
  <c r="S53"/>
  <c r="R69"/>
  <c r="T69" s="1"/>
  <c r="S22"/>
  <c r="S73"/>
  <c r="L15"/>
  <c r="T15" s="1"/>
  <c r="K72"/>
  <c r="R36"/>
  <c r="T36" s="1"/>
  <c r="S65"/>
  <c r="S146"/>
  <c r="S130"/>
  <c r="P20"/>
  <c r="R20" s="1"/>
  <c r="T20" s="1"/>
  <c r="R124"/>
  <c r="T124" s="1"/>
  <c r="R163"/>
  <c r="T163" s="1"/>
  <c r="R100"/>
  <c r="T100" s="1"/>
  <c r="L18"/>
  <c r="K173"/>
  <c r="I174" s="1"/>
  <c r="S193"/>
  <c r="S167"/>
  <c r="R167"/>
  <c r="T167" s="1"/>
  <c r="S77"/>
  <c r="R77"/>
  <c r="T77" s="1"/>
  <c r="R81"/>
  <c r="T81" s="1"/>
  <c r="S81"/>
  <c r="K63"/>
  <c r="I64" s="1"/>
  <c r="L63"/>
  <c r="L150"/>
  <c r="K150"/>
  <c r="I151" s="1"/>
  <c r="L145"/>
  <c r="P16"/>
  <c r="R16" s="1"/>
  <c r="N44"/>
  <c r="P44" s="1"/>
  <c r="S44" s="1"/>
  <c r="L124"/>
  <c r="K57"/>
  <c r="I58" s="1"/>
  <c r="K58" s="1"/>
  <c r="R189"/>
  <c r="T189" s="1"/>
  <c r="S14"/>
  <c r="S108"/>
  <c r="K139"/>
  <c r="L139"/>
  <c r="L125"/>
  <c r="K125"/>
  <c r="S183"/>
  <c r="R40"/>
  <c r="T40" s="1"/>
  <c r="S34"/>
  <c r="L31"/>
  <c r="R59"/>
  <c r="T59" s="1"/>
  <c r="K52"/>
  <c r="R67"/>
  <c r="T67" s="1"/>
  <c r="J27" i="3"/>
  <c r="R27" s="1"/>
  <c r="J35"/>
  <c r="R35" s="1"/>
  <c r="R16"/>
  <c r="Q16"/>
  <c r="P24"/>
  <c r="R24"/>
  <c r="R56" i="2"/>
  <c r="P56"/>
  <c r="Q56"/>
  <c r="R57"/>
  <c r="R19"/>
  <c r="J25" i="12"/>
  <c r="G25" s="1"/>
  <c r="H25" s="1"/>
  <c r="K28"/>
  <c r="P58" i="2"/>
  <c r="Q58"/>
  <c r="P271" i="4"/>
  <c r="S271" s="1"/>
  <c r="O273"/>
  <c r="G9" i="5"/>
  <c r="Q14" i="2"/>
  <c r="R14"/>
  <c r="G13" i="1"/>
  <c r="G15" s="1"/>
  <c r="F103" i="2"/>
  <c r="R15"/>
  <c r="J31" i="3"/>
  <c r="R31" s="1"/>
  <c r="N26"/>
  <c r="L36"/>
  <c r="I33"/>
  <c r="I9"/>
  <c r="J36"/>
  <c r="P30"/>
  <c r="G30" i="1"/>
  <c r="I30" s="1"/>
  <c r="L89" i="5"/>
  <c r="K89"/>
  <c r="I44"/>
  <c r="L44" s="1"/>
  <c r="K20"/>
  <c r="L20"/>
  <c r="K152"/>
  <c r="I153" s="1"/>
  <c r="L152"/>
  <c r="H204"/>
  <c r="H9"/>
  <c r="H159"/>
  <c r="K148"/>
  <c r="I149" s="1"/>
  <c r="L148"/>
  <c r="G204"/>
  <c r="L154"/>
  <c r="K154"/>
  <c r="I155" s="1"/>
  <c r="K59"/>
  <c r="I60" s="1"/>
  <c r="L59"/>
  <c r="G200"/>
  <c r="G6"/>
  <c r="K184"/>
  <c r="L184"/>
  <c r="L172"/>
  <c r="K172"/>
  <c r="R169"/>
  <c r="T169" s="1"/>
  <c r="S169"/>
  <c r="K35"/>
  <c r="L35"/>
  <c r="K92"/>
  <c r="I93" s="1"/>
  <c r="L92"/>
  <c r="R114"/>
  <c r="T114" s="1"/>
  <c r="S114"/>
  <c r="K91"/>
  <c r="L91"/>
  <c r="L182"/>
  <c r="K182"/>
  <c r="R185"/>
  <c r="T185" s="1"/>
  <c r="S185"/>
  <c r="R179"/>
  <c r="T179" s="1"/>
  <c r="S179"/>
  <c r="S94"/>
  <c r="R94"/>
  <c r="T94" s="1"/>
  <c r="R90"/>
  <c r="T90" s="1"/>
  <c r="S90"/>
  <c r="L76"/>
  <c r="K76"/>
  <c r="R136"/>
  <c r="T136" s="1"/>
  <c r="S136"/>
  <c r="P88"/>
  <c r="N156"/>
  <c r="K128"/>
  <c r="I129" s="1"/>
  <c r="R75"/>
  <c r="T75" s="1"/>
  <c r="S75"/>
  <c r="H6"/>
  <c r="H202"/>
  <c r="H208" s="1"/>
  <c r="G232" s="1"/>
  <c r="R92"/>
  <c r="T92" s="1"/>
  <c r="S92"/>
  <c r="K107"/>
  <c r="L107"/>
  <c r="R104"/>
  <c r="T104" s="1"/>
  <c r="S104"/>
  <c r="K190"/>
  <c r="L190"/>
  <c r="K137"/>
  <c r="L137"/>
  <c r="L99"/>
  <c r="K99"/>
  <c r="K168"/>
  <c r="L168"/>
  <c r="T165"/>
  <c r="S152"/>
  <c r="R152"/>
  <c r="T152" s="1"/>
  <c r="K97"/>
  <c r="L97"/>
  <c r="L119"/>
  <c r="K119"/>
  <c r="L104"/>
  <c r="K104"/>
  <c r="I105" s="1"/>
  <c r="L161"/>
  <c r="K161"/>
  <c r="I195"/>
  <c r="L195" s="1"/>
  <c r="R116"/>
  <c r="T116" s="1"/>
  <c r="S116"/>
  <c r="L53"/>
  <c r="K53"/>
  <c r="I54" s="1"/>
  <c r="L33"/>
  <c r="K33"/>
  <c r="K188"/>
  <c r="L188"/>
  <c r="K175"/>
  <c r="I176" s="1"/>
  <c r="L175"/>
  <c r="R154"/>
  <c r="T154" s="1"/>
  <c r="S154"/>
  <c r="K42"/>
  <c r="I43" s="1"/>
  <c r="L42"/>
  <c r="L40"/>
  <c r="K40"/>
  <c r="I41" s="1"/>
  <c r="O156"/>
  <c r="L78"/>
  <c r="N83"/>
  <c r="P83" s="1"/>
  <c r="S83" s="1"/>
  <c r="L80"/>
  <c r="S30"/>
  <c r="G8"/>
  <c r="K17"/>
  <c r="R49"/>
  <c r="T49" s="1"/>
  <c r="R26"/>
  <c r="T26" s="1"/>
  <c r="S128"/>
  <c r="K191"/>
  <c r="I192" s="1"/>
  <c r="L191"/>
  <c r="R181"/>
  <c r="T181" s="1"/>
  <c r="S181"/>
  <c r="K185"/>
  <c r="I186" s="1"/>
  <c r="L185"/>
  <c r="N195"/>
  <c r="P161"/>
  <c r="K38"/>
  <c r="I39" s="1"/>
  <c r="L38"/>
  <c r="R134"/>
  <c r="T134" s="1"/>
  <c r="S134"/>
  <c r="K55"/>
  <c r="L55"/>
  <c r="R32"/>
  <c r="T32" s="1"/>
  <c r="S32"/>
  <c r="L164"/>
  <c r="K164"/>
  <c r="L36"/>
  <c r="K36"/>
  <c r="I37" s="1"/>
  <c r="L131"/>
  <c r="K131"/>
  <c r="I206"/>
  <c r="L83"/>
  <c r="S42"/>
  <c r="P55"/>
  <c r="O195"/>
  <c r="K272" i="4"/>
  <c r="G9" i="1"/>
  <c r="I9" s="1"/>
  <c r="L277" i="4"/>
  <c r="L280"/>
  <c r="Q273"/>
  <c r="T273" s="1"/>
  <c r="Q32" i="3"/>
  <c r="J19"/>
  <c r="R19" s="1"/>
  <c r="J29"/>
  <c r="R29" s="1"/>
  <c r="P32"/>
  <c r="R30"/>
  <c r="Q30"/>
  <c r="J23"/>
  <c r="R23" s="1"/>
  <c r="R22"/>
  <c r="J15"/>
  <c r="R15" s="1"/>
  <c r="P22"/>
  <c r="O36"/>
  <c r="G7" i="1" s="1"/>
  <c r="I36" i="3"/>
  <c r="J7"/>
  <c r="R7" s="1"/>
  <c r="I7"/>
  <c r="J11"/>
  <c r="R11" s="1"/>
  <c r="I11"/>
  <c r="J21"/>
  <c r="R21" s="1"/>
  <c r="I21"/>
  <c r="O36" i="2"/>
  <c r="K37"/>
  <c r="J37"/>
  <c r="L16" i="12"/>
  <c r="M8"/>
  <c r="G64" i="2"/>
  <c r="J7" i="12"/>
  <c r="M54" i="2"/>
  <c r="H28" i="12"/>
  <c r="G36" i="2"/>
  <c r="M36" s="1"/>
  <c r="G28" i="12"/>
  <c r="J28"/>
  <c r="H9"/>
  <c r="H6"/>
  <c r="F16"/>
  <c r="M16" i="2"/>
  <c r="R16" s="1"/>
  <c r="G39"/>
  <c r="H16"/>
  <c r="E14" i="1"/>
  <c r="K16" i="12"/>
  <c r="K21" i="2"/>
  <c r="J21"/>
  <c r="K83" i="5" l="1"/>
  <c r="I50"/>
  <c r="K13" i="2"/>
  <c r="R13" s="1"/>
  <c r="J13"/>
  <c r="R35"/>
  <c r="G7" i="12"/>
  <c r="M7"/>
  <c r="K123" i="5"/>
  <c r="L147"/>
  <c r="L101"/>
  <c r="R12"/>
  <c r="S20"/>
  <c r="K180"/>
  <c r="S18"/>
  <c r="L135"/>
  <c r="K166"/>
  <c r="S148"/>
  <c r="P195"/>
  <c r="S195" s="1"/>
  <c r="S175"/>
  <c r="R44"/>
  <c r="T44" s="1"/>
  <c r="L174"/>
  <c r="K174"/>
  <c r="L64"/>
  <c r="K64"/>
  <c r="K151"/>
  <c r="L151"/>
  <c r="I204"/>
  <c r="K204" s="1"/>
  <c r="I205" s="1"/>
  <c r="E8" i="1"/>
  <c r="S16" i="5"/>
  <c r="L58"/>
  <c r="R83"/>
  <c r="T83" s="1"/>
  <c r="I9"/>
  <c r="K9" s="1"/>
  <c r="N36" i="2"/>
  <c r="P36" s="1"/>
  <c r="R36"/>
  <c r="R21"/>
  <c r="P26" i="3"/>
  <c r="Q26"/>
  <c r="N36"/>
  <c r="P36" s="1"/>
  <c r="D7" i="1"/>
  <c r="R36" i="3"/>
  <c r="M64" i="2"/>
  <c r="L9" i="5"/>
  <c r="L60"/>
  <c r="K60"/>
  <c r="K206"/>
  <c r="I207" s="1"/>
  <c r="L206"/>
  <c r="K195"/>
  <c r="I162"/>
  <c r="K156"/>
  <c r="I157" s="1"/>
  <c r="L156"/>
  <c r="K153"/>
  <c r="L153"/>
  <c r="L37"/>
  <c r="K37"/>
  <c r="S161"/>
  <c r="R161"/>
  <c r="T161" s="1"/>
  <c r="K41"/>
  <c r="L41"/>
  <c r="L54"/>
  <c r="K54"/>
  <c r="I200"/>
  <c r="G208"/>
  <c r="L149"/>
  <c r="K149"/>
  <c r="P156"/>
  <c r="R88"/>
  <c r="T88" s="1"/>
  <c r="S88"/>
  <c r="K93"/>
  <c r="L93"/>
  <c r="R55"/>
  <c r="T55" s="1"/>
  <c r="S55"/>
  <c r="I56"/>
  <c r="K39"/>
  <c r="L39"/>
  <c r="L186"/>
  <c r="K186"/>
  <c r="K192"/>
  <c r="L192"/>
  <c r="K43"/>
  <c r="L43"/>
  <c r="L176"/>
  <c r="K176"/>
  <c r="L105"/>
  <c r="K105"/>
  <c r="K129"/>
  <c r="L129"/>
  <c r="K155"/>
  <c r="L155"/>
  <c r="I21"/>
  <c r="I45" s="1"/>
  <c r="L45" s="1"/>
  <c r="K44"/>
  <c r="I202"/>
  <c r="R195"/>
  <c r="T195" s="1"/>
  <c r="I6"/>
  <c r="H9" i="1"/>
  <c r="G10"/>
  <c r="G12" s="1"/>
  <c r="J16" i="12"/>
  <c r="G8"/>
  <c r="H8" s="1"/>
  <c r="H36" i="2"/>
  <c r="K36" s="1"/>
  <c r="H4" i="12"/>
  <c r="H7"/>
  <c r="N16" i="2"/>
  <c r="E13" i="1"/>
  <c r="F13" s="1"/>
  <c r="H39" i="2"/>
  <c r="K39" s="1"/>
  <c r="K16"/>
  <c r="J16"/>
  <c r="H17" s="1"/>
  <c r="K50" i="5" l="1"/>
  <c r="I84"/>
  <c r="L84" s="1"/>
  <c r="L50"/>
  <c r="E10" i="1"/>
  <c r="E12" s="1"/>
  <c r="L204" i="5"/>
  <c r="F7" i="1"/>
  <c r="G16" i="12"/>
  <c r="H16" s="1"/>
  <c r="Q36" i="2"/>
  <c r="Q36" i="3"/>
  <c r="J36" i="2"/>
  <c r="R156" i="5"/>
  <c r="T156" s="1"/>
  <c r="S156"/>
  <c r="L200"/>
  <c r="K200"/>
  <c r="I201" s="1"/>
  <c r="K157"/>
  <c r="L157"/>
  <c r="K207"/>
  <c r="L207"/>
  <c r="L202"/>
  <c r="K202"/>
  <c r="I203" s="1"/>
  <c r="K56"/>
  <c r="L56"/>
  <c r="L205"/>
  <c r="K205"/>
  <c r="D8" i="1"/>
  <c r="D10" s="1"/>
  <c r="D12" s="1"/>
  <c r="I208" i="5"/>
  <c r="K6"/>
  <c r="I8" s="1"/>
  <c r="L6"/>
  <c r="K21"/>
  <c r="K45" s="1"/>
  <c r="L21"/>
  <c r="I196"/>
  <c r="L196" s="1"/>
  <c r="K162"/>
  <c r="K196" s="1"/>
  <c r="L162"/>
  <c r="G17" i="1"/>
  <c r="E15"/>
  <c r="H13"/>
  <c r="I13"/>
  <c r="J39" i="2"/>
  <c r="Q16"/>
  <c r="P16"/>
  <c r="J17"/>
  <c r="K17"/>
  <c r="K84" i="5" l="1"/>
  <c r="E17" i="1"/>
  <c r="F12"/>
  <c r="H7"/>
  <c r="I7"/>
  <c r="R17" i="2"/>
  <c r="L8" i="5"/>
  <c r="K8"/>
  <c r="K203"/>
  <c r="L203"/>
  <c r="F8" i="1"/>
  <c r="K201" i="5"/>
  <c r="L201"/>
  <c r="L208"/>
  <c r="K208"/>
  <c r="F10" i="1" l="1"/>
  <c r="I8"/>
  <c r="H8"/>
  <c r="H10" l="1"/>
  <c r="I10"/>
  <c r="I12" l="1"/>
  <c r="H12"/>
  <c r="L52" i="2"/>
  <c r="R52" s="1"/>
  <c r="H52"/>
  <c r="J52" s="1"/>
  <c r="H53" s="1"/>
  <c r="L64"/>
  <c r="N64" s="1"/>
  <c r="N50"/>
  <c r="P50" s="1"/>
  <c r="L50"/>
  <c r="R50" s="1"/>
  <c r="L54"/>
  <c r="R54" s="1"/>
  <c r="N54"/>
  <c r="P54" s="1"/>
  <c r="F64"/>
  <c r="H64" s="1"/>
  <c r="H54"/>
  <c r="K54" s="1"/>
  <c r="F65"/>
  <c r="H65" s="1"/>
  <c r="H50"/>
  <c r="K50" s="1"/>
  <c r="F67"/>
  <c r="H67" s="1"/>
  <c r="J64" l="1"/>
  <c r="K64"/>
  <c r="J54"/>
  <c r="H55" s="1"/>
  <c r="K55" s="1"/>
  <c r="R55" s="1"/>
  <c r="P64"/>
  <c r="Q64"/>
  <c r="K67"/>
  <c r="J67"/>
  <c r="J55"/>
  <c r="K65"/>
  <c r="J65"/>
  <c r="J53"/>
  <c r="K53"/>
  <c r="J50"/>
  <c r="H51" s="1"/>
  <c r="Q54"/>
  <c r="Q50"/>
  <c r="R64"/>
  <c r="K52"/>
  <c r="D14" i="1"/>
  <c r="N52" i="2"/>
  <c r="J51" l="1"/>
  <c r="K51"/>
  <c r="R53"/>
  <c r="P52"/>
  <c r="Q52"/>
  <c r="D15" i="1"/>
  <c r="F14"/>
  <c r="R51" i="2" l="1"/>
  <c r="F15" i="1"/>
  <c r="D17"/>
  <c r="F17" s="1"/>
  <c r="H14"/>
  <c r="I14"/>
  <c r="H17" l="1"/>
  <c r="I17"/>
  <c r="I15"/>
  <c r="H15"/>
</calcChain>
</file>

<file path=xl/comments1.xml><?xml version="1.0" encoding="utf-8"?>
<comments xmlns="http://schemas.openxmlformats.org/spreadsheetml/2006/main">
  <authors>
    <author>Autor</author>
  </authors>
  <commentList>
    <comment ref="E28" authorId="0">
      <text>
        <r>
          <rPr>
            <b/>
            <sz val="9"/>
            <color indexed="81"/>
            <rFont val="Tahoma"/>
            <family val="2"/>
          </rPr>
          <t>Rgarcia:</t>
        </r>
        <r>
          <rPr>
            <sz val="9"/>
            <color indexed="81"/>
            <rFont val="Tahoma"/>
            <family val="2"/>
          </rPr>
          <t xml:space="preserve">
Hay capturas en calidad de FA despues del cierre de naves inscritas en el RPI </t>
        </r>
      </text>
    </comment>
    <comment ref="E29" authorId="0">
      <text>
        <r>
          <rPr>
            <b/>
            <sz val="9"/>
            <color indexed="81"/>
            <rFont val="Tahoma"/>
            <family val="2"/>
          </rPr>
          <t>Rgarcia:
No inscritas</t>
        </r>
      </text>
    </comment>
  </commentList>
</comments>
</file>

<file path=xl/comments2.xml><?xml version="1.0" encoding="utf-8"?>
<comments xmlns="http://schemas.openxmlformats.org/spreadsheetml/2006/main">
  <authors>
    <author>Autor</author>
  </authors>
  <commentList>
    <comment ref="G12" authorId="0">
      <text>
        <r>
          <rPr>
            <b/>
            <sz val="9"/>
            <color indexed="81"/>
            <rFont val="Tahoma"/>
            <family val="2"/>
          </rPr>
          <t>Rgarcia:
Cesiones:</t>
        </r>
        <r>
          <rPr>
            <sz val="9"/>
            <color indexed="81"/>
            <rFont val="Tahoma"/>
            <family val="2"/>
          </rPr>
          <t xml:space="preserve">
446-2019 Cesión 27,254 ton desde XII Región EMB POLY EMB VICTOR ALEJANDRO-AREA PTO NATALES  a EMDEPES SA.
532-2019 Cesión 1402,741 t Merluza del sur de ORGANIZACIONES Región de Aysén a EMDEPES SA.
564-2019 Cesión 1363,311 t Merluza del sur desde XII Region-Embarcaciones Area Natales y Punta Arenas a EMDEPES SA.
---------------------------------------------------------------------------------------------------------------
674-2019 Cesión 167,674 t Merluza del sur de ORGANIZACIONES Región de Aysén a EMDEPES SA.
675-2019 Cesión 40,601 t Merluza del sur de ORGANIZACIONES Región de Aysén a EMDEPES SA.
687-2019 Cesión 5,222 t Merluza del sur de ORGANIZACIONES Región de Aysén a EMDEPES SA.
809-2019 Cesión 177,507  t Merluza del sur de ORGANIZACIONES Región de Aysén a EMDEPES SA.
810-2019 Cesión  27,254 t Merluza del sur desde XII Region-Embarcaciones Area Natales y Punta Arenas a EMDEPES SA.
---------------------------------------------------------------------------------------------------------------
1109/29-03-19 Cesión 13,627 ton Merluza del sur desde XII Region - Embarcacion DAMAR II a EMDEPES SA
1356/10-04-19  Cesión 248,690 t Merluza del sur Area Pto Montt A Región de Los Lagos a EMDEPES SA
</t>
        </r>
        <r>
          <rPr>
            <sz val="9"/>
            <color rgb="FFFF0000"/>
            <rFont val="Tahoma"/>
            <family val="2"/>
          </rPr>
          <t>OK</t>
        </r>
      </text>
    </comment>
    <comment ref="G14" authorId="0">
      <text>
        <r>
          <rPr>
            <b/>
            <sz val="9"/>
            <color indexed="81"/>
            <rFont val="Tahoma"/>
            <family val="2"/>
          </rPr>
          <t xml:space="preserve">Rgarcia:
</t>
        </r>
        <r>
          <rPr>
            <sz val="9"/>
            <color indexed="81"/>
            <rFont val="Tahoma"/>
            <family val="2"/>
          </rPr>
          <t xml:space="preserve">
</t>
        </r>
        <r>
          <rPr>
            <b/>
            <sz val="9"/>
            <color indexed="81"/>
            <rFont val="Tahoma"/>
            <family val="2"/>
          </rPr>
          <t>Cesiones:</t>
        </r>
        <r>
          <rPr>
            <sz val="9"/>
            <color indexed="81"/>
            <rFont val="Tahoma"/>
            <family val="2"/>
          </rPr>
          <t xml:space="preserve">
392-2019 Cesión 305,556 ton de AREA CALBUCO B Región de Los Lagos a PESQ GRIMAR
396-2019 Cesión 106 ton de AREA PALENA Región de Los Lagos a PESQ GRIMAR
442-2019 Cesión 193,879 ton de ORGANIZACIONES Región de AISEN  a PESQ GRIMAR
1097/28-03-19 Cesión 18,446 ton de ORGANIZACIONES Región de AISEN  a PESQ GRIMAR SA
1464/17-04-19 Cesión 10,819  ton de ORG-XI a GRIMAR SA
-------------------------------------------------------------------------- ----------------
</t>
        </r>
        <r>
          <rPr>
            <b/>
            <sz val="9"/>
            <color indexed="81"/>
            <rFont val="Tahoma"/>
            <family val="2"/>
          </rPr>
          <t>Negocios:</t>
        </r>
        <r>
          <rPr>
            <sz val="9"/>
            <color indexed="81"/>
            <rFont val="Tahoma"/>
            <family val="2"/>
          </rPr>
          <t xml:space="preserve">
288/31-01-19 Compra venta  ENTRE PESQ. GRIMAR y DERIS S.A.(-137,012). GRIMAR SA queda con 0,1548659 (+737,007)</t>
        </r>
      </text>
    </comment>
    <comment ref="I14" authorId="0">
      <text>
        <r>
          <rPr>
            <b/>
            <sz val="9"/>
            <color indexed="81"/>
            <rFont val="Tahoma"/>
            <family val="2"/>
          </rPr>
          <t xml:space="preserve">Rgarcia:
</t>
        </r>
        <r>
          <rPr>
            <sz val="9"/>
            <color indexed="81"/>
            <rFont val="Tahoma"/>
            <family val="2"/>
          </rPr>
          <t>Se descuentan 46,125 ton correspondientes a capturas realizadas durante el 2018 (En bases de datos aparecen con fecha de desembarque año 2019)</t>
        </r>
      </text>
    </comment>
    <comment ref="G16" authorId="0">
      <text>
        <r>
          <rPr>
            <b/>
            <sz val="9"/>
            <color indexed="81"/>
            <rFont val="Tahoma"/>
            <family val="2"/>
          </rPr>
          <t>Rgarcia:
Cesiones:
-----------------------------------------------------------
Negocios:</t>
        </r>
        <r>
          <rPr>
            <sz val="9"/>
            <color indexed="81"/>
            <rFont val="Tahoma"/>
            <family val="2"/>
          </rPr>
          <t xml:space="preserve">
745-19, deja sin efecto cv fd de  77,062 entre DERIS SA Y PESCA CISNES SA
</t>
        </r>
        <r>
          <rPr>
            <sz val="9"/>
            <color rgb="FFFF0000"/>
            <rFont val="Tahoma"/>
            <family val="2"/>
          </rPr>
          <t>OK</t>
        </r>
      </text>
    </comment>
    <comment ref="G18" authorId="0">
      <text>
        <r>
          <rPr>
            <b/>
            <sz val="9"/>
            <color indexed="81"/>
            <rFont val="Tahoma"/>
            <family val="2"/>
          </rPr>
          <t>Rgarcia:
Cesiones:</t>
        </r>
        <r>
          <rPr>
            <sz val="9"/>
            <color indexed="81"/>
            <rFont val="Tahoma"/>
            <family val="2"/>
          </rPr>
          <t xml:space="preserve">
531-2019 Cesión 722.274 t Merluza del sur de ORGANIZACIONES Región de Aysén a PESQ SUR AUSTRAL
1096/28-03-19 Cesión 15,924 ton de ORGANIZACIONES Región de AISEN  a PESQ SUR AUSTRAL
1195/29-03-19 Cesión 59,755 ton de ORGANIZACION Región de AISEN  a PESQ SUR AUSTRAL
-------------------------------------------------------------------------------------------------
</t>
        </r>
        <r>
          <rPr>
            <b/>
            <sz val="9"/>
            <color indexed="81"/>
            <rFont val="Tahoma"/>
            <family val="2"/>
          </rPr>
          <t>Negocios:</t>
        </r>
        <r>
          <rPr>
            <sz val="9"/>
            <color indexed="81"/>
            <rFont val="Tahoma"/>
            <family val="2"/>
          </rPr>
          <t xml:space="preserve">
Descuentos---------------------------------------------------------------
Res 377-19 Otorga 0,0076800 de Sur Austral a Deris (36,54912) </t>
        </r>
        <r>
          <rPr>
            <sz val="9"/>
            <color indexed="81"/>
            <rFont val="Tahoma"/>
            <family val="2"/>
          </rPr>
          <t xml:space="preserve">
Incrementos----------------------------------------------------------------
Res 286-19 Otorga 0.1531210 de Deris a Sur Austral (728,7028) </t>
        </r>
        <r>
          <rPr>
            <sz val="9"/>
            <color indexed="81"/>
            <rFont val="Tahoma"/>
            <family val="2"/>
          </rPr>
          <t xml:space="preserve">
Res 402-19 Sin Efecto 0,0000400 de Sur Austral (+) a PacificBlu (0,1808)) </t>
        </r>
        <r>
          <rPr>
            <sz val="9"/>
            <color rgb="FFFF0000"/>
            <rFont val="Tahoma"/>
            <family val="2"/>
          </rPr>
          <t xml:space="preserve">
</t>
        </r>
      </text>
    </comment>
    <comment ref="I18" authorId="0">
      <text>
        <r>
          <rPr>
            <b/>
            <sz val="9"/>
            <color indexed="81"/>
            <rFont val="Tahoma"/>
            <family val="2"/>
          </rPr>
          <t>Rgarcia:</t>
        </r>
        <r>
          <rPr>
            <sz val="9"/>
            <color indexed="81"/>
            <rFont val="Tahoma"/>
            <family val="2"/>
          </rPr>
          <t xml:space="preserve">
Se descuentan 33,118  ton correspondientes a capturas realizadas durante el 2018 (En bases de datos aparecen con fecha de desembarque año 2019)</t>
        </r>
      </text>
    </comment>
    <comment ref="G20" authorId="0">
      <text>
        <r>
          <rPr>
            <b/>
            <sz val="9"/>
            <color indexed="81"/>
            <rFont val="Tahoma"/>
            <family val="2"/>
          </rPr>
          <t>Rgarcia:</t>
        </r>
        <r>
          <rPr>
            <sz val="9"/>
            <color indexed="81"/>
            <rFont val="Tahoma"/>
            <family val="2"/>
          </rPr>
          <t xml:space="preserve">
</t>
        </r>
        <r>
          <rPr>
            <b/>
            <sz val="9"/>
            <color indexed="81"/>
            <rFont val="Tahoma"/>
            <family val="2"/>
          </rPr>
          <t>Cesiones:
Incrementos---------------------------------------------------------</t>
        </r>
        <r>
          <rPr>
            <sz val="9"/>
            <color indexed="81"/>
            <rFont val="Tahoma"/>
            <family val="2"/>
          </rPr>
          <t xml:space="preserve">
797-2019 Cesión 167,778 t de Area X Región a DERIS S.A.
798-2019 Cesión 222,222 t de Area X Región a DERIS S.A.
799-2019 Cesión 147,667 t de Area X Región a DERIS S.A.
811-2019 Cesión 324,448 t de  Area X Región a DERIS S.A.
--------------------------------------------------------------------------
</t>
        </r>
        <r>
          <rPr>
            <b/>
            <sz val="9"/>
            <color indexed="81"/>
            <rFont val="Tahoma"/>
            <family val="2"/>
          </rPr>
          <t xml:space="preserve">Negocios:
</t>
        </r>
        <r>
          <rPr>
            <sz val="9"/>
            <color indexed="81"/>
            <rFont val="Tahoma"/>
            <family val="2"/>
          </rPr>
          <t xml:space="preserve">
</t>
        </r>
        <r>
          <rPr>
            <b/>
            <sz val="9"/>
            <color indexed="10"/>
            <rFont val="Tahoma"/>
            <family val="2"/>
          </rPr>
          <t>Descuentos</t>
        </r>
        <r>
          <rPr>
            <b/>
            <sz val="9"/>
            <color indexed="81"/>
            <rFont val="Tahoma"/>
            <family val="2"/>
          </rPr>
          <t>--------------------------------------------------------------</t>
        </r>
        <r>
          <rPr>
            <sz val="9"/>
            <color indexed="81"/>
            <rFont val="Tahoma"/>
            <family val="2"/>
          </rPr>
          <t xml:space="preserve">
Res 286-19 Otorga 0.1531210 de Deris a Sur Austral (728,70284) 
Res 745-19 Sin Efecto 0,0282095 de Pesca Cisnes (+) a Deris (73,2094) </t>
        </r>
        <r>
          <rPr>
            <sz val="9"/>
            <color rgb="FFFF0000"/>
            <rFont val="Tahoma"/>
            <family val="2"/>
          </rPr>
          <t xml:space="preserve">
</t>
        </r>
        <r>
          <rPr>
            <sz val="9"/>
            <color indexed="81"/>
            <rFont val="Tahoma"/>
            <family val="2"/>
          </rPr>
          <t xml:space="preserve">
</t>
        </r>
        <r>
          <rPr>
            <b/>
            <sz val="9"/>
            <color indexed="21"/>
            <rFont val="Tahoma"/>
            <family val="2"/>
          </rPr>
          <t>Incrementos</t>
        </r>
        <r>
          <rPr>
            <b/>
            <sz val="9"/>
            <color indexed="81"/>
            <rFont val="Tahoma"/>
            <family val="2"/>
          </rPr>
          <t>---------------------------------------------------------</t>
        </r>
        <r>
          <rPr>
            <sz val="9"/>
            <color indexed="81"/>
            <rFont val="Tahoma"/>
            <family val="2"/>
          </rPr>
          <t xml:space="preserve">
Res 288-19 Otorga 0,0287900 de Grimar a Deris (137,012 t) 
Res 377-19 Otorga 0,0076800 de Sur Austral a Deris (36,54912) </t>
        </r>
        <r>
          <rPr>
            <sz val="9"/>
            <color rgb="FFFF0000"/>
            <rFont val="Tahoma"/>
            <family val="2"/>
          </rPr>
          <t xml:space="preserve">
</t>
        </r>
        <r>
          <rPr>
            <sz val="9"/>
            <color indexed="81"/>
            <rFont val="Tahoma"/>
            <family val="2"/>
          </rPr>
          <t>Res 1806-19 CV 0,0075 desde Alexis cabrera (+) a Deris (35,6925)
Res 1806-19 CV 0,0075 desde Alexis cabrera (+) a Deris (35,6925)</t>
        </r>
        <r>
          <rPr>
            <sz val="9"/>
            <color rgb="FFFF0000"/>
            <rFont val="Tahoma"/>
            <family val="2"/>
          </rPr>
          <t xml:space="preserve">
</t>
        </r>
      </text>
    </comment>
    <comment ref="G28" authorId="0">
      <text>
        <r>
          <rPr>
            <b/>
            <sz val="9"/>
            <color indexed="81"/>
            <rFont val="Tahoma"/>
            <family val="2"/>
          </rPr>
          <t xml:space="preserve">Rgarcia:
</t>
        </r>
        <r>
          <rPr>
            <b/>
            <sz val="9"/>
            <color indexed="10"/>
            <rFont val="Tahoma"/>
            <family val="2"/>
          </rPr>
          <t>Descuentos-----------------------------------------------------</t>
        </r>
        <r>
          <rPr>
            <sz val="9"/>
            <color indexed="81"/>
            <rFont val="Tahoma"/>
            <family val="2"/>
          </rPr>
          <t xml:space="preserve">
Res 745-19 Sin Efecto 0,0282095  LTP A de Pesca Cisnes (+) a Deris (0,1808)
</t>
        </r>
      </text>
    </comment>
    <comment ref="G34" authorId="0">
      <text>
        <r>
          <rPr>
            <b/>
            <sz val="9"/>
            <color indexed="81"/>
            <rFont val="Tahoma"/>
            <family val="2"/>
          </rPr>
          <t>Autor:</t>
        </r>
        <r>
          <rPr>
            <sz val="9"/>
            <color indexed="81"/>
            <rFont val="Tahoma"/>
            <family val="2"/>
          </rPr>
          <t xml:space="preserve">
Res 1806-19 CV 0,0075 desde Alexis cabrera (+) a Deris (35,6925)
Res 1806-19 CV 0,0075 desde Alexis cabrera (+) a Deris (35,6925)</t>
        </r>
      </text>
    </comment>
    <comment ref="G54" authorId="0">
      <text>
        <r>
          <rPr>
            <b/>
            <sz val="9"/>
            <color indexed="81"/>
            <rFont val="Tahoma"/>
            <family val="2"/>
          </rPr>
          <t>rgarcia:</t>
        </r>
        <r>
          <rPr>
            <sz val="9"/>
            <color indexed="81"/>
            <rFont val="Tahoma"/>
            <family val="2"/>
          </rPr>
          <t xml:space="preserve">
R Ex 746-19_Deja Sin Efecto CV Fideicomiso LTP A 0,1041028 LTP A entre PESCA CISNE SA (+300,946) a DERIS (-300,946 t)</t>
        </r>
      </text>
    </comment>
    <comment ref="G58" authorId="0">
      <text>
        <r>
          <rPr>
            <b/>
            <sz val="9"/>
            <color indexed="81"/>
            <rFont val="Tahoma"/>
            <family val="2"/>
          </rPr>
          <t>rgarcia:</t>
        </r>
        <r>
          <rPr>
            <sz val="9"/>
            <color indexed="81"/>
            <rFont val="Tahoma"/>
            <family val="2"/>
          </rPr>
          <t xml:space="preserve">
678-19 Cesión 54,508 t M del Sur Región de Magallanes a Deris S.A.
688-19 Cesión 185,767 ton M del Sur Region de Magallanes a Deris S.A.</t>
        </r>
      </text>
    </comment>
    <comment ref="G59" authorId="0">
      <text>
        <r>
          <rPr>
            <b/>
            <sz val="9"/>
            <color indexed="81"/>
            <rFont val="Tahoma"/>
            <family val="2"/>
          </rPr>
          <t>Rgarcia:</t>
        </r>
        <r>
          <rPr>
            <sz val="9"/>
            <color indexed="81"/>
            <rFont val="Tahoma"/>
            <family val="2"/>
          </rPr>
          <t xml:space="preserve">
R Ex 746-19_Deja Sin Efecto CV Fideicomiso LTP A 0,1041028 LTP A entre PESCA CISNE SA (+300,946) a DERIS (-300,946 t)
R Ex 1362-19_CV 0,0075 LTP B entre ALEXIS CABRERA VALLEJOS a DERIS SA (22,8225 t)
R Ex 1363-19_CV 0,0075 LTP B entre ALEXIS CABRERA VALLEJOS a DERIS SA (22,8225 t)
--------------------------------------------------------------------------------------
R Ex 1716 Cesion de 12,5 ton de Emb CRISNHA I, region Magallanes  a Deris</t>
        </r>
      </text>
    </comment>
    <comment ref="G63" authorId="0">
      <text>
        <r>
          <rPr>
            <b/>
            <sz val="9"/>
            <color indexed="81"/>
            <rFont val="Tahoma"/>
            <family val="2"/>
          </rPr>
          <t>rgarcia:</t>
        </r>
        <r>
          <rPr>
            <sz val="9"/>
            <color indexed="81"/>
            <rFont val="Tahoma"/>
            <family val="2"/>
          </rPr>
          <t xml:space="preserve">
R Ex 1362-19_CV 0,0075 LTP B entre ALEXIS CABRERA VALLEJOS a DERIS SA (22,8225 t)
R Ex 1363-19_CV 0,0075 LTP B entre ALEXIS CABRERA VALLEJOS a DERIS SA (22,8225 t)</t>
        </r>
      </text>
    </comment>
    <comment ref="D77" authorId="0">
      <text>
        <r>
          <rPr>
            <b/>
            <sz val="9"/>
            <color indexed="81"/>
            <rFont val="Tahoma"/>
            <family val="2"/>
          </rPr>
          <t>Autor:</t>
        </r>
        <r>
          <rPr>
            <sz val="9"/>
            <color indexed="81"/>
            <rFont val="Tahoma"/>
            <family val="2"/>
          </rPr>
          <t xml:space="preserve">
-46,125</t>
        </r>
      </text>
    </comment>
  </commentList>
</comments>
</file>

<file path=xl/comments3.xml><?xml version="1.0" encoding="utf-8"?>
<comments xmlns="http://schemas.openxmlformats.org/spreadsheetml/2006/main">
  <authors>
    <author>Autor</author>
  </authors>
  <commentList>
    <comment ref="E6" authorId="0">
      <text>
        <r>
          <rPr>
            <b/>
            <sz val="9"/>
            <color indexed="81"/>
            <rFont val="Tahoma"/>
            <family val="2"/>
          </rPr>
          <t>Rgarcia:</t>
        </r>
        <r>
          <rPr>
            <sz val="9"/>
            <color indexed="81"/>
            <rFont val="Tahoma"/>
            <family val="2"/>
          </rPr>
          <t xml:space="preserve">
1190-2019 adelantamiento de cuota de 47,191 ton</t>
        </r>
      </text>
    </comment>
    <comment ref="F6" authorId="0">
      <text>
        <r>
          <rPr>
            <b/>
            <sz val="9"/>
            <color indexed="81"/>
            <rFont val="Tahoma"/>
            <family val="2"/>
          </rPr>
          <t>Autor:</t>
        </r>
        <r>
          <rPr>
            <sz val="9"/>
            <color indexed="81"/>
            <rFont val="Tahoma"/>
            <family val="2"/>
          </rPr>
          <t xml:space="preserve">
797-2019 Cesión 147,667 ton de Calbuco A Región de Los Lagos a Desris S.A.
</t>
        </r>
      </text>
    </comment>
    <comment ref="K6" authorId="0">
      <text>
        <r>
          <rPr>
            <b/>
            <sz val="9"/>
            <color indexed="81"/>
            <rFont val="Tahoma"/>
            <family val="2"/>
          </rPr>
          <t>Rgacia:</t>
        </r>
        <r>
          <rPr>
            <sz val="9"/>
            <color indexed="81"/>
            <rFont val="Tahoma"/>
            <family val="2"/>
          </rPr>
          <t xml:space="preserve">
01-03-2019 _ Cierre de Cuota  [ 668 ]
04-04-2019 _ Apertura de Cuota (56680)</t>
        </r>
      </text>
    </comment>
    <comment ref="E8" authorId="0">
      <text>
        <r>
          <rPr>
            <b/>
            <sz val="9"/>
            <color indexed="81"/>
            <rFont val="Tahoma"/>
            <family val="2"/>
          </rPr>
          <t>Rgarcia:</t>
        </r>
        <r>
          <rPr>
            <sz val="9"/>
            <color indexed="81"/>
            <rFont val="Tahoma"/>
            <family val="2"/>
          </rPr>
          <t xml:space="preserve">
690-2019 adelantamiento de cuota de 110,823 ton</t>
        </r>
      </text>
    </comment>
    <comment ref="F8" authorId="0">
      <text>
        <r>
          <rPr>
            <b/>
            <sz val="9"/>
            <color indexed="81"/>
            <rFont val="Tahoma"/>
            <family val="2"/>
          </rPr>
          <t>Autor:</t>
        </r>
        <r>
          <rPr>
            <sz val="9"/>
            <color indexed="81"/>
            <rFont val="Tahoma"/>
            <family val="2"/>
          </rPr>
          <t xml:space="preserve">
392-2019 Cesión 305,556 ton de AREA CALBUCO B Región de Los Lagos a PESQ GRIMAR</t>
        </r>
      </text>
    </comment>
    <comment ref="K14" authorId="0">
      <text>
        <r>
          <rPr>
            <b/>
            <sz val="9"/>
            <color indexed="81"/>
            <rFont val="Tahoma"/>
            <family val="2"/>
          </rPr>
          <t>rgarcia:</t>
        </r>
        <r>
          <rPr>
            <sz val="9"/>
            <color indexed="81"/>
            <rFont val="Tahoma"/>
            <family val="2"/>
          </rPr>
          <t xml:space="preserve">
30_05-2019 _R Ex 1733 Cierre de Cuota _Enero-Julio 
</t>
        </r>
      </text>
    </comment>
    <comment ref="E20" authorId="0">
      <text>
        <r>
          <rPr>
            <b/>
            <sz val="9"/>
            <color indexed="81"/>
            <rFont val="Tahoma"/>
            <family val="2"/>
          </rPr>
          <t>rgarcia::</t>
        </r>
        <r>
          <rPr>
            <sz val="9"/>
            <color indexed="81"/>
            <rFont val="Tahoma"/>
            <family val="2"/>
          </rPr>
          <t xml:space="preserve">
1717 / 07-05-019 adelantamiento de cuota de 20 ton</t>
        </r>
      </text>
    </comment>
    <comment ref="K20" authorId="0">
      <text>
        <r>
          <rPr>
            <b/>
            <sz val="9"/>
            <color indexed="81"/>
            <rFont val="Tahoma"/>
            <family val="2"/>
          </rPr>
          <t>rgarcia:</t>
        </r>
        <r>
          <rPr>
            <sz val="9"/>
            <color indexed="81"/>
            <rFont val="Tahoma"/>
            <family val="2"/>
          </rPr>
          <t xml:space="preserve">
23_04-2019 _Cierre de Cuota _Enero-Julio 2019 [1265 ]
</t>
        </r>
      </text>
    </comment>
    <comment ref="F24" authorId="0">
      <text>
        <r>
          <rPr>
            <b/>
            <sz val="9"/>
            <color indexed="81"/>
            <rFont val="Tahoma"/>
            <family val="2"/>
          </rPr>
          <t>rgarcia:</t>
        </r>
        <r>
          <rPr>
            <sz val="9"/>
            <color indexed="81"/>
            <rFont val="Tahoma"/>
            <family val="2"/>
          </rPr>
          <t xml:space="preserve">
396-2019 Cesión 106 ton de AREA PALENA Región de Los Lagos a PESQ GRIMAR</t>
        </r>
      </text>
    </comment>
    <comment ref="K24" authorId="0">
      <text>
        <r>
          <rPr>
            <b/>
            <sz val="9"/>
            <color indexed="81"/>
            <rFont val="Tahoma"/>
            <family val="2"/>
          </rPr>
          <t>rgarcia:</t>
        </r>
        <r>
          <rPr>
            <sz val="9"/>
            <color indexed="81"/>
            <rFont val="Tahoma"/>
            <family val="2"/>
          </rPr>
          <t xml:space="preserve">
13_02-2019 _Cierre de Cuota _Enero-Julio 2019 [ 497 ]
</t>
        </r>
      </text>
    </comment>
    <comment ref="E26" authorId="0">
      <text>
        <r>
          <rPr>
            <b/>
            <sz val="9"/>
            <color indexed="81"/>
            <rFont val="Tahoma"/>
            <family val="2"/>
          </rPr>
          <t>Rgarcia:</t>
        </r>
        <r>
          <rPr>
            <sz val="9"/>
            <color indexed="81"/>
            <rFont val="Tahoma"/>
            <family val="2"/>
          </rPr>
          <t xml:space="preserve">
1190-2019 adelantamiento de cuota de 94,755 ton</t>
        </r>
      </text>
    </comment>
    <comment ref="F26" authorId="0">
      <text>
        <r>
          <rPr>
            <b/>
            <sz val="9"/>
            <color indexed="81"/>
            <rFont val="Tahoma"/>
            <family val="2"/>
          </rPr>
          <t>Autor:</t>
        </r>
        <r>
          <rPr>
            <sz val="9"/>
            <color indexed="81"/>
            <rFont val="Tahoma"/>
            <family val="2"/>
          </rPr>
          <t xml:space="preserve">
811-2019 Cesión 324,448 ton de Patagonia Región de Los Lagos a Desris S.A.</t>
        </r>
      </text>
    </comment>
    <comment ref="K26" authorId="0">
      <text>
        <r>
          <rPr>
            <b/>
            <sz val="9"/>
            <color indexed="81"/>
            <rFont val="Tahoma"/>
            <family val="2"/>
          </rPr>
          <t>Autor:</t>
        </r>
        <r>
          <rPr>
            <sz val="9"/>
            <color indexed="81"/>
            <rFont val="Tahoma"/>
            <family val="2"/>
          </rPr>
          <t xml:space="preserve">
05-03-2019 _ Cierre de Cuota [ 675 ]
04-04-2019 _ Apertura de Cuota  (56681)</t>
        </r>
      </text>
    </comment>
    <comment ref="F28" authorId="0">
      <text>
        <r>
          <rPr>
            <b/>
            <sz val="9"/>
            <color indexed="81"/>
            <rFont val="Tahoma"/>
            <family val="2"/>
          </rPr>
          <t>Autor:</t>
        </r>
        <r>
          <rPr>
            <sz val="9"/>
            <color indexed="81"/>
            <rFont val="Tahoma"/>
            <family val="2"/>
          </rPr>
          <t xml:space="preserve">
1356/10-04-19  Cesión 248,690 t Merluza del sur Area Pto Montt A Región de Los Lagos a EMDEPES SA</t>
        </r>
      </text>
    </comment>
    <comment ref="K28" authorId="0">
      <text>
        <r>
          <rPr>
            <b/>
            <sz val="9"/>
            <color indexed="81"/>
            <rFont val="Tahoma"/>
            <family val="2"/>
          </rPr>
          <t>rgarcia:</t>
        </r>
        <r>
          <rPr>
            <sz val="9"/>
            <color indexed="81"/>
            <rFont val="Tahoma"/>
            <family val="2"/>
          </rPr>
          <t xml:space="preserve">
11_04-2019 _Cierre de Cuota _Enero-Julio 2019 [1188 ]
</t>
        </r>
      </text>
    </comment>
    <comment ref="K29" authorId="0">
      <text>
        <r>
          <rPr>
            <b/>
            <sz val="9"/>
            <color indexed="81"/>
            <rFont val="Tahoma"/>
            <family val="2"/>
          </rPr>
          <t>rgarcia:</t>
        </r>
        <r>
          <rPr>
            <sz val="9"/>
            <color indexed="81"/>
            <rFont val="Tahoma"/>
            <family val="2"/>
          </rPr>
          <t xml:space="preserve">
11_04-2019 _Cierre de Cuota _Enero-Julio 2019 [1188 ]
</t>
        </r>
      </text>
    </comment>
    <comment ref="E30" authorId="0">
      <text>
        <r>
          <rPr>
            <b/>
            <sz val="9"/>
            <color indexed="81"/>
            <rFont val="Tahoma"/>
            <family val="2"/>
          </rPr>
          <t>Rgarcia:</t>
        </r>
        <r>
          <rPr>
            <sz val="9"/>
            <color indexed="81"/>
            <rFont val="Tahoma"/>
            <family val="2"/>
          </rPr>
          <t xml:space="preserve">
1190-2019 adelantamiento de cuota de 101,544 ton</t>
        </r>
      </text>
    </comment>
    <comment ref="F30" authorId="0">
      <text>
        <r>
          <rPr>
            <b/>
            <sz val="9"/>
            <color indexed="81"/>
            <rFont val="Tahoma"/>
            <family val="2"/>
          </rPr>
          <t>Autor:</t>
        </r>
        <r>
          <rPr>
            <sz val="9"/>
            <color indexed="81"/>
            <rFont val="Tahoma"/>
            <family val="2"/>
          </rPr>
          <t xml:space="preserve">
797-2019 Cesión 222,222 ton de Pto. Montt B Región de Los Lagos a Desris S.A.</t>
        </r>
      </text>
    </comment>
    <comment ref="E32" authorId="0">
      <text>
        <r>
          <rPr>
            <b/>
            <sz val="9"/>
            <color indexed="81"/>
            <rFont val="Tahoma"/>
            <family val="2"/>
          </rPr>
          <t>Rgarcia:</t>
        </r>
        <r>
          <rPr>
            <sz val="9"/>
            <color indexed="81"/>
            <rFont val="Tahoma"/>
            <family val="2"/>
          </rPr>
          <t xml:space="preserve">
1190-2019 adelantamiento de cuota de 59,976 ton</t>
        </r>
      </text>
    </comment>
    <comment ref="F32" authorId="0">
      <text>
        <r>
          <rPr>
            <b/>
            <sz val="9"/>
            <color indexed="81"/>
            <rFont val="Tahoma"/>
            <family val="2"/>
          </rPr>
          <t>Autor:</t>
        </r>
        <r>
          <rPr>
            <sz val="9"/>
            <color indexed="81"/>
            <rFont val="Tahoma"/>
            <family val="2"/>
          </rPr>
          <t xml:space="preserve">
797-2019 Cesión 167,778 ton de Pto. Montt C Región de Los Lagos a Desris S.A.</t>
        </r>
      </text>
    </comment>
    <comment ref="K34" authorId="0">
      <text>
        <r>
          <rPr>
            <b/>
            <sz val="9"/>
            <color indexed="81"/>
            <rFont val="Tahoma"/>
            <family val="2"/>
          </rPr>
          <t>Autor:</t>
        </r>
        <r>
          <rPr>
            <sz val="9"/>
            <color indexed="81"/>
            <rFont val="Tahoma"/>
            <family val="2"/>
          </rPr>
          <t xml:space="preserve">
10-01-2019 _ Cierre de Cuota _Enero-Julio 2019 [ 112 ]
14-01-2019 _ Cierre de Cuota _Año 2019 [ 122 ]</t>
        </r>
      </text>
    </comment>
    <comment ref="K35" authorId="0">
      <text>
        <r>
          <rPr>
            <b/>
            <sz val="9"/>
            <color indexed="81"/>
            <rFont val="Tahoma"/>
            <family val="2"/>
          </rPr>
          <t>Autor:</t>
        </r>
        <r>
          <rPr>
            <sz val="9"/>
            <color indexed="81"/>
            <rFont val="Tahoma"/>
            <family val="2"/>
          </rPr>
          <t xml:space="preserve">
10-01-2019 _ Cierre de Cuota Merluza del sur, X Región_RESIDUAL_Enero-Julio 2019 [ 112 ]
14-01-2019 _ Cierre de Cuota Merluza del sur, X Región_BOLSON RESIDUAL_Año 2019 [ 122 ]</t>
        </r>
      </text>
    </comment>
  </commentList>
</comments>
</file>

<file path=xl/comments4.xml><?xml version="1.0" encoding="utf-8"?>
<comments xmlns="http://schemas.openxmlformats.org/spreadsheetml/2006/main">
  <authors>
    <author>Autor</author>
  </authors>
  <commentList>
    <comment ref="H16" authorId="0">
      <text>
        <r>
          <rPr>
            <b/>
            <sz val="9"/>
            <color indexed="81"/>
            <rFont val="Tahoma"/>
            <family val="2"/>
          </rPr>
          <t>Autor:</t>
        </r>
        <r>
          <rPr>
            <sz val="9"/>
            <color indexed="81"/>
            <rFont val="Tahoma"/>
            <family val="2"/>
          </rPr>
          <t xml:space="preserve">
531-2019 Cesión 50,662  ton de ORG A PESQ SUR AUSTRAL</t>
        </r>
      </text>
    </comment>
    <comment ref="M16" authorId="0">
      <text>
        <r>
          <rPr>
            <b/>
            <sz val="9"/>
            <color indexed="81"/>
            <rFont val="Tahoma"/>
            <family val="2"/>
          </rPr>
          <t>Autor:</t>
        </r>
        <r>
          <rPr>
            <sz val="9"/>
            <color indexed="81"/>
            <rFont val="Tahoma"/>
            <family val="2"/>
          </rPr>
          <t xml:space="preserve">
Cierre Ord N° 17218 </t>
        </r>
      </text>
    </comment>
    <comment ref="M17" authorId="0">
      <text>
        <r>
          <rPr>
            <b/>
            <sz val="9"/>
            <color indexed="81"/>
            <rFont val="Tahoma"/>
            <family val="2"/>
          </rPr>
          <t>Autor:</t>
        </r>
        <r>
          <rPr>
            <sz val="9"/>
            <color indexed="81"/>
            <rFont val="Tahoma"/>
            <family val="2"/>
          </rPr>
          <t xml:space="preserve">
04-03-2019_Cierre Ord 17384</t>
        </r>
      </text>
    </comment>
    <comment ref="H20" authorId="0">
      <text>
        <r>
          <rPr>
            <b/>
            <sz val="9"/>
            <color indexed="81"/>
            <rFont val="Tahoma"/>
            <family val="2"/>
          </rPr>
          <t>Autor:</t>
        </r>
        <r>
          <rPr>
            <sz val="9"/>
            <color indexed="81"/>
            <rFont val="Tahoma"/>
            <family val="2"/>
          </rPr>
          <t xml:space="preserve">
809-2019 Cesión 89,426  ton de ORG A EMDEPES SA</t>
        </r>
      </text>
    </comment>
    <comment ref="M20" authorId="0">
      <text>
        <r>
          <rPr>
            <b/>
            <sz val="9"/>
            <color indexed="81"/>
            <rFont val="Tahoma"/>
            <family val="2"/>
          </rPr>
          <t>Autor:</t>
        </r>
        <r>
          <rPr>
            <sz val="9"/>
            <color indexed="81"/>
            <rFont val="Tahoma"/>
            <family val="2"/>
          </rPr>
          <t xml:space="preserve">
Ord 17384/04-03-2019 _ Cierre de Cuota periodo</t>
        </r>
      </text>
    </comment>
    <comment ref="H22" authorId="0">
      <text>
        <r>
          <rPr>
            <b/>
            <sz val="9"/>
            <color indexed="81"/>
            <rFont val="Tahoma"/>
            <family val="2"/>
          </rPr>
          <t>Autor:</t>
        </r>
        <r>
          <rPr>
            <sz val="9"/>
            <color indexed="81"/>
            <rFont val="Tahoma"/>
            <family val="2"/>
          </rPr>
          <t xml:space="preserve">
531-2019 Cesión 59,545  ton de ORG A PESQ SUR AUSTRAL</t>
        </r>
      </text>
    </comment>
    <comment ref="M22" authorId="0">
      <text>
        <r>
          <rPr>
            <b/>
            <sz val="9"/>
            <color indexed="81"/>
            <rFont val="Tahoma"/>
            <family val="2"/>
          </rPr>
          <t>Rgarcia:
28-05-2019_R Ex 841_Cierre de cuota period</t>
        </r>
      </text>
    </comment>
    <comment ref="M24" authorId="0">
      <text>
        <r>
          <rPr>
            <b/>
            <sz val="9"/>
            <color indexed="81"/>
            <rFont val="Tahoma"/>
            <family val="2"/>
          </rPr>
          <t>Rgarcia:</t>
        </r>
        <r>
          <rPr>
            <sz val="9"/>
            <color indexed="81"/>
            <rFont val="Tahoma"/>
            <family val="2"/>
          </rPr>
          <t xml:space="preserve">
27-05-2019_ R EX 821_Cierre de cuota
28-05-2019_ R EX 839_Apertura de cuota</t>
        </r>
      </text>
    </comment>
    <comment ref="G25" authorId="0">
      <text>
        <r>
          <rPr>
            <b/>
            <sz val="9"/>
            <color indexed="81"/>
            <rFont val="Tahoma"/>
            <family val="2"/>
          </rPr>
          <t>rgarcia:</t>
        </r>
        <r>
          <rPr>
            <sz val="9"/>
            <color indexed="81"/>
            <rFont val="Tahoma"/>
            <family val="2"/>
          </rPr>
          <t xml:space="preserve">
1886 / 23-05-019 adelantamiento de cuota 13,898</t>
        </r>
      </text>
    </comment>
    <comment ref="M26" authorId="0">
      <text>
        <r>
          <rPr>
            <b/>
            <sz val="9"/>
            <color indexed="81"/>
            <rFont val="Tahoma"/>
            <family val="2"/>
          </rPr>
          <t>Rgarcia:</t>
        </r>
        <r>
          <rPr>
            <sz val="9"/>
            <color indexed="81"/>
            <rFont val="Tahoma"/>
            <family val="2"/>
          </rPr>
          <t xml:space="preserve">
03-06-2019_R Ex 847_Cierre de cuota</t>
        </r>
      </text>
    </comment>
    <comment ref="H30" authorId="0">
      <text>
        <r>
          <rPr>
            <b/>
            <sz val="9"/>
            <color indexed="81"/>
            <rFont val="Tahoma"/>
            <family val="2"/>
          </rPr>
          <t>Autor:</t>
        </r>
        <r>
          <rPr>
            <sz val="9"/>
            <color indexed="81"/>
            <rFont val="Tahoma"/>
            <family val="2"/>
          </rPr>
          <t xml:space="preserve">
531-2019 Cesión 62,183 ton de ORG A PESQ SUR AUSTRAL</t>
        </r>
      </text>
    </comment>
    <comment ref="M30" authorId="0">
      <text>
        <r>
          <rPr>
            <b/>
            <sz val="9"/>
            <color indexed="81"/>
            <rFont val="Tahoma"/>
            <family val="2"/>
          </rPr>
          <t>Autor:</t>
        </r>
        <r>
          <rPr>
            <sz val="9"/>
            <color indexed="81"/>
            <rFont val="Tahoma"/>
            <family val="2"/>
          </rPr>
          <t xml:space="preserve">
Cierre Ord N° 17218 </t>
        </r>
      </text>
    </comment>
    <comment ref="H51" authorId="0">
      <text>
        <r>
          <rPr>
            <b/>
            <sz val="9"/>
            <color indexed="81"/>
            <rFont val="Tahoma"/>
            <family val="2"/>
          </rPr>
          <t>Autor:</t>
        </r>
        <r>
          <rPr>
            <sz val="9"/>
            <color indexed="81"/>
            <rFont val="Tahoma"/>
            <family val="2"/>
          </rPr>
          <t xml:space="preserve">
532-2019 Cesión 49,031  ton de ORG A EMDEPES SA</t>
        </r>
      </text>
    </comment>
    <comment ref="H53" authorId="0">
      <text>
        <r>
          <rPr>
            <b/>
            <sz val="9"/>
            <color indexed="81"/>
            <rFont val="Tahoma"/>
            <family val="2"/>
          </rPr>
          <t>rgarcia:</t>
        </r>
        <r>
          <rPr>
            <sz val="9"/>
            <color indexed="81"/>
            <rFont val="Tahoma"/>
            <family val="2"/>
          </rPr>
          <t xml:space="preserve">
532-2019 Cesión 4,316  ton de ORG A EMDEPES SA</t>
        </r>
      </text>
    </comment>
    <comment ref="M53" authorId="0">
      <text>
        <r>
          <rPr>
            <b/>
            <sz val="9"/>
            <color indexed="81"/>
            <rFont val="Tahoma"/>
            <family val="2"/>
          </rPr>
          <t>Autor:</t>
        </r>
        <r>
          <rPr>
            <sz val="9"/>
            <color indexed="81"/>
            <rFont val="Tahoma"/>
            <family val="2"/>
          </rPr>
          <t xml:space="preserve">
Cierre Ord N° 17221 </t>
        </r>
      </text>
    </comment>
    <comment ref="H55" authorId="0">
      <text>
        <r>
          <rPr>
            <b/>
            <sz val="9"/>
            <color indexed="81"/>
            <rFont val="Tahoma"/>
            <family val="2"/>
          </rPr>
          <t>Autor:</t>
        </r>
        <r>
          <rPr>
            <sz val="9"/>
            <color indexed="81"/>
            <rFont val="Tahoma"/>
            <family val="2"/>
          </rPr>
          <t xml:space="preserve">
674-2019 Cesión 68,281 ton de ORG A A EMDEPES SA NE</t>
        </r>
      </text>
    </comment>
    <comment ref="H57" authorId="0">
      <text>
        <r>
          <rPr>
            <b/>
            <sz val="9"/>
            <color indexed="81"/>
            <rFont val="Tahoma"/>
            <family val="2"/>
          </rPr>
          <t>Autor:</t>
        </r>
        <r>
          <rPr>
            <sz val="9"/>
            <color indexed="81"/>
            <rFont val="Tahoma"/>
            <family val="2"/>
          </rPr>
          <t xml:space="preserve">
531-2019 Cesión 97,352 ton de ORG A PESQ SUR AUSTRAL</t>
        </r>
      </text>
    </comment>
    <comment ref="M57" authorId="0">
      <text>
        <r>
          <rPr>
            <b/>
            <sz val="9"/>
            <color indexed="81"/>
            <rFont val="Tahoma"/>
            <family val="2"/>
          </rPr>
          <t>rgarcia:</t>
        </r>
        <r>
          <rPr>
            <sz val="9"/>
            <color indexed="81"/>
            <rFont val="Tahoma"/>
            <family val="2"/>
          </rPr>
          <t xml:space="preserve">
Cierre Ord N° ORD  17367 / 28-02-2019
Apertura Ord N° R EX  610 / 28-04-2019</t>
        </r>
      </text>
    </comment>
    <comment ref="H59" authorId="0">
      <text>
        <r>
          <rPr>
            <b/>
            <sz val="9"/>
            <color indexed="81"/>
            <rFont val="Tahoma"/>
            <family val="2"/>
          </rPr>
          <t>Autor:</t>
        </r>
        <r>
          <rPr>
            <sz val="9"/>
            <color indexed="81"/>
            <rFont val="Tahoma"/>
            <family val="2"/>
          </rPr>
          <t xml:space="preserve">
532-2019 Cesión 67,207 ton de ORG A EMDEPES SA</t>
        </r>
      </text>
    </comment>
    <comment ref="H63" authorId="0">
      <text>
        <r>
          <rPr>
            <b/>
            <sz val="9"/>
            <color indexed="81"/>
            <rFont val="Tahoma"/>
            <family val="2"/>
          </rPr>
          <t>Autor:</t>
        </r>
        <r>
          <rPr>
            <sz val="9"/>
            <color indexed="81"/>
            <rFont val="Tahoma"/>
            <family val="2"/>
          </rPr>
          <t xml:space="preserve">
532-2019 Cesión 13,840 ton de ORG A EMDEPES SA</t>
        </r>
      </text>
    </comment>
    <comment ref="M63" authorId="0">
      <text>
        <r>
          <rPr>
            <b/>
            <sz val="9"/>
            <color indexed="81"/>
            <rFont val="Tahoma"/>
            <family val="2"/>
          </rPr>
          <t>Rgarcia:</t>
        </r>
        <r>
          <rPr>
            <sz val="9"/>
            <color indexed="81"/>
            <rFont val="Tahoma"/>
            <family val="2"/>
          </rPr>
          <t xml:space="preserve">
27-05-2019_ R EX 821_Cierre de cuota</t>
        </r>
      </text>
    </comment>
    <comment ref="H65" authorId="0">
      <text>
        <r>
          <rPr>
            <b/>
            <sz val="9"/>
            <color indexed="81"/>
            <rFont val="Tahoma"/>
            <family val="2"/>
          </rPr>
          <t>Autor:</t>
        </r>
        <r>
          <rPr>
            <sz val="9"/>
            <color indexed="81"/>
            <rFont val="Tahoma"/>
            <family val="2"/>
          </rPr>
          <t xml:space="preserve">
532-2019 Cesión 66,110 ton de ORG A EMDEPES SA</t>
        </r>
      </text>
    </comment>
    <comment ref="M65" authorId="0">
      <text>
        <r>
          <rPr>
            <b/>
            <sz val="9"/>
            <color indexed="81"/>
            <rFont val="Tahoma"/>
            <family val="2"/>
          </rPr>
          <t>Autor:</t>
        </r>
        <r>
          <rPr>
            <sz val="9"/>
            <color indexed="81"/>
            <rFont val="Tahoma"/>
            <family val="2"/>
          </rPr>
          <t xml:space="preserve">
Cierre Ord N° 17221 </t>
        </r>
      </text>
    </comment>
    <comment ref="H67" authorId="0">
      <text>
        <r>
          <rPr>
            <b/>
            <sz val="9"/>
            <color indexed="81"/>
            <rFont val="Tahoma"/>
            <family val="2"/>
          </rPr>
          <t>Autor:</t>
        </r>
        <r>
          <rPr>
            <sz val="9"/>
            <color indexed="81"/>
            <rFont val="Tahoma"/>
            <family val="2"/>
          </rPr>
          <t xml:space="preserve">
532-2019 Cesión 13,840 ton de ORG A EMDEPES SA</t>
        </r>
      </text>
    </comment>
    <comment ref="M67" authorId="0">
      <text>
        <r>
          <rPr>
            <b/>
            <sz val="9"/>
            <color indexed="81"/>
            <rFont val="Tahoma"/>
            <family val="2"/>
          </rPr>
          <t>Autor:</t>
        </r>
        <r>
          <rPr>
            <sz val="9"/>
            <color indexed="81"/>
            <rFont val="Tahoma"/>
            <family val="2"/>
          </rPr>
          <t xml:space="preserve">
Cierre Ord N° 17221 </t>
        </r>
      </text>
    </comment>
    <comment ref="H69" authorId="0">
      <text>
        <r>
          <rPr>
            <b/>
            <sz val="9"/>
            <color indexed="81"/>
            <rFont val="Tahoma"/>
            <family val="2"/>
          </rPr>
          <t>Autor:</t>
        </r>
        <r>
          <rPr>
            <sz val="9"/>
            <color indexed="81"/>
            <rFont val="Tahoma"/>
            <family val="2"/>
          </rPr>
          <t xml:space="preserve">
532-2019 Cesión 54,294 ton de ORG A EMDEPES SA</t>
        </r>
      </text>
    </comment>
    <comment ref="M69" authorId="0">
      <text>
        <r>
          <rPr>
            <b/>
            <sz val="9"/>
            <color indexed="81"/>
            <rFont val="Tahoma"/>
            <family val="2"/>
          </rPr>
          <t>Autor:</t>
        </r>
        <r>
          <rPr>
            <sz val="9"/>
            <color indexed="81"/>
            <rFont val="Tahoma"/>
            <family val="2"/>
          </rPr>
          <t xml:space="preserve">
Cierre Ord N° 17221 </t>
        </r>
      </text>
    </comment>
    <comment ref="H71" authorId="0">
      <text>
        <r>
          <rPr>
            <b/>
            <sz val="9"/>
            <color indexed="81"/>
            <rFont val="Tahoma"/>
            <family val="2"/>
          </rPr>
          <t>Autor:</t>
        </r>
        <r>
          <rPr>
            <sz val="9"/>
            <color indexed="81"/>
            <rFont val="Tahoma"/>
            <family val="2"/>
          </rPr>
          <t xml:space="preserve">
532-2019 Cesión 13,997 ton de ORG A EMDEPES SA</t>
        </r>
      </text>
    </comment>
    <comment ref="M71" authorId="0">
      <text>
        <r>
          <rPr>
            <b/>
            <sz val="9"/>
            <color indexed="81"/>
            <rFont val="Tahoma"/>
            <family val="2"/>
          </rPr>
          <t>Autor:</t>
        </r>
        <r>
          <rPr>
            <sz val="9"/>
            <color indexed="81"/>
            <rFont val="Tahoma"/>
            <family val="2"/>
          </rPr>
          <t xml:space="preserve">
Cierre Ord N° 17221 </t>
        </r>
      </text>
    </comment>
    <comment ref="H73" authorId="0">
      <text>
        <r>
          <rPr>
            <b/>
            <sz val="9"/>
            <color indexed="81"/>
            <rFont val="Tahoma"/>
            <family val="2"/>
          </rPr>
          <t>Autor:</t>
        </r>
        <r>
          <rPr>
            <sz val="9"/>
            <color indexed="81"/>
            <rFont val="Tahoma"/>
            <family val="2"/>
          </rPr>
          <t xml:space="preserve">
532-2019 Cesión 24,238 ton de ORG A EMDEPES SA</t>
        </r>
      </text>
    </comment>
    <comment ref="H75" authorId="0">
      <text>
        <r>
          <rPr>
            <b/>
            <sz val="9"/>
            <color indexed="81"/>
            <rFont val="Tahoma"/>
            <family val="2"/>
          </rPr>
          <t>Autor:</t>
        </r>
        <r>
          <rPr>
            <sz val="9"/>
            <color indexed="81"/>
            <rFont val="Tahoma"/>
            <family val="2"/>
          </rPr>
          <t xml:space="preserve">
675-2019 Cesión 10,192 ton de ORG A EMDEPES SA</t>
        </r>
      </text>
    </comment>
    <comment ref="M75" authorId="0">
      <text>
        <r>
          <rPr>
            <b/>
            <sz val="9"/>
            <color indexed="81"/>
            <rFont val="Tahoma"/>
            <family val="2"/>
          </rPr>
          <t>rgarcia:</t>
        </r>
        <r>
          <rPr>
            <sz val="9"/>
            <color indexed="81"/>
            <rFont val="Tahoma"/>
            <family val="2"/>
          </rPr>
          <t xml:space="preserve">
Cierre Ord N° ORD  17368 / 28-02-2019
Apertura  R EX  610 / 28-04-2019</t>
        </r>
      </text>
    </comment>
    <comment ref="H77" authorId="0">
      <text>
        <r>
          <rPr>
            <b/>
            <sz val="9"/>
            <color indexed="81"/>
            <rFont val="Tahoma"/>
            <family val="2"/>
          </rPr>
          <t>rgarcia:</t>
        </r>
        <r>
          <rPr>
            <sz val="9"/>
            <color indexed="81"/>
            <rFont val="Tahoma"/>
            <family val="2"/>
          </rPr>
          <t xml:space="preserve">
1464-2019 Cesión -10,819  ton de ORG-XI a GRIMAR SA</t>
        </r>
      </text>
    </comment>
    <comment ref="M77" authorId="0">
      <text>
        <r>
          <rPr>
            <b/>
            <sz val="9"/>
            <color indexed="81"/>
            <rFont val="Tahoma"/>
            <family val="2"/>
          </rPr>
          <t>rgarcia:</t>
        </r>
        <r>
          <rPr>
            <sz val="9"/>
            <color indexed="81"/>
            <rFont val="Tahoma"/>
            <family val="2"/>
          </rPr>
          <t xml:space="preserve">
Cierre Ord N° R EX 609 / 18-04-2019</t>
        </r>
      </text>
    </comment>
    <comment ref="M78" authorId="0">
      <text>
        <r>
          <rPr>
            <b/>
            <sz val="9"/>
            <color indexed="81"/>
            <rFont val="Tahoma"/>
            <family val="2"/>
          </rPr>
          <t>rgarcia:</t>
        </r>
        <r>
          <rPr>
            <sz val="9"/>
            <color indexed="81"/>
            <rFont val="Tahoma"/>
            <family val="2"/>
          </rPr>
          <t xml:space="preserve">
Cierre Ord N° R EX 609 / 18-04-2019</t>
        </r>
      </text>
    </comment>
    <comment ref="G79" authorId="0">
      <text>
        <r>
          <rPr>
            <b/>
            <sz val="9"/>
            <color indexed="81"/>
            <rFont val="Tahoma"/>
            <family val="2"/>
          </rPr>
          <t>rgarcia:</t>
        </r>
        <r>
          <rPr>
            <sz val="9"/>
            <color indexed="81"/>
            <rFont val="Tahoma"/>
            <family val="2"/>
          </rPr>
          <t xml:space="preserve">
1531-19.Modifica Res. Ex. N° 3-2019. Adelantamiento cuota </t>
        </r>
      </text>
    </comment>
    <comment ref="H79" authorId="0">
      <text>
        <r>
          <rPr>
            <b/>
            <sz val="9"/>
            <color indexed="81"/>
            <rFont val="Tahoma"/>
            <family val="2"/>
          </rPr>
          <t>Autor:</t>
        </r>
        <r>
          <rPr>
            <sz val="9"/>
            <color indexed="81"/>
            <rFont val="Tahoma"/>
            <family val="2"/>
          </rPr>
          <t xml:space="preserve">
532-2019 Cesión 22,302 ton de ORG A EMDEPES SA</t>
        </r>
      </text>
    </comment>
    <comment ref="H88" authorId="0">
      <text>
        <r>
          <rPr>
            <b/>
            <sz val="9"/>
            <color indexed="81"/>
            <rFont val="Tahoma"/>
            <family val="2"/>
          </rPr>
          <t>Autor:</t>
        </r>
        <r>
          <rPr>
            <sz val="9"/>
            <color indexed="81"/>
            <rFont val="Tahoma"/>
            <family val="2"/>
          </rPr>
          <t xml:space="preserve">
531-2019 Cesión 40,854 ton de ORG A PESQ SUR AUSTRAL</t>
        </r>
      </text>
    </comment>
    <comment ref="M88" authorId="0">
      <text>
        <r>
          <rPr>
            <b/>
            <sz val="9"/>
            <color indexed="81"/>
            <rFont val="Tahoma"/>
            <family val="2"/>
          </rPr>
          <t>Autor:</t>
        </r>
        <r>
          <rPr>
            <sz val="9"/>
            <color indexed="81"/>
            <rFont val="Tahoma"/>
            <family val="2"/>
          </rPr>
          <t xml:space="preserve">
Cierre Ord N° 17218 </t>
        </r>
      </text>
    </comment>
    <comment ref="H90" authorId="0">
      <text>
        <r>
          <rPr>
            <b/>
            <sz val="9"/>
            <color indexed="81"/>
            <rFont val="Tahoma"/>
            <family val="2"/>
          </rPr>
          <t>Autor:</t>
        </r>
        <r>
          <rPr>
            <sz val="9"/>
            <color indexed="81"/>
            <rFont val="Tahoma"/>
            <family val="2"/>
          </rPr>
          <t xml:space="preserve">
531-2019 Cesión 46,205 ton de ORG A PESQ SUR AUSTRAL</t>
        </r>
      </text>
    </comment>
    <comment ref="M90" authorId="0">
      <text>
        <r>
          <rPr>
            <b/>
            <sz val="9"/>
            <color indexed="81"/>
            <rFont val="Tahoma"/>
            <family val="2"/>
          </rPr>
          <t>Autor:</t>
        </r>
        <r>
          <rPr>
            <sz val="9"/>
            <color indexed="81"/>
            <rFont val="Tahoma"/>
            <family val="2"/>
          </rPr>
          <t xml:space="preserve">
Cierre Ord N° 17218 </t>
        </r>
      </text>
    </comment>
    <comment ref="H92" authorId="0">
      <text>
        <r>
          <rPr>
            <b/>
            <sz val="9"/>
            <color indexed="81"/>
            <rFont val="Tahoma"/>
            <family val="2"/>
          </rPr>
          <t>Autor:</t>
        </r>
        <r>
          <rPr>
            <sz val="9"/>
            <color indexed="81"/>
            <rFont val="Tahoma"/>
            <family val="2"/>
          </rPr>
          <t xml:space="preserve">
532-2019 Cesión 5,133
 ton de ORG A A EMDEPES SA</t>
        </r>
      </text>
    </comment>
    <comment ref="M92" authorId="0">
      <text>
        <r>
          <rPr>
            <b/>
            <sz val="9"/>
            <color indexed="81"/>
            <rFont val="Tahoma"/>
            <family val="2"/>
          </rPr>
          <t>Autor:</t>
        </r>
        <r>
          <rPr>
            <sz val="9"/>
            <color indexed="81"/>
            <rFont val="Tahoma"/>
            <family val="2"/>
          </rPr>
          <t xml:space="preserve">
Cierre Ord N° 17221 </t>
        </r>
      </text>
    </comment>
    <comment ref="H94" authorId="0">
      <text>
        <r>
          <rPr>
            <b/>
            <sz val="9"/>
            <color indexed="81"/>
            <rFont val="Tahoma"/>
            <family val="2"/>
          </rPr>
          <t>Autor:</t>
        </r>
        <r>
          <rPr>
            <sz val="9"/>
            <color indexed="81"/>
            <rFont val="Tahoma"/>
            <family val="2"/>
          </rPr>
          <t xml:space="preserve">
532-2019 Cesión 79,788 ton de ORG A A EMDEPES SA</t>
        </r>
      </text>
    </comment>
    <comment ref="M94" authorId="0">
      <text>
        <r>
          <rPr>
            <b/>
            <sz val="9"/>
            <color indexed="81"/>
            <rFont val="Tahoma"/>
            <family val="2"/>
          </rPr>
          <t>Autor:</t>
        </r>
        <r>
          <rPr>
            <sz val="9"/>
            <color indexed="81"/>
            <rFont val="Tahoma"/>
            <family val="2"/>
          </rPr>
          <t xml:space="preserve">
Cierre Ord N° 17221 </t>
        </r>
      </text>
    </comment>
    <comment ref="H96" authorId="0">
      <text>
        <r>
          <rPr>
            <b/>
            <sz val="9"/>
            <color indexed="81"/>
            <rFont val="Tahoma"/>
            <family val="2"/>
          </rPr>
          <t>Autor:</t>
        </r>
        <r>
          <rPr>
            <sz val="9"/>
            <color indexed="81"/>
            <rFont val="Tahoma"/>
            <family val="2"/>
          </rPr>
          <t xml:space="preserve">
809-2019 Cesión 31,515  ton de ORG A EMDEPES SA</t>
        </r>
      </text>
    </comment>
    <comment ref="M96" authorId="0">
      <text>
        <r>
          <rPr>
            <b/>
            <sz val="9"/>
            <color indexed="81"/>
            <rFont val="Tahoma"/>
            <family val="2"/>
          </rPr>
          <t>Autor:</t>
        </r>
        <r>
          <rPr>
            <sz val="9"/>
            <color indexed="81"/>
            <rFont val="Tahoma"/>
            <family val="2"/>
          </rPr>
          <t xml:space="preserve">
04-03-2019 _ Cierre de Cuota Merluza del sur, XI Región_Organizaciones que indica_Año 2019 [ 17385 ]</t>
        </r>
      </text>
    </comment>
    <comment ref="M100" authorId="0">
      <text>
        <r>
          <rPr>
            <b/>
            <sz val="9"/>
            <color indexed="81"/>
            <rFont val="Tahoma"/>
            <family val="2"/>
          </rPr>
          <t>Rgarcia</t>
        </r>
        <r>
          <rPr>
            <sz val="9"/>
            <color indexed="81"/>
            <rFont val="Tahoma"/>
            <family val="2"/>
          </rPr>
          <t xml:space="preserve">
28-05-2019_R Ex 841_Cierre de cuota periodo
</t>
        </r>
      </text>
    </comment>
    <comment ref="H102" authorId="0">
      <text>
        <r>
          <rPr>
            <b/>
            <sz val="9"/>
            <color indexed="81"/>
            <rFont val="Tahoma"/>
            <family val="2"/>
          </rPr>
          <t>Autor:</t>
        </r>
        <r>
          <rPr>
            <sz val="9"/>
            <color indexed="81"/>
            <rFont val="Tahoma"/>
            <family val="2"/>
          </rPr>
          <t xml:space="preserve">
532-2019 Cesión 49,481 ton de ORG A A EMDEPES SA</t>
        </r>
      </text>
    </comment>
    <comment ref="G104" authorId="0">
      <text>
        <r>
          <rPr>
            <b/>
            <sz val="9"/>
            <color indexed="81"/>
            <rFont val="Tahoma"/>
            <family val="2"/>
          </rPr>
          <t>rgarcia:</t>
        </r>
        <r>
          <rPr>
            <sz val="9"/>
            <color indexed="81"/>
            <rFont val="Tahoma"/>
            <family val="2"/>
          </rPr>
          <t xml:space="preserve">
1102-19.Modifica Res. Ex. N° 3-2019. Adelantamiento cuota </t>
        </r>
      </text>
    </comment>
    <comment ref="H104" authorId="0">
      <text>
        <r>
          <rPr>
            <b/>
            <sz val="9"/>
            <color indexed="81"/>
            <rFont val="Tahoma"/>
            <family val="2"/>
          </rPr>
          <t>Autor:</t>
        </r>
        <r>
          <rPr>
            <sz val="9"/>
            <color indexed="81"/>
            <rFont val="Tahoma"/>
            <family val="2"/>
          </rPr>
          <t xml:space="preserve">
809-2019 Cesión 50,126  ton de ORG A EMDEPES SA</t>
        </r>
      </text>
    </comment>
    <comment ref="M104" authorId="0">
      <text>
        <r>
          <rPr>
            <b/>
            <sz val="9"/>
            <color indexed="81"/>
            <rFont val="Tahoma"/>
            <family val="2"/>
          </rPr>
          <t xml:space="preserve">Rgarcia:
</t>
        </r>
        <r>
          <rPr>
            <sz val="9"/>
            <color indexed="81"/>
            <rFont val="Tahoma"/>
            <family val="2"/>
          </rPr>
          <t>Cierre</t>
        </r>
        <r>
          <rPr>
            <b/>
            <sz val="9"/>
            <color indexed="81"/>
            <rFont val="Tahoma"/>
            <family val="2"/>
          </rPr>
          <t xml:space="preserve"> </t>
        </r>
        <r>
          <rPr>
            <sz val="9"/>
            <color indexed="81"/>
            <rFont val="Tahoma"/>
            <family val="2"/>
          </rPr>
          <t>Ord 17384 /</t>
        </r>
        <r>
          <rPr>
            <b/>
            <sz val="9"/>
            <color indexed="81"/>
            <rFont val="Tahoma"/>
            <family val="2"/>
          </rPr>
          <t xml:space="preserve"> </t>
        </r>
        <r>
          <rPr>
            <sz val="9"/>
            <color indexed="81"/>
            <rFont val="Tahoma"/>
            <family val="2"/>
          </rPr>
          <t>04-03-2019_Enero-Julio 2019 
Apertura Ord 17535  / 01-04-2019 _Enero-Julio 2019</t>
        </r>
      </text>
    </comment>
    <comment ref="M106" authorId="0">
      <text>
        <r>
          <rPr>
            <b/>
            <sz val="9"/>
            <color indexed="81"/>
            <rFont val="Tahoma"/>
            <family val="2"/>
          </rPr>
          <t>Autor:</t>
        </r>
        <r>
          <rPr>
            <sz val="9"/>
            <color indexed="81"/>
            <rFont val="Tahoma"/>
            <family val="2"/>
          </rPr>
          <t xml:space="preserve">
24-05-2019_Cierre R Ex 820</t>
        </r>
      </text>
    </comment>
    <comment ref="H108" authorId="0">
      <text>
        <r>
          <rPr>
            <b/>
            <sz val="9"/>
            <color indexed="81"/>
            <rFont val="Tahoma"/>
            <family val="2"/>
          </rPr>
          <t>Autor:</t>
        </r>
        <r>
          <rPr>
            <sz val="9"/>
            <color indexed="81"/>
            <rFont val="Tahoma"/>
            <family val="2"/>
          </rPr>
          <t xml:space="preserve">
532-2019 Cesión 17,854 ton de ORG A A EMDEPES SA</t>
        </r>
      </text>
    </comment>
    <comment ref="M108" authorId="0">
      <text>
        <r>
          <rPr>
            <b/>
            <sz val="9"/>
            <color indexed="81"/>
            <rFont val="Tahoma"/>
            <family val="2"/>
          </rPr>
          <t>Autor:</t>
        </r>
        <r>
          <rPr>
            <sz val="9"/>
            <color indexed="81"/>
            <rFont val="Tahoma"/>
            <family val="2"/>
          </rPr>
          <t xml:space="preserve">
Cierre Ord N° 17221 </t>
        </r>
      </text>
    </comment>
    <comment ref="H110" authorId="0">
      <text>
        <r>
          <rPr>
            <b/>
            <sz val="9"/>
            <color indexed="81"/>
            <rFont val="Tahoma"/>
            <family val="2"/>
          </rPr>
          <t>Autor:</t>
        </r>
        <r>
          <rPr>
            <sz val="9"/>
            <color indexed="81"/>
            <rFont val="Tahoma"/>
            <family val="2"/>
          </rPr>
          <t xml:space="preserve">
532-2019 Cesión 49,556 ton de ORG A A EMDEPES SA</t>
        </r>
      </text>
    </comment>
    <comment ref="M110" authorId="0">
      <text>
        <r>
          <rPr>
            <b/>
            <sz val="9"/>
            <color indexed="81"/>
            <rFont val="Tahoma"/>
            <family val="2"/>
          </rPr>
          <t>Autor:</t>
        </r>
        <r>
          <rPr>
            <sz val="9"/>
            <color indexed="81"/>
            <rFont val="Tahoma"/>
            <family val="2"/>
          </rPr>
          <t xml:space="preserve">
Cierre Ord N° 17221 </t>
        </r>
      </text>
    </comment>
    <comment ref="H112" authorId="0">
      <text>
        <r>
          <rPr>
            <b/>
            <sz val="9"/>
            <color indexed="81"/>
            <rFont val="Tahoma"/>
            <family val="2"/>
          </rPr>
          <t>Autor:</t>
        </r>
        <r>
          <rPr>
            <sz val="9"/>
            <color indexed="81"/>
            <rFont val="Tahoma"/>
            <family val="2"/>
          </rPr>
          <t xml:space="preserve">
531-2019 Cesión 34,481 ton de ORG A PESQ SUR AUSTRAL</t>
        </r>
      </text>
    </comment>
    <comment ref="M112" authorId="0">
      <text>
        <r>
          <rPr>
            <b/>
            <sz val="9"/>
            <color indexed="81"/>
            <rFont val="Tahoma"/>
            <family val="2"/>
          </rPr>
          <t>Autor:</t>
        </r>
        <r>
          <rPr>
            <sz val="9"/>
            <color indexed="81"/>
            <rFont val="Tahoma"/>
            <family val="2"/>
          </rPr>
          <t xml:space="preserve">
Cierre Ord N° 17218 </t>
        </r>
      </text>
    </comment>
    <comment ref="H114" authorId="0">
      <text>
        <r>
          <rPr>
            <b/>
            <sz val="9"/>
            <color indexed="81"/>
            <rFont val="Tahoma"/>
            <family val="2"/>
          </rPr>
          <t>Autor:</t>
        </r>
        <r>
          <rPr>
            <sz val="9"/>
            <color indexed="81"/>
            <rFont val="Tahoma"/>
            <family val="2"/>
          </rPr>
          <t xml:space="preserve">
532-2019 Cesión 75,880 ton de ORG A A EMDEPES SA</t>
        </r>
      </text>
    </comment>
    <comment ref="M114" authorId="0">
      <text>
        <r>
          <rPr>
            <b/>
            <sz val="9"/>
            <color indexed="81"/>
            <rFont val="Tahoma"/>
            <family val="2"/>
          </rPr>
          <t>Autor:</t>
        </r>
        <r>
          <rPr>
            <sz val="9"/>
            <color indexed="81"/>
            <rFont val="Tahoma"/>
            <family val="2"/>
          </rPr>
          <t xml:space="preserve">
Cierre Ord N° 17221 </t>
        </r>
      </text>
    </comment>
    <comment ref="H116" authorId="0">
      <text>
        <r>
          <rPr>
            <b/>
            <sz val="9"/>
            <color indexed="81"/>
            <rFont val="Tahoma"/>
            <family val="2"/>
          </rPr>
          <t>Autor:</t>
        </r>
        <r>
          <rPr>
            <sz val="9"/>
            <color indexed="81"/>
            <rFont val="Tahoma"/>
            <family val="2"/>
          </rPr>
          <t xml:space="preserve">
531-2019 Cesión 93,687 ton de ORG A PESQ SUR AUSTRAL</t>
        </r>
      </text>
    </comment>
    <comment ref="H120" authorId="0">
      <text>
        <r>
          <rPr>
            <b/>
            <sz val="9"/>
            <color indexed="81"/>
            <rFont val="Tahoma"/>
            <family val="2"/>
          </rPr>
          <t>Autor:</t>
        </r>
        <r>
          <rPr>
            <sz val="9"/>
            <color indexed="81"/>
            <rFont val="Tahoma"/>
            <family val="2"/>
          </rPr>
          <t xml:space="preserve">
532-2019 Cesión 44,368 Ton de ORG A A EMDEPES SA
687-2019 Cesión 5,222 Ton de ORG A A EMDEPES SA</t>
        </r>
      </text>
    </comment>
    <comment ref="H122" authorId="0">
      <text>
        <r>
          <rPr>
            <b/>
            <sz val="9"/>
            <color indexed="81"/>
            <rFont val="Tahoma"/>
            <family val="2"/>
          </rPr>
          <t>Autor:</t>
        </r>
        <r>
          <rPr>
            <sz val="9"/>
            <color indexed="81"/>
            <rFont val="Tahoma"/>
            <family val="2"/>
          </rPr>
          <t xml:space="preserve">
442-2019 Cesión 108,840 ton de ORGANIZACIONES Región de AISEN  a PESQ GRIMAR</t>
        </r>
      </text>
    </comment>
    <comment ref="M122" authorId="0">
      <text>
        <r>
          <rPr>
            <b/>
            <sz val="9"/>
            <color indexed="81"/>
            <rFont val="Tahoma"/>
            <family val="2"/>
          </rPr>
          <t>Rgarcia</t>
        </r>
        <r>
          <rPr>
            <sz val="9"/>
            <color indexed="81"/>
            <rFont val="Tahoma"/>
            <family val="2"/>
          </rPr>
          <t xml:space="preserve">
03-06-2019_R Ex 847_Cierre de cuota año</t>
        </r>
      </text>
    </comment>
    <comment ref="H124" authorId="0">
      <text>
        <r>
          <rPr>
            <b/>
            <sz val="9"/>
            <color indexed="81"/>
            <rFont val="Tahoma"/>
            <family val="2"/>
          </rPr>
          <t>Autor:</t>
        </r>
        <r>
          <rPr>
            <sz val="9"/>
            <color indexed="81"/>
            <rFont val="Tahoma"/>
            <family val="2"/>
          </rPr>
          <t xml:space="preserve">
442-2019 Cesión 46,652 ton de ORGANIZACIONES Región de AISEN  a PESQ GRIMAR</t>
        </r>
      </text>
    </comment>
    <comment ref="M124" authorId="0">
      <text>
        <r>
          <rPr>
            <b/>
            <sz val="9"/>
            <color indexed="81"/>
            <rFont val="Tahoma"/>
            <family val="2"/>
          </rPr>
          <t>Rgarcia:</t>
        </r>
        <r>
          <rPr>
            <sz val="9"/>
            <color indexed="81"/>
            <rFont val="Tahoma"/>
            <family val="2"/>
          </rPr>
          <t xml:space="preserve">
Cierre año Ord N° 17585</t>
        </r>
      </text>
    </comment>
    <comment ref="H126" authorId="0">
      <text>
        <r>
          <rPr>
            <b/>
            <sz val="9"/>
            <color indexed="81"/>
            <rFont val="Tahoma"/>
            <family val="2"/>
          </rPr>
          <t>Autor:</t>
        </r>
        <r>
          <rPr>
            <sz val="9"/>
            <color indexed="81"/>
            <rFont val="Tahoma"/>
            <family val="2"/>
          </rPr>
          <t xml:space="preserve">
532-2019 Cesión 86,635 ton de ORG A A EMDEPES SA</t>
        </r>
      </text>
    </comment>
    <comment ref="M126" authorId="0">
      <text>
        <r>
          <rPr>
            <b/>
            <sz val="9"/>
            <color indexed="81"/>
            <rFont val="Tahoma"/>
            <family val="2"/>
          </rPr>
          <t>Autor:</t>
        </r>
        <r>
          <rPr>
            <sz val="9"/>
            <color indexed="81"/>
            <rFont val="Tahoma"/>
            <family val="2"/>
          </rPr>
          <t xml:space="preserve">
Cierre Ord N° 17221 </t>
        </r>
      </text>
    </comment>
    <comment ref="M128" authorId="0">
      <text>
        <r>
          <rPr>
            <b/>
            <sz val="9"/>
            <color indexed="81"/>
            <rFont val="Tahoma"/>
            <family val="2"/>
          </rPr>
          <t>Autor:</t>
        </r>
        <r>
          <rPr>
            <sz val="9"/>
            <color indexed="81"/>
            <rFont val="Tahoma"/>
            <family val="2"/>
          </rPr>
          <t xml:space="preserve">
27-05-2019_ R EX 821_Cierre de cuota</t>
        </r>
      </text>
    </comment>
    <comment ref="H130" authorId="0">
      <text>
        <r>
          <rPr>
            <b/>
            <sz val="9"/>
            <color indexed="81"/>
            <rFont val="Tahoma"/>
            <family val="2"/>
          </rPr>
          <t>Autor:</t>
        </r>
        <r>
          <rPr>
            <sz val="9"/>
            <color indexed="81"/>
            <rFont val="Tahoma"/>
            <family val="2"/>
          </rPr>
          <t xml:space="preserve">
532-2019 Cesión 9,427 ton de ORG A A EMDEPES SA</t>
        </r>
      </text>
    </comment>
    <comment ref="M130" authorId="0">
      <text>
        <r>
          <rPr>
            <b/>
            <sz val="9"/>
            <color indexed="81"/>
            <rFont val="Tahoma"/>
            <family val="2"/>
          </rPr>
          <t>Autor:</t>
        </r>
        <r>
          <rPr>
            <sz val="9"/>
            <color indexed="81"/>
            <rFont val="Tahoma"/>
            <family val="2"/>
          </rPr>
          <t xml:space="preserve">
Cierre Ord N° 17221 </t>
        </r>
      </text>
    </comment>
    <comment ref="H132" authorId="0">
      <text>
        <r>
          <rPr>
            <b/>
            <sz val="9"/>
            <color indexed="81"/>
            <rFont val="Tahoma"/>
            <family val="2"/>
          </rPr>
          <t>Autor:</t>
        </r>
        <r>
          <rPr>
            <sz val="9"/>
            <color indexed="81"/>
            <rFont val="Tahoma"/>
            <family val="2"/>
          </rPr>
          <t xml:space="preserve">
809-2019 Cesión 2,440  ton de ORG A EMDEPES SA</t>
        </r>
      </text>
    </comment>
    <comment ref="M132" authorId="0">
      <text>
        <r>
          <rPr>
            <b/>
            <sz val="9"/>
            <color indexed="81"/>
            <rFont val="Tahoma"/>
            <family val="2"/>
          </rPr>
          <t>Autor:</t>
        </r>
        <r>
          <rPr>
            <sz val="9"/>
            <color indexed="81"/>
            <rFont val="Tahoma"/>
            <family val="2"/>
          </rPr>
          <t xml:space="preserve">
04-03-2019 _ Cierre de Cuota Merluza del sur, XI Región_Organizaciones que indica_Año 2019 [ 17385 ]</t>
        </r>
      </text>
    </comment>
    <comment ref="H134" authorId="0">
      <text>
        <r>
          <rPr>
            <b/>
            <sz val="9"/>
            <color indexed="81"/>
            <rFont val="Tahoma"/>
            <family val="2"/>
          </rPr>
          <t>Autor:</t>
        </r>
        <r>
          <rPr>
            <sz val="9"/>
            <color indexed="81"/>
            <rFont val="Tahoma"/>
            <family val="2"/>
          </rPr>
          <t xml:space="preserve">
1096-28-03-19 Cesión 15,924 ton de ORGANIZACIONES Región de AISEN  a PESQ SUR AUSTRAL</t>
        </r>
      </text>
    </comment>
    <comment ref="M134" authorId="0">
      <text>
        <r>
          <rPr>
            <b/>
            <sz val="9"/>
            <color indexed="81"/>
            <rFont val="Tahoma"/>
            <family val="2"/>
          </rPr>
          <t>Autor:</t>
        </r>
        <r>
          <rPr>
            <sz val="9"/>
            <color indexed="81"/>
            <rFont val="Tahoma"/>
            <family val="2"/>
          </rPr>
          <t xml:space="preserve">
Cierre Ord N° 17536 /01-04-2019</t>
        </r>
      </text>
    </comment>
    <comment ref="H136" authorId="0">
      <text>
        <r>
          <rPr>
            <b/>
            <sz val="9"/>
            <color indexed="81"/>
            <rFont val="Tahoma"/>
            <family val="2"/>
          </rPr>
          <t>Autor:</t>
        </r>
        <r>
          <rPr>
            <sz val="9"/>
            <color indexed="81"/>
            <rFont val="Tahoma"/>
            <family val="2"/>
          </rPr>
          <t xml:space="preserve">
532-2019 Cesión 7,728  ton de ORG A A EMDEPES SA</t>
        </r>
      </text>
    </comment>
    <comment ref="M136" authorId="0">
      <text>
        <r>
          <rPr>
            <b/>
            <sz val="9"/>
            <color indexed="81"/>
            <rFont val="Tahoma"/>
            <family val="2"/>
          </rPr>
          <t>Autor:</t>
        </r>
        <r>
          <rPr>
            <sz val="9"/>
            <color indexed="81"/>
            <rFont val="Tahoma"/>
            <family val="2"/>
          </rPr>
          <t xml:space="preserve">
Cierre Ord N° 17221 </t>
        </r>
      </text>
    </comment>
    <comment ref="H138" authorId="0">
      <text>
        <r>
          <rPr>
            <b/>
            <sz val="9"/>
            <color indexed="81"/>
            <rFont val="Tahoma"/>
            <family val="2"/>
          </rPr>
          <t>Autor:</t>
        </r>
        <r>
          <rPr>
            <sz val="9"/>
            <color indexed="81"/>
            <rFont val="Tahoma"/>
            <family val="2"/>
          </rPr>
          <t xml:space="preserve">
531-2019 Cesión 73,206 ton de ORG A PESQ SUR AUSTRAL</t>
        </r>
      </text>
    </comment>
    <comment ref="M138" authorId="0">
      <text>
        <r>
          <rPr>
            <b/>
            <sz val="9"/>
            <color indexed="81"/>
            <rFont val="Tahoma"/>
            <family val="2"/>
          </rPr>
          <t>Autor:</t>
        </r>
        <r>
          <rPr>
            <sz val="9"/>
            <color indexed="81"/>
            <rFont val="Tahoma"/>
            <family val="2"/>
          </rPr>
          <t xml:space="preserve">
Cierre Ord N° 17218 </t>
        </r>
      </text>
    </comment>
    <comment ref="G140" authorId="0">
      <text>
        <r>
          <rPr>
            <b/>
            <sz val="9"/>
            <color indexed="81"/>
            <rFont val="Tahoma"/>
            <family val="2"/>
          </rPr>
          <t>Autor:</t>
        </r>
        <r>
          <rPr>
            <sz val="9"/>
            <color indexed="81"/>
            <rFont val="Tahoma"/>
            <family val="2"/>
          </rPr>
          <t xml:space="preserve">
1811-19.Modifica Res. Ex. N° 3-2019. Adelantamiento cuota </t>
        </r>
      </text>
    </comment>
    <comment ref="H140" authorId="0">
      <text>
        <r>
          <rPr>
            <b/>
            <sz val="9"/>
            <color indexed="81"/>
            <rFont val="Tahoma"/>
            <family val="2"/>
          </rPr>
          <t>Autor:</t>
        </r>
        <r>
          <rPr>
            <sz val="9"/>
            <color indexed="81"/>
            <rFont val="Tahoma"/>
            <family val="2"/>
          </rPr>
          <t xml:space="preserve">
532-2019 Cesión 5 ton de ORG A A EMDEPES SA</t>
        </r>
      </text>
    </comment>
    <comment ref="M142" authorId="0">
      <text>
        <r>
          <rPr>
            <b/>
            <sz val="9"/>
            <color indexed="81"/>
            <rFont val="Tahoma"/>
            <family val="2"/>
          </rPr>
          <t>Rgarcia:</t>
        </r>
        <r>
          <rPr>
            <sz val="9"/>
            <color indexed="81"/>
            <rFont val="Tahoma"/>
            <family val="2"/>
          </rPr>
          <t xml:space="preserve">
03-06-2019_R Ex 846_Cierre de cuota periodo</t>
        </r>
      </text>
    </comment>
    <comment ref="H144" authorId="0">
      <text>
        <r>
          <rPr>
            <b/>
            <sz val="9"/>
            <color indexed="81"/>
            <rFont val="Tahoma"/>
            <family val="2"/>
          </rPr>
          <t>Autor:</t>
        </r>
        <r>
          <rPr>
            <sz val="9"/>
            <color indexed="81"/>
            <rFont val="Tahoma"/>
            <family val="2"/>
          </rPr>
          <t xml:space="preserve">
531-2019 Cesión 23,331 ton de ORG A PESQ SUR AUSTRAL</t>
        </r>
      </text>
    </comment>
    <comment ref="M144" authorId="0">
      <text>
        <r>
          <rPr>
            <b/>
            <sz val="9"/>
            <color indexed="81"/>
            <rFont val="Tahoma"/>
            <family val="2"/>
          </rPr>
          <t>Autor:</t>
        </r>
        <r>
          <rPr>
            <sz val="9"/>
            <color indexed="81"/>
            <rFont val="Tahoma"/>
            <family val="2"/>
          </rPr>
          <t xml:space="preserve">
Cierre Ord N° 17218 </t>
        </r>
      </text>
    </comment>
    <comment ref="H146" authorId="0">
      <text>
        <r>
          <rPr>
            <b/>
            <sz val="9"/>
            <color indexed="81"/>
            <rFont val="Tahoma"/>
            <family val="2"/>
          </rPr>
          <t>Autor:</t>
        </r>
        <r>
          <rPr>
            <sz val="9"/>
            <color indexed="81"/>
            <rFont val="Tahoma"/>
            <family val="2"/>
          </rPr>
          <t xml:space="preserve">
809-2019 Cesión 4  ton de ORG A EMDEPES SA</t>
        </r>
      </text>
    </comment>
    <comment ref="M146" authorId="0">
      <text>
        <r>
          <rPr>
            <b/>
            <sz val="9"/>
            <color indexed="81"/>
            <rFont val="Tahoma"/>
            <family val="2"/>
          </rPr>
          <t>Rgarcia:</t>
        </r>
        <r>
          <rPr>
            <sz val="9"/>
            <color indexed="81"/>
            <rFont val="Tahoma"/>
            <family val="2"/>
          </rPr>
          <t xml:space="preserve">
28-05-2019_R Ex 841_Cierre de cuota periodo</t>
        </r>
      </text>
    </comment>
    <comment ref="H148" authorId="0">
      <text>
        <r>
          <rPr>
            <b/>
            <sz val="9"/>
            <color indexed="81"/>
            <rFont val="Tahoma"/>
            <family val="2"/>
          </rPr>
          <t>Autor:</t>
        </r>
        <r>
          <rPr>
            <sz val="9"/>
            <color indexed="81"/>
            <rFont val="Tahoma"/>
            <family val="2"/>
          </rPr>
          <t xml:space="preserve">
442-2019 Cesión 3,662 ton de ORGANIZACIONES Región de AISEN  a PESQ GRIMAR</t>
        </r>
      </text>
    </comment>
    <comment ref="M148" authorId="0">
      <text>
        <r>
          <rPr>
            <b/>
            <sz val="9"/>
            <color indexed="81"/>
            <rFont val="Tahoma"/>
            <family val="2"/>
          </rPr>
          <t>Rgarcia:</t>
        </r>
        <r>
          <rPr>
            <sz val="9"/>
            <color indexed="81"/>
            <rFont val="Tahoma"/>
            <family val="2"/>
          </rPr>
          <t xml:space="preserve">
Cierre año Ord N° 17585</t>
        </r>
      </text>
    </comment>
    <comment ref="M150" authorId="0">
      <text>
        <r>
          <rPr>
            <b/>
            <sz val="9"/>
            <color indexed="81"/>
            <rFont val="Tahoma"/>
            <family val="2"/>
          </rPr>
          <t>Rgarcia:</t>
        </r>
        <r>
          <rPr>
            <sz val="9"/>
            <color indexed="81"/>
            <rFont val="Tahoma"/>
            <family val="2"/>
          </rPr>
          <t xml:space="preserve">
Cierre año Ord N° 17585</t>
        </r>
      </text>
    </comment>
    <comment ref="H152" authorId="0">
      <text>
        <r>
          <rPr>
            <b/>
            <sz val="9"/>
            <color indexed="81"/>
            <rFont val="Tahoma"/>
            <family val="2"/>
          </rPr>
          <t>Autor:</t>
        </r>
        <r>
          <rPr>
            <sz val="9"/>
            <color indexed="81"/>
            <rFont val="Tahoma"/>
            <family val="2"/>
          </rPr>
          <t xml:space="preserve">
531-2019 Cesión 21,249 ton de ORG A PESQ SUR AUSTRAL</t>
        </r>
      </text>
    </comment>
    <comment ref="M152" authorId="0">
      <text>
        <r>
          <rPr>
            <b/>
            <sz val="9"/>
            <color indexed="81"/>
            <rFont val="Tahoma"/>
            <family val="2"/>
          </rPr>
          <t>Autor:</t>
        </r>
        <r>
          <rPr>
            <sz val="9"/>
            <color indexed="81"/>
            <rFont val="Tahoma"/>
            <family val="2"/>
          </rPr>
          <t xml:space="preserve">
Cierre Ord N° 17218 </t>
        </r>
      </text>
    </comment>
    <comment ref="M154" authorId="0">
      <text>
        <r>
          <rPr>
            <b/>
            <sz val="9"/>
            <color indexed="81"/>
            <rFont val="Tahoma"/>
            <family val="2"/>
          </rPr>
          <t>Rgarcia:</t>
        </r>
        <r>
          <rPr>
            <sz val="9"/>
            <color indexed="81"/>
            <rFont val="Tahoma"/>
            <family val="2"/>
          </rPr>
          <t xml:space="preserve">
Cierre año Ord N° 17585</t>
        </r>
      </text>
    </comment>
    <comment ref="H161" authorId="0">
      <text>
        <r>
          <rPr>
            <b/>
            <sz val="9"/>
            <color indexed="81"/>
            <rFont val="Tahoma"/>
            <family val="2"/>
          </rPr>
          <t>Autor:</t>
        </r>
        <r>
          <rPr>
            <sz val="9"/>
            <color indexed="81"/>
            <rFont val="Tahoma"/>
            <family val="2"/>
          </rPr>
          <t xml:space="preserve">
532-2019 Cesión 61,342 ton de ORG A A EMDEPES SA.
1097/28-03-19 Cesión 18,446 ton de ORGANIZACIONES Región de AISEN  a PESQ GRIMAR SA</t>
        </r>
      </text>
    </comment>
    <comment ref="M161" authorId="0">
      <text>
        <r>
          <rPr>
            <b/>
            <sz val="9"/>
            <color indexed="81"/>
            <rFont val="Tahoma"/>
            <family val="2"/>
          </rPr>
          <t>Autor:</t>
        </r>
        <r>
          <rPr>
            <sz val="9"/>
            <color indexed="81"/>
            <rFont val="Tahoma"/>
            <family val="2"/>
          </rPr>
          <t xml:space="preserve">
Cierre Ord N° 17536 /01-04-2019</t>
        </r>
      </text>
    </comment>
    <comment ref="H163" authorId="0">
      <text>
        <r>
          <rPr>
            <b/>
            <sz val="9"/>
            <color indexed="81"/>
            <rFont val="Tahoma"/>
            <family val="2"/>
          </rPr>
          <t>Autor:</t>
        </r>
        <r>
          <rPr>
            <sz val="9"/>
            <color indexed="81"/>
            <rFont val="Tahoma"/>
            <family val="2"/>
          </rPr>
          <t xml:space="preserve">
674-2019 Cesión 34,765 ton de ORG A A EMDEPES SA NE</t>
        </r>
      </text>
    </comment>
    <comment ref="H165" authorId="0">
      <text>
        <r>
          <rPr>
            <b/>
            <sz val="9"/>
            <color indexed="81"/>
            <rFont val="Tahoma"/>
            <family val="2"/>
          </rPr>
          <t>Autor:</t>
        </r>
        <r>
          <rPr>
            <sz val="9"/>
            <color indexed="81"/>
            <rFont val="Tahoma"/>
            <family val="2"/>
          </rPr>
          <t xml:space="preserve">
675-2019 Cesión 30,409 ton de ORG A A EMDEPES SA NE</t>
        </r>
      </text>
    </comment>
    <comment ref="H167" authorId="0">
      <text>
        <r>
          <rPr>
            <b/>
            <sz val="9"/>
            <color indexed="81"/>
            <rFont val="Tahoma"/>
            <family val="2"/>
          </rPr>
          <t>Autor:</t>
        </r>
        <r>
          <rPr>
            <sz val="9"/>
            <color indexed="81"/>
            <rFont val="Tahoma"/>
            <family val="2"/>
          </rPr>
          <t xml:space="preserve">
532-2019 Cesión 48,413 ton de ORG A A EMDEPES SA</t>
        </r>
      </text>
    </comment>
    <comment ref="M167" authorId="0">
      <text>
        <r>
          <rPr>
            <b/>
            <sz val="9"/>
            <color indexed="81"/>
            <rFont val="Tahoma"/>
            <family val="2"/>
          </rPr>
          <t>Autor:</t>
        </r>
        <r>
          <rPr>
            <sz val="9"/>
            <color indexed="81"/>
            <rFont val="Tahoma"/>
            <family val="2"/>
          </rPr>
          <t xml:space="preserve">
Cierre Ord N° 17221 </t>
        </r>
      </text>
    </comment>
    <comment ref="M168" authorId="0">
      <text>
        <r>
          <rPr>
            <b/>
            <sz val="9"/>
            <color indexed="81"/>
            <rFont val="Tahoma"/>
            <family val="2"/>
          </rPr>
          <t>Autor:</t>
        </r>
        <r>
          <rPr>
            <sz val="9"/>
            <color indexed="81"/>
            <rFont val="Tahoma"/>
            <family val="2"/>
          </rPr>
          <t xml:space="preserve">
Cierre Ord N° 17221 </t>
        </r>
      </text>
    </comment>
    <comment ref="H169" authorId="0">
      <text>
        <r>
          <rPr>
            <b/>
            <sz val="9"/>
            <color indexed="81"/>
            <rFont val="Tahoma"/>
            <family val="2"/>
          </rPr>
          <t>Autor:</t>
        </r>
        <r>
          <rPr>
            <sz val="9"/>
            <color indexed="81"/>
            <rFont val="Tahoma"/>
            <family val="2"/>
          </rPr>
          <t xml:space="preserve">
532-2019 Cesión 57,424  ton de ORG A A EMDEPES SA</t>
        </r>
      </text>
    </comment>
    <comment ref="M169" authorId="0">
      <text>
        <r>
          <rPr>
            <b/>
            <sz val="9"/>
            <color indexed="81"/>
            <rFont val="Tahoma"/>
            <family val="2"/>
          </rPr>
          <t>Autor:</t>
        </r>
        <r>
          <rPr>
            <sz val="9"/>
            <color indexed="81"/>
            <rFont val="Tahoma"/>
            <family val="2"/>
          </rPr>
          <t xml:space="preserve">
Cierre Ord N° 17221 </t>
        </r>
      </text>
    </comment>
    <comment ref="H171" authorId="0">
      <text>
        <r>
          <rPr>
            <b/>
            <sz val="9"/>
            <color indexed="81"/>
            <rFont val="Tahoma"/>
            <family val="2"/>
          </rPr>
          <t>Autor:</t>
        </r>
        <r>
          <rPr>
            <sz val="9"/>
            <color indexed="81"/>
            <rFont val="Tahoma"/>
            <family val="2"/>
          </rPr>
          <t xml:space="preserve">
532-2019 Cesión 90,336 ton de ORG A A EMDEPES SA</t>
        </r>
      </text>
    </comment>
    <comment ref="M171" authorId="0">
      <text>
        <r>
          <rPr>
            <b/>
            <sz val="9"/>
            <color indexed="81"/>
            <rFont val="Tahoma"/>
            <family val="2"/>
          </rPr>
          <t>Autor:</t>
        </r>
        <r>
          <rPr>
            <sz val="9"/>
            <color indexed="81"/>
            <rFont val="Tahoma"/>
            <family val="2"/>
          </rPr>
          <t xml:space="preserve">
Cierre Ord N° 17221 </t>
        </r>
      </text>
    </comment>
    <comment ref="H173" authorId="0">
      <text>
        <r>
          <rPr>
            <b/>
            <sz val="9"/>
            <color indexed="81"/>
            <rFont val="Tahoma"/>
            <family val="2"/>
          </rPr>
          <t>Autor:</t>
        </r>
        <r>
          <rPr>
            <sz val="9"/>
            <color indexed="81"/>
            <rFont val="Tahoma"/>
            <family val="2"/>
          </rPr>
          <t xml:space="preserve">
532-2019 Cesión 20,890 ton de ORG A A EMDEPES SA</t>
        </r>
      </text>
    </comment>
    <comment ref="M173" authorId="0">
      <text>
        <r>
          <rPr>
            <b/>
            <sz val="9"/>
            <color indexed="81"/>
            <rFont val="Tahoma"/>
            <family val="2"/>
          </rPr>
          <t>Autor:</t>
        </r>
        <r>
          <rPr>
            <sz val="9"/>
            <color indexed="81"/>
            <rFont val="Tahoma"/>
            <family val="2"/>
          </rPr>
          <t xml:space="preserve">
Cierre Ord N° 17221 </t>
        </r>
      </text>
    </comment>
    <comment ref="M174" authorId="0">
      <text>
        <r>
          <rPr>
            <b/>
            <sz val="9"/>
            <color indexed="81"/>
            <rFont val="Tahoma"/>
            <family val="2"/>
          </rPr>
          <t>Autor:</t>
        </r>
        <r>
          <rPr>
            <sz val="9"/>
            <color indexed="81"/>
            <rFont val="Tahoma"/>
            <family val="2"/>
          </rPr>
          <t xml:space="preserve">
Cierre Ord N° 17221 </t>
        </r>
      </text>
    </comment>
    <comment ref="H175" authorId="0">
      <text>
        <r>
          <rPr>
            <b/>
            <sz val="9"/>
            <color indexed="81"/>
            <rFont val="Tahoma"/>
            <family val="2"/>
          </rPr>
          <t>Autor:</t>
        </r>
        <r>
          <rPr>
            <sz val="9"/>
            <color indexed="81"/>
            <rFont val="Tahoma"/>
            <family val="2"/>
          </rPr>
          <t xml:space="preserve">
442-2019 Cesión 34,725 ton de ORGANIZACIONES Región de AISEN  a PESQ GRIMAR</t>
        </r>
      </text>
    </comment>
    <comment ref="M175" authorId="0">
      <text>
        <r>
          <rPr>
            <b/>
            <sz val="9"/>
            <color indexed="81"/>
            <rFont val="Tahoma"/>
            <family val="2"/>
          </rPr>
          <t>Rgarcia:</t>
        </r>
        <r>
          <rPr>
            <sz val="9"/>
            <color indexed="81"/>
            <rFont val="Tahoma"/>
            <family val="2"/>
          </rPr>
          <t xml:space="preserve">
Cierre año Ord N° 17585</t>
        </r>
      </text>
    </comment>
    <comment ref="H177" authorId="0">
      <text>
        <r>
          <rPr>
            <b/>
            <sz val="9"/>
            <color indexed="81"/>
            <rFont val="Tahoma"/>
            <family val="2"/>
          </rPr>
          <t>Autor:</t>
        </r>
        <r>
          <rPr>
            <sz val="9"/>
            <color indexed="81"/>
            <rFont val="Tahoma"/>
            <family val="2"/>
          </rPr>
          <t xml:space="preserve">
532-2019 Cesión 37,068 ton de ORG A A EMDEPES SA</t>
        </r>
      </text>
    </comment>
    <comment ref="H179" authorId="0">
      <text>
        <r>
          <rPr>
            <b/>
            <sz val="9"/>
            <color indexed="81"/>
            <rFont val="Tahoma"/>
            <family val="2"/>
          </rPr>
          <t>Autor:</t>
        </r>
        <r>
          <rPr>
            <sz val="9"/>
            <color indexed="81"/>
            <rFont val="Tahoma"/>
            <family val="2"/>
          </rPr>
          <t xml:space="preserve">
674-2019 Cesión 64,628 ton de ORG A A EMDEPES SA NE</t>
        </r>
      </text>
    </comment>
    <comment ref="H181" authorId="0">
      <text>
        <r>
          <rPr>
            <b/>
            <sz val="9"/>
            <color indexed="81"/>
            <rFont val="Tahoma"/>
            <family val="2"/>
          </rPr>
          <t>Autor:</t>
        </r>
        <r>
          <rPr>
            <sz val="9"/>
            <color indexed="81"/>
            <rFont val="Tahoma"/>
            <family val="2"/>
          </rPr>
          <t xml:space="preserve">
1195-19 Autoriza cesión 59,755 merluza del sur STI-XI a Pes Sur Austral</t>
        </r>
      </text>
    </comment>
    <comment ref="M181" authorId="0">
      <text>
        <r>
          <rPr>
            <b/>
            <sz val="9"/>
            <color indexed="81"/>
            <rFont val="Tahoma"/>
            <family val="2"/>
          </rPr>
          <t>Rgarcia:</t>
        </r>
        <r>
          <rPr>
            <sz val="9"/>
            <color indexed="81"/>
            <rFont val="Tahoma"/>
            <family val="2"/>
          </rPr>
          <t xml:space="preserve">
Cierre Ord N° 17565 / 05-04-2019</t>
        </r>
      </text>
    </comment>
    <comment ref="M182" authorId="0">
      <text>
        <r>
          <rPr>
            <b/>
            <sz val="9"/>
            <color indexed="81"/>
            <rFont val="Tahoma"/>
            <family val="2"/>
          </rPr>
          <t>Rgarcia:</t>
        </r>
        <r>
          <rPr>
            <sz val="9"/>
            <color indexed="81"/>
            <rFont val="Tahoma"/>
            <family val="2"/>
          </rPr>
          <t xml:space="preserve">
Cierre Ord N° 17565 / 05-04-2019</t>
        </r>
      </text>
    </comment>
    <comment ref="H183" authorId="0">
      <text>
        <r>
          <rPr>
            <b/>
            <sz val="9"/>
            <color indexed="81"/>
            <rFont val="Tahoma"/>
            <family val="2"/>
          </rPr>
          <t>Autor:</t>
        </r>
        <r>
          <rPr>
            <sz val="9"/>
            <color indexed="81"/>
            <rFont val="Tahoma"/>
            <family val="2"/>
          </rPr>
          <t xml:space="preserve">
531-2019 Cesión 119,519 ton de ORG A PESQ SUR AUSTRAL</t>
        </r>
      </text>
    </comment>
    <comment ref="M183" authorId="0">
      <text>
        <r>
          <rPr>
            <b/>
            <sz val="9"/>
            <color indexed="81"/>
            <rFont val="Tahoma"/>
            <family val="2"/>
          </rPr>
          <t>Autor:</t>
        </r>
        <r>
          <rPr>
            <sz val="9"/>
            <color indexed="81"/>
            <rFont val="Tahoma"/>
            <family val="2"/>
          </rPr>
          <t xml:space="preserve">
Cierre Ord N° 17218 </t>
        </r>
      </text>
    </comment>
    <comment ref="H185" authorId="0">
      <text>
        <r>
          <rPr>
            <b/>
            <sz val="9"/>
            <color indexed="81"/>
            <rFont val="Tahoma"/>
            <family val="2"/>
          </rPr>
          <t>Autor:</t>
        </r>
        <r>
          <rPr>
            <sz val="9"/>
            <color indexed="81"/>
            <rFont val="Tahoma"/>
            <family val="2"/>
          </rPr>
          <t xml:space="preserve">
532-2019 Cesión 69,151 ton de ORG A A EMDEPES SA</t>
        </r>
      </text>
    </comment>
    <comment ref="H187" authorId="0">
      <text>
        <r>
          <rPr>
            <b/>
            <sz val="9"/>
            <color indexed="81"/>
            <rFont val="Tahoma"/>
            <family val="2"/>
          </rPr>
          <t>Autor:</t>
        </r>
        <r>
          <rPr>
            <sz val="9"/>
            <color indexed="81"/>
            <rFont val="Tahoma"/>
            <family val="2"/>
          </rPr>
          <t xml:space="preserve">
532-2019 Cesión 35,898 ton de ORG A A EMDEPES SA</t>
        </r>
      </text>
    </comment>
    <comment ref="M187" authorId="0">
      <text>
        <r>
          <rPr>
            <b/>
            <sz val="9"/>
            <color indexed="81"/>
            <rFont val="Tahoma"/>
            <family val="2"/>
          </rPr>
          <t>Autor:</t>
        </r>
        <r>
          <rPr>
            <sz val="9"/>
            <color indexed="81"/>
            <rFont val="Tahoma"/>
            <family val="2"/>
          </rPr>
          <t xml:space="preserve">
Cierre Ord N° 17221 </t>
        </r>
      </text>
    </comment>
    <comment ref="M188" authorId="0">
      <text>
        <r>
          <rPr>
            <b/>
            <sz val="9"/>
            <color indexed="81"/>
            <rFont val="Tahoma"/>
            <family val="2"/>
          </rPr>
          <t>Autor:</t>
        </r>
        <r>
          <rPr>
            <sz val="9"/>
            <color indexed="81"/>
            <rFont val="Tahoma"/>
            <family val="2"/>
          </rPr>
          <t xml:space="preserve">
Cierre Ord N° 17221 </t>
        </r>
      </text>
    </comment>
    <comment ref="H189" authorId="0">
      <text>
        <r>
          <rPr>
            <b/>
            <sz val="9"/>
            <color indexed="81"/>
            <rFont val="Tahoma"/>
            <family val="2"/>
          </rPr>
          <t>Autor:</t>
        </r>
        <r>
          <rPr>
            <sz val="9"/>
            <color indexed="81"/>
            <rFont val="Tahoma"/>
            <family val="2"/>
          </rPr>
          <t xml:space="preserve">
532-2019 Cesión 26,097 ton de ORG A A EMDEPES SA</t>
        </r>
      </text>
    </comment>
    <comment ref="M189" authorId="0">
      <text>
        <r>
          <rPr>
            <b/>
            <sz val="9"/>
            <color indexed="81"/>
            <rFont val="Tahoma"/>
            <family val="2"/>
          </rPr>
          <t>Autor:</t>
        </r>
        <r>
          <rPr>
            <sz val="9"/>
            <color indexed="81"/>
            <rFont val="Tahoma"/>
            <family val="2"/>
          </rPr>
          <t xml:space="preserve">
Cierre Ord N° 17221 </t>
        </r>
      </text>
    </comment>
    <comment ref="H191" authorId="0">
      <text>
        <r>
          <rPr>
            <b/>
            <sz val="9"/>
            <color indexed="81"/>
            <rFont val="Tahoma"/>
            <family val="2"/>
          </rPr>
          <t>Autor:</t>
        </r>
        <r>
          <rPr>
            <sz val="9"/>
            <color indexed="81"/>
            <rFont val="Tahoma"/>
            <family val="2"/>
          </rPr>
          <t xml:space="preserve">
532-2019 Cesión 2,557  ton de ORG A A EMDEPES SA</t>
        </r>
      </text>
    </comment>
    <comment ref="M191" authorId="0">
      <text>
        <r>
          <rPr>
            <b/>
            <sz val="9"/>
            <color indexed="81"/>
            <rFont val="Tahoma"/>
            <family val="2"/>
          </rPr>
          <t>Autor:</t>
        </r>
        <r>
          <rPr>
            <sz val="9"/>
            <color indexed="81"/>
            <rFont val="Tahoma"/>
            <family val="2"/>
          </rPr>
          <t xml:space="preserve">
Cierre Ord N° 17221 </t>
        </r>
      </text>
    </comment>
  </commentList>
</comments>
</file>

<file path=xl/comments5.xml><?xml version="1.0" encoding="utf-8"?>
<comments xmlns="http://schemas.openxmlformats.org/spreadsheetml/2006/main">
  <authors>
    <author>Autor</author>
  </authors>
  <commentList>
    <comment ref="H19" authorId="0">
      <text>
        <r>
          <rPr>
            <b/>
            <sz val="9"/>
            <color indexed="81"/>
            <rFont val="Tahoma"/>
            <family val="2"/>
          </rPr>
          <t>Autor:</t>
        </r>
        <r>
          <rPr>
            <sz val="9"/>
            <color indexed="81"/>
            <rFont val="Tahoma"/>
            <family val="2"/>
          </rPr>
          <t xml:space="preserve">
564-2019 Cesión 13,627 ton de Embarcacion  a EMDEPES SA</t>
        </r>
      </text>
    </comment>
    <comment ref="M19" authorId="0">
      <text>
        <r>
          <rPr>
            <b/>
            <sz val="9"/>
            <color indexed="81"/>
            <rFont val="Tahoma"/>
            <family val="2"/>
          </rPr>
          <t>Autor:</t>
        </r>
        <r>
          <rPr>
            <sz val="9"/>
            <color indexed="81"/>
            <rFont val="Tahoma"/>
            <family val="2"/>
          </rPr>
          <t xml:space="preserve">
Cierre Ord N° 19910
</t>
        </r>
      </text>
    </comment>
    <comment ref="H21" authorId="0">
      <text>
        <r>
          <rPr>
            <b/>
            <sz val="9"/>
            <color indexed="81"/>
            <rFont val="Tahoma"/>
            <family val="2"/>
          </rPr>
          <t>Autor:</t>
        </r>
        <r>
          <rPr>
            <sz val="9"/>
            <color indexed="81"/>
            <rFont val="Tahoma"/>
            <family val="2"/>
          </rPr>
          <t xml:space="preserve">
564-2019 Cesión 13,627 ton de Embarcacion  a EMDEPES SA</t>
        </r>
      </text>
    </comment>
    <comment ref="M21" authorId="0">
      <text>
        <r>
          <rPr>
            <b/>
            <sz val="9"/>
            <color indexed="81"/>
            <rFont val="Tahoma"/>
            <family val="2"/>
          </rPr>
          <t>Autor:</t>
        </r>
        <r>
          <rPr>
            <sz val="9"/>
            <color indexed="81"/>
            <rFont val="Tahoma"/>
            <family val="2"/>
          </rPr>
          <t xml:space="preserve">
Cierre Ord N° 19910
</t>
        </r>
      </text>
    </comment>
    <comment ref="H23" authorId="0">
      <text>
        <r>
          <rPr>
            <b/>
            <sz val="9"/>
            <color indexed="81"/>
            <rFont val="Tahoma"/>
            <family val="2"/>
          </rPr>
          <t>Autor:</t>
        </r>
        <r>
          <rPr>
            <sz val="9"/>
            <color indexed="81"/>
            <rFont val="Tahoma"/>
            <family val="2"/>
          </rPr>
          <t xml:space="preserve">
564-2019 Cesión 13,627 ton de Embarcacion  a EMDEPES SA</t>
        </r>
      </text>
    </comment>
    <comment ref="M23" authorId="0">
      <text>
        <r>
          <rPr>
            <b/>
            <sz val="9"/>
            <color indexed="81"/>
            <rFont val="Tahoma"/>
            <family val="2"/>
          </rPr>
          <t>Autor:</t>
        </r>
        <r>
          <rPr>
            <sz val="9"/>
            <color indexed="81"/>
            <rFont val="Tahoma"/>
            <family val="2"/>
          </rPr>
          <t xml:space="preserve">
Cierre Ord N° 19910
</t>
        </r>
      </text>
    </comment>
    <comment ref="H25" authorId="0">
      <text>
        <r>
          <rPr>
            <b/>
            <sz val="9"/>
            <color indexed="81"/>
            <rFont val="Tahoma"/>
            <family val="2"/>
          </rPr>
          <t>Autor:</t>
        </r>
        <r>
          <rPr>
            <sz val="9"/>
            <color indexed="81"/>
            <rFont val="Tahoma"/>
            <family val="2"/>
          </rPr>
          <t xml:space="preserve">
564-2019 Cesión 13,627 ton de Embarcacion  a EMDEPES SA</t>
        </r>
      </text>
    </comment>
    <comment ref="M25" authorId="0">
      <text>
        <r>
          <rPr>
            <b/>
            <sz val="9"/>
            <color indexed="81"/>
            <rFont val="Tahoma"/>
            <family val="2"/>
          </rPr>
          <t>Autor:</t>
        </r>
        <r>
          <rPr>
            <sz val="9"/>
            <color indexed="81"/>
            <rFont val="Tahoma"/>
            <family val="2"/>
          </rPr>
          <t xml:space="preserve">
Cierre Ord N° 19910
</t>
        </r>
      </text>
    </comment>
    <comment ref="H27" authorId="0">
      <text>
        <r>
          <rPr>
            <b/>
            <sz val="9"/>
            <color indexed="81"/>
            <rFont val="Tahoma"/>
            <family val="2"/>
          </rPr>
          <t>Autor:</t>
        </r>
        <r>
          <rPr>
            <sz val="9"/>
            <color indexed="81"/>
            <rFont val="Tahoma"/>
            <family val="2"/>
          </rPr>
          <t xml:space="preserve">
564-2019 Cesión 13,627 ton de Embarcacion  a EMDEPES SA</t>
        </r>
      </text>
    </comment>
    <comment ref="M27" authorId="0">
      <text>
        <r>
          <rPr>
            <b/>
            <sz val="9"/>
            <color indexed="81"/>
            <rFont val="Tahoma"/>
            <family val="2"/>
          </rPr>
          <t>Autor:</t>
        </r>
        <r>
          <rPr>
            <sz val="9"/>
            <color indexed="81"/>
            <rFont val="Tahoma"/>
            <family val="2"/>
          </rPr>
          <t xml:space="preserve">
Cierre Ord N° 19910
</t>
        </r>
      </text>
    </comment>
    <comment ref="H29" authorId="0">
      <text>
        <r>
          <rPr>
            <b/>
            <sz val="9"/>
            <color indexed="81"/>
            <rFont val="Tahoma"/>
            <family val="2"/>
          </rPr>
          <t>Autor:</t>
        </r>
        <r>
          <rPr>
            <sz val="9"/>
            <color indexed="81"/>
            <rFont val="Tahoma"/>
            <family val="2"/>
          </rPr>
          <t xml:space="preserve">
564-2019 Cesión 13,627 ton de Embarcacion  a EMDEPES SA</t>
        </r>
      </text>
    </comment>
    <comment ref="M29" authorId="0">
      <text>
        <r>
          <rPr>
            <b/>
            <sz val="9"/>
            <color indexed="81"/>
            <rFont val="Tahoma"/>
            <family val="2"/>
          </rPr>
          <t>Autor:</t>
        </r>
        <r>
          <rPr>
            <sz val="9"/>
            <color indexed="81"/>
            <rFont val="Tahoma"/>
            <family val="2"/>
          </rPr>
          <t xml:space="preserve">
Cierre Ord N° 19910
</t>
        </r>
      </text>
    </comment>
    <comment ref="H31" authorId="0">
      <text>
        <r>
          <rPr>
            <b/>
            <sz val="9"/>
            <color indexed="81"/>
            <rFont val="Tahoma"/>
            <family val="2"/>
          </rPr>
          <t>Autor:</t>
        </r>
        <r>
          <rPr>
            <sz val="9"/>
            <color indexed="81"/>
            <rFont val="Tahoma"/>
            <family val="2"/>
          </rPr>
          <t xml:space="preserve">
688-2019 Cesión 13,527 ton de Embarcacion  a Deris S.A.</t>
        </r>
      </text>
    </comment>
    <comment ref="M31" authorId="0">
      <text>
        <r>
          <rPr>
            <b/>
            <sz val="9"/>
            <color indexed="81"/>
            <rFont val="Tahoma"/>
            <family val="2"/>
          </rPr>
          <t>Autor:</t>
        </r>
        <r>
          <rPr>
            <sz val="9"/>
            <color indexed="81"/>
            <rFont val="Tahoma"/>
            <family val="2"/>
          </rPr>
          <t xml:space="preserve">
Cierre Ord N° 19910
</t>
        </r>
      </text>
    </comment>
    <comment ref="H33" authorId="0">
      <text>
        <r>
          <rPr>
            <b/>
            <sz val="9"/>
            <color indexed="81"/>
            <rFont val="Tahoma"/>
            <family val="2"/>
          </rPr>
          <t>Autor:</t>
        </r>
        <r>
          <rPr>
            <sz val="9"/>
            <color indexed="81"/>
            <rFont val="Tahoma"/>
            <family val="2"/>
          </rPr>
          <t xml:space="preserve">
564-2019 Cesión 13,627 ton de Embarcacion  a EMDEPES SA</t>
        </r>
      </text>
    </comment>
    <comment ref="M33" authorId="0">
      <text>
        <r>
          <rPr>
            <b/>
            <sz val="9"/>
            <color indexed="81"/>
            <rFont val="Tahoma"/>
            <charset val="1"/>
          </rPr>
          <t>Autor:</t>
        </r>
        <r>
          <rPr>
            <sz val="9"/>
            <color indexed="81"/>
            <rFont val="Tahoma"/>
            <charset val="1"/>
          </rPr>
          <t xml:space="preserve">
cierre por completar cuota periodo ENER-JULIO</t>
        </r>
      </text>
    </comment>
    <comment ref="H35" authorId="0">
      <text>
        <r>
          <rPr>
            <b/>
            <sz val="9"/>
            <color indexed="81"/>
            <rFont val="Tahoma"/>
            <family val="2"/>
          </rPr>
          <t>Autor:</t>
        </r>
        <r>
          <rPr>
            <sz val="9"/>
            <color indexed="81"/>
            <rFont val="Tahoma"/>
            <family val="2"/>
          </rPr>
          <t xml:space="preserve">
564-2019 Cesión 13,627 ton de Embarcacion  a EMDEPES SA</t>
        </r>
      </text>
    </comment>
    <comment ref="M35" authorId="0">
      <text>
        <r>
          <rPr>
            <b/>
            <sz val="9"/>
            <color indexed="81"/>
            <rFont val="Tahoma"/>
            <family val="2"/>
          </rPr>
          <t>Autor:</t>
        </r>
        <r>
          <rPr>
            <sz val="9"/>
            <color indexed="81"/>
            <rFont val="Tahoma"/>
            <family val="2"/>
          </rPr>
          <t xml:space="preserve">
Cierre Ord N° 19910
</t>
        </r>
      </text>
    </comment>
    <comment ref="H37" authorId="0">
      <text>
        <r>
          <rPr>
            <b/>
            <sz val="9"/>
            <color indexed="81"/>
            <rFont val="Tahoma"/>
            <family val="2"/>
          </rPr>
          <t>Autor:</t>
        </r>
        <r>
          <rPr>
            <sz val="9"/>
            <color indexed="81"/>
            <rFont val="Tahoma"/>
            <family val="2"/>
          </rPr>
          <t xml:space="preserve">
564-2019 Cesión 13,627 ton de Embarcacion  a EMDEPES SA</t>
        </r>
      </text>
    </comment>
    <comment ref="M37" authorId="0">
      <text>
        <r>
          <rPr>
            <b/>
            <sz val="9"/>
            <color indexed="81"/>
            <rFont val="Tahoma"/>
            <family val="2"/>
          </rPr>
          <t>Autor:</t>
        </r>
        <r>
          <rPr>
            <sz val="9"/>
            <color indexed="81"/>
            <rFont val="Tahoma"/>
            <family val="2"/>
          </rPr>
          <t xml:space="preserve">
Cierre Ord N° 19910
</t>
        </r>
      </text>
    </comment>
    <comment ref="H39" authorId="0">
      <text>
        <r>
          <rPr>
            <b/>
            <sz val="9"/>
            <color indexed="81"/>
            <rFont val="Tahoma"/>
            <family val="2"/>
          </rPr>
          <t>Autor:</t>
        </r>
        <r>
          <rPr>
            <sz val="9"/>
            <color indexed="81"/>
            <rFont val="Tahoma"/>
            <family val="2"/>
          </rPr>
          <t xml:space="preserve">
564-2019 Cesión 13,627 ton de Embarcacion  a EMDEPES SA</t>
        </r>
      </text>
    </comment>
    <comment ref="M39" authorId="0">
      <text>
        <r>
          <rPr>
            <b/>
            <sz val="9"/>
            <color indexed="81"/>
            <rFont val="Tahoma"/>
            <family val="2"/>
          </rPr>
          <t>Autor:</t>
        </r>
        <r>
          <rPr>
            <sz val="9"/>
            <color indexed="81"/>
            <rFont val="Tahoma"/>
            <family val="2"/>
          </rPr>
          <t xml:space="preserve">
Cierre Ord N° 19910
</t>
        </r>
      </text>
    </comment>
    <comment ref="H41" authorId="0">
      <text>
        <r>
          <rPr>
            <b/>
            <sz val="9"/>
            <color indexed="81"/>
            <rFont val="Tahoma"/>
            <family val="2"/>
          </rPr>
          <t>Autor:</t>
        </r>
        <r>
          <rPr>
            <sz val="9"/>
            <color indexed="81"/>
            <rFont val="Tahoma"/>
            <family val="2"/>
          </rPr>
          <t xml:space="preserve">
564-2019 Cesión 13,627 ton de Embarcacion  a EMDEPES SA</t>
        </r>
      </text>
    </comment>
    <comment ref="M41" authorId="0">
      <text>
        <r>
          <rPr>
            <b/>
            <sz val="9"/>
            <color indexed="81"/>
            <rFont val="Tahoma"/>
            <family val="2"/>
          </rPr>
          <t>Autor:</t>
        </r>
        <r>
          <rPr>
            <sz val="9"/>
            <color indexed="81"/>
            <rFont val="Tahoma"/>
            <family val="2"/>
          </rPr>
          <t xml:space="preserve">
Cierre Ord N° 19910
</t>
        </r>
      </text>
    </comment>
    <comment ref="H43" authorId="0">
      <text>
        <r>
          <rPr>
            <b/>
            <sz val="9"/>
            <color indexed="81"/>
            <rFont val="Tahoma"/>
            <family val="2"/>
          </rPr>
          <t>Autor:</t>
        </r>
        <r>
          <rPr>
            <sz val="9"/>
            <color indexed="81"/>
            <rFont val="Tahoma"/>
            <family val="2"/>
          </rPr>
          <t xml:space="preserve">
564-2019 Cesión 13,627 ton de Embarcacion  a EMDEPES SA</t>
        </r>
      </text>
    </comment>
    <comment ref="M43" authorId="0">
      <text>
        <r>
          <rPr>
            <b/>
            <sz val="9"/>
            <color indexed="81"/>
            <rFont val="Tahoma"/>
            <family val="2"/>
          </rPr>
          <t>Autor:</t>
        </r>
        <r>
          <rPr>
            <sz val="9"/>
            <color indexed="81"/>
            <rFont val="Tahoma"/>
            <family val="2"/>
          </rPr>
          <t xml:space="preserve">
Cierre Ord N° 19910
</t>
        </r>
      </text>
    </comment>
    <comment ref="H45" authorId="0">
      <text>
        <r>
          <rPr>
            <b/>
            <sz val="9"/>
            <color indexed="81"/>
            <rFont val="Tahoma"/>
            <family val="2"/>
          </rPr>
          <t>Autor:</t>
        </r>
        <r>
          <rPr>
            <sz val="9"/>
            <color indexed="81"/>
            <rFont val="Tahoma"/>
            <family val="2"/>
          </rPr>
          <t xml:space="preserve">
446-2019 Cesión 13,627 ton de Embarcacion VICTOR ALEJANDRO AREA PTO NATALES  a EMDEPES SA</t>
        </r>
      </text>
    </comment>
    <comment ref="M45" authorId="0">
      <text>
        <r>
          <rPr>
            <b/>
            <sz val="9"/>
            <color indexed="81"/>
            <rFont val="Tahoma"/>
            <family val="2"/>
          </rPr>
          <t>Rgarcia:</t>
        </r>
        <r>
          <rPr>
            <sz val="9"/>
            <color indexed="81"/>
            <rFont val="Tahoma"/>
            <family val="2"/>
          </rPr>
          <t xml:space="preserve">
Cierre Ord N° 19754
</t>
        </r>
      </text>
    </comment>
    <comment ref="H47" authorId="0">
      <text>
        <r>
          <rPr>
            <b/>
            <sz val="9"/>
            <color indexed="81"/>
            <rFont val="Tahoma"/>
            <family val="2"/>
          </rPr>
          <t>Autor:</t>
        </r>
        <r>
          <rPr>
            <sz val="9"/>
            <color indexed="81"/>
            <rFont val="Tahoma"/>
            <family val="2"/>
          </rPr>
          <t xml:space="preserve">
564-2019 Cesión 13,627 ton de Embarcacion  a EMDEPES SA</t>
        </r>
      </text>
    </comment>
    <comment ref="M47" authorId="0">
      <text>
        <r>
          <rPr>
            <b/>
            <sz val="9"/>
            <color indexed="81"/>
            <rFont val="Tahoma"/>
            <family val="2"/>
          </rPr>
          <t>Autor:</t>
        </r>
        <r>
          <rPr>
            <sz val="9"/>
            <color indexed="81"/>
            <rFont val="Tahoma"/>
            <family val="2"/>
          </rPr>
          <t xml:space="preserve">
Cierre Ord N° 19910
</t>
        </r>
      </text>
    </comment>
    <comment ref="H49" authorId="0">
      <text>
        <r>
          <rPr>
            <b/>
            <sz val="9"/>
            <color indexed="81"/>
            <rFont val="Tahoma"/>
            <family val="2"/>
          </rPr>
          <t>Autor:</t>
        </r>
        <r>
          <rPr>
            <sz val="9"/>
            <color indexed="81"/>
            <rFont val="Tahoma"/>
            <family val="2"/>
          </rPr>
          <t xml:space="preserve">
564-2019 Cesión 13,627 ton de Embarcacion  a EMDEPES SA</t>
        </r>
      </text>
    </comment>
    <comment ref="M49" authorId="0">
      <text>
        <r>
          <rPr>
            <b/>
            <sz val="9"/>
            <color indexed="81"/>
            <rFont val="Tahoma"/>
            <family val="2"/>
          </rPr>
          <t>Autor:</t>
        </r>
        <r>
          <rPr>
            <sz val="9"/>
            <color indexed="81"/>
            <rFont val="Tahoma"/>
            <family val="2"/>
          </rPr>
          <t xml:space="preserve">
Cierre Ord N° 19910
</t>
        </r>
      </text>
    </comment>
    <comment ref="H51" authorId="0">
      <text>
        <r>
          <rPr>
            <b/>
            <sz val="9"/>
            <color indexed="81"/>
            <rFont val="Tahoma"/>
            <family val="2"/>
          </rPr>
          <t>Autor:</t>
        </r>
        <r>
          <rPr>
            <sz val="9"/>
            <color indexed="81"/>
            <rFont val="Tahoma"/>
            <family val="2"/>
          </rPr>
          <t xml:space="preserve">
564-2019 Cesión 13,627 ton de Embarcacion  a EMDEPES SA</t>
        </r>
      </text>
    </comment>
    <comment ref="M51" authorId="0">
      <text>
        <r>
          <rPr>
            <b/>
            <sz val="9"/>
            <color indexed="81"/>
            <rFont val="Tahoma"/>
            <charset val="1"/>
          </rPr>
          <t>Autor:</t>
        </r>
        <r>
          <rPr>
            <sz val="9"/>
            <color indexed="81"/>
            <rFont val="Tahoma"/>
            <charset val="1"/>
          </rPr>
          <t xml:space="preserve">
cierre por completar cuota periodo ENER-JULIO</t>
        </r>
      </text>
    </comment>
    <comment ref="H55" authorId="0">
      <text>
        <r>
          <rPr>
            <b/>
            <sz val="9"/>
            <color indexed="81"/>
            <rFont val="Tahoma"/>
            <family val="2"/>
          </rPr>
          <t>Autor:</t>
        </r>
        <r>
          <rPr>
            <sz val="9"/>
            <color indexed="81"/>
            <rFont val="Tahoma"/>
            <family val="2"/>
          </rPr>
          <t xml:space="preserve">
810-2019 Cesión 13,627 ton de Embarcacion  a EMDEPES SA</t>
        </r>
      </text>
    </comment>
    <comment ref="M55" authorId="0">
      <text>
        <r>
          <rPr>
            <b/>
            <sz val="9"/>
            <color indexed="81"/>
            <rFont val="Tahoma"/>
            <family val="2"/>
          </rPr>
          <t>Autor:</t>
        </r>
        <r>
          <rPr>
            <sz val="9"/>
            <color indexed="81"/>
            <rFont val="Tahoma"/>
            <family val="2"/>
          </rPr>
          <t xml:space="preserve">
Cierre Ord N° 19911
</t>
        </r>
      </text>
    </comment>
    <comment ref="H57" authorId="0">
      <text>
        <r>
          <rPr>
            <b/>
            <sz val="9"/>
            <color indexed="81"/>
            <rFont val="Tahoma"/>
            <family val="2"/>
          </rPr>
          <t>Autor:</t>
        </r>
        <r>
          <rPr>
            <sz val="9"/>
            <color indexed="81"/>
            <rFont val="Tahoma"/>
            <family val="2"/>
          </rPr>
          <t xml:space="preserve">
564-2019 Cesión 13,627 ton de Embarcacion  a EMDEPES SA</t>
        </r>
      </text>
    </comment>
    <comment ref="M57" authorId="0">
      <text>
        <r>
          <rPr>
            <b/>
            <sz val="9"/>
            <color indexed="81"/>
            <rFont val="Tahoma"/>
            <family val="2"/>
          </rPr>
          <t>Autor:</t>
        </r>
        <r>
          <rPr>
            <sz val="9"/>
            <color indexed="81"/>
            <rFont val="Tahoma"/>
            <family val="2"/>
          </rPr>
          <t xml:space="preserve">
Cierre Ord N° 19910
</t>
        </r>
      </text>
    </comment>
    <comment ref="H59" authorId="0">
      <text>
        <r>
          <rPr>
            <b/>
            <sz val="9"/>
            <color indexed="81"/>
            <rFont val="Tahoma"/>
            <family val="2"/>
          </rPr>
          <t>Autor:</t>
        </r>
        <r>
          <rPr>
            <sz val="9"/>
            <color indexed="81"/>
            <rFont val="Tahoma"/>
            <family val="2"/>
          </rPr>
          <t xml:space="preserve">
564-2019 Cesión 13,627 ton de Embarcacion  a EMDEPES SA</t>
        </r>
      </text>
    </comment>
    <comment ref="M59" authorId="0">
      <text>
        <r>
          <rPr>
            <b/>
            <sz val="9"/>
            <color indexed="81"/>
            <rFont val="Tahoma"/>
            <family val="2"/>
          </rPr>
          <t>Autor:</t>
        </r>
        <r>
          <rPr>
            <sz val="9"/>
            <color indexed="81"/>
            <rFont val="Tahoma"/>
            <family val="2"/>
          </rPr>
          <t xml:space="preserve">
Cierre Ord N° 19910
</t>
        </r>
      </text>
    </comment>
    <comment ref="H61" authorId="0">
      <text>
        <r>
          <rPr>
            <b/>
            <sz val="9"/>
            <color indexed="81"/>
            <rFont val="Tahoma"/>
            <family val="2"/>
          </rPr>
          <t>Autor:</t>
        </r>
        <r>
          <rPr>
            <sz val="9"/>
            <color indexed="81"/>
            <rFont val="Tahoma"/>
            <family val="2"/>
          </rPr>
          <t xml:space="preserve">
564-2019 Cesión 13,627 ton de Embarcacion  a EMDEPES SA</t>
        </r>
      </text>
    </comment>
    <comment ref="M61" authorId="0">
      <text>
        <r>
          <rPr>
            <b/>
            <sz val="9"/>
            <color indexed="81"/>
            <rFont val="Tahoma"/>
            <family val="2"/>
          </rPr>
          <t>Autor:</t>
        </r>
        <r>
          <rPr>
            <sz val="9"/>
            <color indexed="81"/>
            <rFont val="Tahoma"/>
            <family val="2"/>
          </rPr>
          <t xml:space="preserve">
Cierre Ord N° 19910
</t>
        </r>
      </text>
    </comment>
    <comment ref="H63" authorId="0">
      <text>
        <r>
          <rPr>
            <b/>
            <sz val="9"/>
            <color indexed="81"/>
            <rFont val="Tahoma"/>
            <family val="2"/>
          </rPr>
          <t>Autor:</t>
        </r>
        <r>
          <rPr>
            <sz val="9"/>
            <color indexed="81"/>
            <rFont val="Tahoma"/>
            <family val="2"/>
          </rPr>
          <t xml:space="preserve">
564-2019 Cesión 13,627 ton de Embarcacion  a EMDEPES SA</t>
        </r>
      </text>
    </comment>
    <comment ref="M63" authorId="0">
      <text>
        <r>
          <rPr>
            <b/>
            <sz val="9"/>
            <color indexed="81"/>
            <rFont val="Tahoma"/>
            <family val="2"/>
          </rPr>
          <t>Autor:</t>
        </r>
        <r>
          <rPr>
            <sz val="9"/>
            <color indexed="81"/>
            <rFont val="Tahoma"/>
            <family val="2"/>
          </rPr>
          <t xml:space="preserve">
Cierre Ord N° 19910
</t>
        </r>
      </text>
    </comment>
    <comment ref="H65" authorId="0">
      <text>
        <r>
          <rPr>
            <b/>
            <sz val="9"/>
            <color indexed="81"/>
            <rFont val="Tahoma"/>
            <family val="2"/>
          </rPr>
          <t>Autor:</t>
        </r>
        <r>
          <rPr>
            <sz val="9"/>
            <color indexed="81"/>
            <rFont val="Tahoma"/>
            <family val="2"/>
          </rPr>
          <t xml:space="preserve">
564-2019 Cesión 13,627 ton de Embarcacion  a EMDEPES SA</t>
        </r>
      </text>
    </comment>
    <comment ref="M65" authorId="0">
      <text>
        <r>
          <rPr>
            <b/>
            <sz val="9"/>
            <color indexed="81"/>
            <rFont val="Tahoma"/>
            <family val="2"/>
          </rPr>
          <t>Autor:</t>
        </r>
        <r>
          <rPr>
            <sz val="9"/>
            <color indexed="81"/>
            <rFont val="Tahoma"/>
            <family val="2"/>
          </rPr>
          <t xml:space="preserve">
Cierre Ord N° 19910
</t>
        </r>
      </text>
    </comment>
    <comment ref="H67" authorId="0">
      <text>
        <r>
          <rPr>
            <b/>
            <sz val="9"/>
            <color indexed="81"/>
            <rFont val="Tahoma"/>
            <family val="2"/>
          </rPr>
          <t>Autor:</t>
        </r>
        <r>
          <rPr>
            <sz val="9"/>
            <color indexed="81"/>
            <rFont val="Tahoma"/>
            <family val="2"/>
          </rPr>
          <t xml:space="preserve">
564-2019 Cesión 13,627 ton de Embarcacion  a EMDEPES SA</t>
        </r>
      </text>
    </comment>
    <comment ref="M67" authorId="0">
      <text>
        <r>
          <rPr>
            <b/>
            <sz val="9"/>
            <color indexed="81"/>
            <rFont val="Tahoma"/>
            <family val="2"/>
          </rPr>
          <t>Autor:</t>
        </r>
        <r>
          <rPr>
            <sz val="9"/>
            <color indexed="81"/>
            <rFont val="Tahoma"/>
            <family val="2"/>
          </rPr>
          <t xml:space="preserve">
Cierre Ord N° 19910
</t>
        </r>
      </text>
    </comment>
    <comment ref="H69" authorId="0">
      <text>
        <r>
          <rPr>
            <b/>
            <sz val="9"/>
            <color indexed="81"/>
            <rFont val="Tahoma"/>
            <family val="2"/>
          </rPr>
          <t>Autor:</t>
        </r>
        <r>
          <rPr>
            <sz val="9"/>
            <color indexed="81"/>
            <rFont val="Tahoma"/>
            <family val="2"/>
          </rPr>
          <t xml:space="preserve">
564-2019 Cesión 13,627 ton de Embarcacion  a EMDEPES SA</t>
        </r>
      </text>
    </comment>
    <comment ref="M69" authorId="0">
      <text>
        <r>
          <rPr>
            <b/>
            <sz val="9"/>
            <color indexed="81"/>
            <rFont val="Tahoma"/>
            <family val="2"/>
          </rPr>
          <t>Autor:</t>
        </r>
        <r>
          <rPr>
            <sz val="9"/>
            <color indexed="81"/>
            <rFont val="Tahoma"/>
            <family val="2"/>
          </rPr>
          <t xml:space="preserve">
Cierre Ord N° 19910
</t>
        </r>
      </text>
    </comment>
    <comment ref="H71" authorId="0">
      <text>
        <r>
          <rPr>
            <b/>
            <sz val="9"/>
            <color indexed="81"/>
            <rFont val="Tahoma"/>
            <family val="2"/>
          </rPr>
          <t>Autor:</t>
        </r>
        <r>
          <rPr>
            <sz val="9"/>
            <color indexed="81"/>
            <rFont val="Tahoma"/>
            <family val="2"/>
          </rPr>
          <t xml:space="preserve">
564-2019 Cesión 13,627 ton de Embarcacion  a EMDEPES SA</t>
        </r>
      </text>
    </comment>
    <comment ref="M71" authorId="0">
      <text>
        <r>
          <rPr>
            <b/>
            <sz val="9"/>
            <color indexed="81"/>
            <rFont val="Tahoma"/>
            <family val="2"/>
          </rPr>
          <t>Autor:</t>
        </r>
        <r>
          <rPr>
            <sz val="9"/>
            <color indexed="81"/>
            <rFont val="Tahoma"/>
            <family val="2"/>
          </rPr>
          <t xml:space="preserve">
Cierre Ord N° 19910
</t>
        </r>
      </text>
    </comment>
    <comment ref="H73" authorId="0">
      <text>
        <r>
          <rPr>
            <b/>
            <sz val="9"/>
            <color indexed="81"/>
            <rFont val="Tahoma"/>
            <family val="2"/>
          </rPr>
          <t>Autor:</t>
        </r>
        <r>
          <rPr>
            <sz val="9"/>
            <color indexed="81"/>
            <rFont val="Tahoma"/>
            <family val="2"/>
          </rPr>
          <t xml:space="preserve">
564-2019 Cesión 13,627 ton de Embarcacion  a EMDEPES SA</t>
        </r>
      </text>
    </comment>
    <comment ref="M73" authorId="0">
      <text>
        <r>
          <rPr>
            <b/>
            <sz val="9"/>
            <color indexed="81"/>
            <rFont val="Tahoma"/>
            <family val="2"/>
          </rPr>
          <t>Autor:</t>
        </r>
        <r>
          <rPr>
            <sz val="9"/>
            <color indexed="81"/>
            <rFont val="Tahoma"/>
            <family val="2"/>
          </rPr>
          <t xml:space="preserve">
Cierre Ord N° 19910
</t>
        </r>
      </text>
    </comment>
    <comment ref="H75" authorId="0">
      <text>
        <r>
          <rPr>
            <b/>
            <sz val="9"/>
            <color indexed="81"/>
            <rFont val="Tahoma"/>
            <family val="2"/>
          </rPr>
          <t>Autor:</t>
        </r>
        <r>
          <rPr>
            <sz val="9"/>
            <color indexed="81"/>
            <rFont val="Tahoma"/>
            <family val="2"/>
          </rPr>
          <t xml:space="preserve">
564-2019 Cesión 13,627 ton de Embarcacion  a EMDEPES SA</t>
        </r>
      </text>
    </comment>
    <comment ref="M75" authorId="0">
      <text>
        <r>
          <rPr>
            <b/>
            <sz val="9"/>
            <color indexed="81"/>
            <rFont val="Tahoma"/>
            <family val="2"/>
          </rPr>
          <t>Autor:</t>
        </r>
        <r>
          <rPr>
            <sz val="9"/>
            <color indexed="81"/>
            <rFont val="Tahoma"/>
            <family val="2"/>
          </rPr>
          <t xml:space="preserve">
Cierre Ord N° 19910
</t>
        </r>
      </text>
    </comment>
    <comment ref="H77" authorId="0">
      <text>
        <r>
          <rPr>
            <b/>
            <sz val="9"/>
            <color indexed="81"/>
            <rFont val="Tahoma"/>
            <family val="2"/>
          </rPr>
          <t>Autor:</t>
        </r>
        <r>
          <rPr>
            <sz val="9"/>
            <color indexed="81"/>
            <rFont val="Tahoma"/>
            <family val="2"/>
          </rPr>
          <t xml:space="preserve">
564-2019 Cesión 13,627 ton de Embarcacion  a EMDEPES SA</t>
        </r>
      </text>
    </comment>
    <comment ref="M77" authorId="0">
      <text>
        <r>
          <rPr>
            <b/>
            <sz val="9"/>
            <color indexed="81"/>
            <rFont val="Tahoma"/>
            <family val="2"/>
          </rPr>
          <t>Autor:</t>
        </r>
        <r>
          <rPr>
            <sz val="9"/>
            <color indexed="81"/>
            <rFont val="Tahoma"/>
            <family val="2"/>
          </rPr>
          <t xml:space="preserve">
Cierre Ord N° 19910
</t>
        </r>
      </text>
    </comment>
    <comment ref="H79" authorId="0">
      <text>
        <r>
          <rPr>
            <b/>
            <sz val="9"/>
            <color indexed="81"/>
            <rFont val="Tahoma"/>
            <family val="2"/>
          </rPr>
          <t>Autor:</t>
        </r>
        <r>
          <rPr>
            <sz val="9"/>
            <color indexed="81"/>
            <rFont val="Tahoma"/>
            <family val="2"/>
          </rPr>
          <t xml:space="preserve">
564-2019 Cesión 13,627 ton de Embarcacion  a EMDEPES SA</t>
        </r>
      </text>
    </comment>
    <comment ref="M79" authorId="0">
      <text>
        <r>
          <rPr>
            <b/>
            <sz val="9"/>
            <color indexed="81"/>
            <rFont val="Tahoma"/>
            <family val="2"/>
          </rPr>
          <t>Autor:</t>
        </r>
        <r>
          <rPr>
            <sz val="9"/>
            <color indexed="81"/>
            <rFont val="Tahoma"/>
            <family val="2"/>
          </rPr>
          <t xml:space="preserve">
Cierre Ord N° 19910
</t>
        </r>
      </text>
    </comment>
    <comment ref="H81" authorId="0">
      <text>
        <r>
          <rPr>
            <b/>
            <sz val="9"/>
            <color indexed="81"/>
            <rFont val="Tahoma"/>
            <family val="2"/>
          </rPr>
          <t>Autor:</t>
        </r>
        <r>
          <rPr>
            <sz val="9"/>
            <color indexed="81"/>
            <rFont val="Tahoma"/>
            <family val="2"/>
          </rPr>
          <t xml:space="preserve">
564-2019 Cesión 13,627 ton de Embarcacion  a EMDEPES SA</t>
        </r>
      </text>
    </comment>
    <comment ref="M81" authorId="0">
      <text>
        <r>
          <rPr>
            <b/>
            <sz val="9"/>
            <color indexed="81"/>
            <rFont val="Tahoma"/>
            <family val="2"/>
          </rPr>
          <t>Autor:</t>
        </r>
        <r>
          <rPr>
            <sz val="9"/>
            <color indexed="81"/>
            <rFont val="Tahoma"/>
            <family val="2"/>
          </rPr>
          <t xml:space="preserve">
Cierre Ord N° 19910
</t>
        </r>
      </text>
    </comment>
    <comment ref="H83" authorId="0">
      <text>
        <r>
          <rPr>
            <b/>
            <sz val="9"/>
            <color indexed="81"/>
            <rFont val="Tahoma"/>
            <family val="2"/>
          </rPr>
          <t>Autor:</t>
        </r>
        <r>
          <rPr>
            <sz val="9"/>
            <color indexed="81"/>
            <rFont val="Tahoma"/>
            <family val="2"/>
          </rPr>
          <t xml:space="preserve">
564-2019 Cesión 13,627 ton de Embarcacion  a EMDEPES SA</t>
        </r>
      </text>
    </comment>
    <comment ref="M83" authorId="0">
      <text>
        <r>
          <rPr>
            <b/>
            <sz val="9"/>
            <color indexed="81"/>
            <rFont val="Tahoma"/>
            <family val="2"/>
          </rPr>
          <t>Autor:</t>
        </r>
        <r>
          <rPr>
            <sz val="9"/>
            <color indexed="81"/>
            <rFont val="Tahoma"/>
            <family val="2"/>
          </rPr>
          <t xml:space="preserve">
Cierre Ord N° 19910
</t>
        </r>
      </text>
    </comment>
    <comment ref="H85" authorId="0">
      <text>
        <r>
          <rPr>
            <b/>
            <sz val="9"/>
            <color indexed="81"/>
            <rFont val="Tahoma"/>
            <family val="2"/>
          </rPr>
          <t>Autor:</t>
        </r>
        <r>
          <rPr>
            <sz val="9"/>
            <color indexed="81"/>
            <rFont val="Tahoma"/>
            <family val="2"/>
          </rPr>
          <t xml:space="preserve">
564-2019 Cesión 13,627 ton de Embarcacion  a EMDEPES SA</t>
        </r>
      </text>
    </comment>
    <comment ref="M85" authorId="0">
      <text>
        <r>
          <rPr>
            <b/>
            <sz val="9"/>
            <color indexed="81"/>
            <rFont val="Tahoma"/>
            <family val="2"/>
          </rPr>
          <t>Autor:</t>
        </r>
        <r>
          <rPr>
            <sz val="9"/>
            <color indexed="81"/>
            <rFont val="Tahoma"/>
            <family val="2"/>
          </rPr>
          <t xml:space="preserve">
Cierre Ord N° 19910
</t>
        </r>
      </text>
    </comment>
    <comment ref="H87" authorId="0">
      <text>
        <r>
          <rPr>
            <b/>
            <sz val="9"/>
            <color indexed="81"/>
            <rFont val="Tahoma"/>
            <family val="2"/>
          </rPr>
          <t>Autor:</t>
        </r>
        <r>
          <rPr>
            <sz val="9"/>
            <color indexed="81"/>
            <rFont val="Tahoma"/>
            <family val="2"/>
          </rPr>
          <t xml:space="preserve">
564-2019 Cesión 13,627 ton de Embarcacion  a EMDEPES SA</t>
        </r>
      </text>
    </comment>
    <comment ref="M87" authorId="0">
      <text>
        <r>
          <rPr>
            <b/>
            <sz val="9"/>
            <color indexed="81"/>
            <rFont val="Tahoma"/>
            <family val="2"/>
          </rPr>
          <t>Autor:</t>
        </r>
        <r>
          <rPr>
            <sz val="9"/>
            <color indexed="81"/>
            <rFont val="Tahoma"/>
            <family val="2"/>
          </rPr>
          <t xml:space="preserve">
Cierre Ord N° 19910
</t>
        </r>
      </text>
    </comment>
    <comment ref="H89" authorId="0">
      <text>
        <r>
          <rPr>
            <b/>
            <sz val="9"/>
            <color indexed="81"/>
            <rFont val="Tahoma"/>
            <family val="2"/>
          </rPr>
          <t>Autor:</t>
        </r>
        <r>
          <rPr>
            <sz val="9"/>
            <color indexed="81"/>
            <rFont val="Tahoma"/>
            <family val="2"/>
          </rPr>
          <t xml:space="preserve">
564-2019 Cesión 13,627 ton de Embarcacion  a EMDEPES SA</t>
        </r>
      </text>
    </comment>
    <comment ref="M89" authorId="0">
      <text>
        <r>
          <rPr>
            <b/>
            <sz val="9"/>
            <color indexed="81"/>
            <rFont val="Tahoma"/>
            <family val="2"/>
          </rPr>
          <t>Autor:</t>
        </r>
        <r>
          <rPr>
            <sz val="9"/>
            <color indexed="81"/>
            <rFont val="Tahoma"/>
            <family val="2"/>
          </rPr>
          <t xml:space="preserve">
Cierre Ord N° 19910
</t>
        </r>
      </text>
    </comment>
    <comment ref="H91" authorId="0">
      <text>
        <r>
          <rPr>
            <b/>
            <sz val="9"/>
            <color indexed="81"/>
            <rFont val="Tahoma"/>
            <family val="2"/>
          </rPr>
          <t>Autor:</t>
        </r>
        <r>
          <rPr>
            <sz val="9"/>
            <color indexed="81"/>
            <rFont val="Tahoma"/>
            <family val="2"/>
          </rPr>
          <t xml:space="preserve">
564-2019 Cesión 13,627 ton de Embarcacion  a EMDEPES SA</t>
        </r>
      </text>
    </comment>
    <comment ref="M91" authorId="0">
      <text>
        <r>
          <rPr>
            <b/>
            <sz val="9"/>
            <color indexed="81"/>
            <rFont val="Tahoma"/>
            <family val="2"/>
          </rPr>
          <t>Autor:</t>
        </r>
        <r>
          <rPr>
            <sz val="9"/>
            <color indexed="81"/>
            <rFont val="Tahoma"/>
            <family val="2"/>
          </rPr>
          <t xml:space="preserve">
Cierre Ord N° 19910
</t>
        </r>
      </text>
    </comment>
    <comment ref="H93" authorId="0">
      <text>
        <r>
          <rPr>
            <b/>
            <sz val="9"/>
            <color indexed="81"/>
            <rFont val="Tahoma"/>
            <family val="2"/>
          </rPr>
          <t>Autor:</t>
        </r>
        <r>
          <rPr>
            <sz val="9"/>
            <color indexed="81"/>
            <rFont val="Tahoma"/>
            <family val="2"/>
          </rPr>
          <t xml:space="preserve">
564-2019 Cesión 13,627 ton de Embarcacion  a EMDEPES SA</t>
        </r>
      </text>
    </comment>
    <comment ref="M93" authorId="0">
      <text>
        <r>
          <rPr>
            <b/>
            <sz val="9"/>
            <color indexed="81"/>
            <rFont val="Tahoma"/>
            <family val="2"/>
          </rPr>
          <t>Autor:</t>
        </r>
        <r>
          <rPr>
            <sz val="9"/>
            <color indexed="81"/>
            <rFont val="Tahoma"/>
            <family val="2"/>
          </rPr>
          <t xml:space="preserve">
Cierre Ord N° 19910
</t>
        </r>
      </text>
    </comment>
    <comment ref="H95" authorId="0">
      <text>
        <r>
          <rPr>
            <b/>
            <sz val="9"/>
            <color indexed="81"/>
            <rFont val="Tahoma"/>
            <family val="2"/>
          </rPr>
          <t>Autor:</t>
        </r>
        <r>
          <rPr>
            <sz val="9"/>
            <color indexed="81"/>
            <rFont val="Tahoma"/>
            <family val="2"/>
          </rPr>
          <t xml:space="preserve">
564-2019 Cesión 13,627 ton de Embarcacion  a EMDEPES SA</t>
        </r>
      </text>
    </comment>
    <comment ref="M95" authorId="0">
      <text>
        <r>
          <rPr>
            <b/>
            <sz val="9"/>
            <color indexed="81"/>
            <rFont val="Tahoma"/>
            <family val="2"/>
          </rPr>
          <t>Autor:</t>
        </r>
        <r>
          <rPr>
            <sz val="9"/>
            <color indexed="81"/>
            <rFont val="Tahoma"/>
            <family val="2"/>
          </rPr>
          <t xml:space="preserve">
Cierre Ord N° 19910
</t>
        </r>
      </text>
    </comment>
    <comment ref="H97" authorId="0">
      <text>
        <r>
          <rPr>
            <b/>
            <sz val="9"/>
            <color indexed="81"/>
            <rFont val="Tahoma"/>
            <family val="2"/>
          </rPr>
          <t>Autor:</t>
        </r>
        <r>
          <rPr>
            <sz val="9"/>
            <color indexed="81"/>
            <rFont val="Tahoma"/>
            <family val="2"/>
          </rPr>
          <t xml:space="preserve">
564-2019 Cesión 13,627 ton de Embarcacion  a EMDEPES SA</t>
        </r>
      </text>
    </comment>
    <comment ref="M97" authorId="0">
      <text>
        <r>
          <rPr>
            <b/>
            <sz val="9"/>
            <color indexed="81"/>
            <rFont val="Tahoma"/>
            <family val="2"/>
          </rPr>
          <t>Autor:</t>
        </r>
        <r>
          <rPr>
            <sz val="9"/>
            <color indexed="81"/>
            <rFont val="Tahoma"/>
            <family val="2"/>
          </rPr>
          <t xml:space="preserve">
Cierre Ord N° 19910
</t>
        </r>
      </text>
    </comment>
    <comment ref="H99" authorId="0">
      <text>
        <r>
          <rPr>
            <b/>
            <sz val="9"/>
            <color indexed="81"/>
            <rFont val="Tahoma"/>
            <family val="2"/>
          </rPr>
          <t>Autor:</t>
        </r>
        <r>
          <rPr>
            <sz val="9"/>
            <color indexed="81"/>
            <rFont val="Tahoma"/>
            <family val="2"/>
          </rPr>
          <t xml:space="preserve">
564-2019 Cesión 13,627 ton de Embarcacion  a EMDEPES SA</t>
        </r>
      </text>
    </comment>
    <comment ref="M99" authorId="0">
      <text>
        <r>
          <rPr>
            <b/>
            <sz val="9"/>
            <color indexed="81"/>
            <rFont val="Tahoma"/>
            <family val="2"/>
          </rPr>
          <t>Autor:</t>
        </r>
        <r>
          <rPr>
            <sz val="9"/>
            <color indexed="81"/>
            <rFont val="Tahoma"/>
            <family val="2"/>
          </rPr>
          <t xml:space="preserve">
Cierre Ord N° 19910
</t>
        </r>
      </text>
    </comment>
    <comment ref="H101" authorId="0">
      <text>
        <r>
          <rPr>
            <b/>
            <sz val="9"/>
            <color indexed="81"/>
            <rFont val="Tahoma"/>
            <family val="2"/>
          </rPr>
          <t>Autor:</t>
        </r>
        <r>
          <rPr>
            <sz val="9"/>
            <color indexed="81"/>
            <rFont val="Tahoma"/>
            <family val="2"/>
          </rPr>
          <t xml:space="preserve">
564-2019 Cesión 13,627 ton de Embarcacion  a EMDEPES SA</t>
        </r>
      </text>
    </comment>
    <comment ref="M101" authorId="0">
      <text>
        <r>
          <rPr>
            <b/>
            <sz val="9"/>
            <color indexed="81"/>
            <rFont val="Tahoma"/>
            <family val="2"/>
          </rPr>
          <t>Autor:</t>
        </r>
        <r>
          <rPr>
            <sz val="9"/>
            <color indexed="81"/>
            <rFont val="Tahoma"/>
            <family val="2"/>
          </rPr>
          <t xml:space="preserve">
Cierre Ord N° 19910
</t>
        </r>
      </text>
    </comment>
    <comment ref="H103" authorId="0">
      <text>
        <r>
          <rPr>
            <b/>
            <sz val="9"/>
            <color indexed="81"/>
            <rFont val="Tahoma"/>
            <family val="2"/>
          </rPr>
          <t>Autor:</t>
        </r>
        <r>
          <rPr>
            <sz val="9"/>
            <color indexed="81"/>
            <rFont val="Tahoma"/>
            <family val="2"/>
          </rPr>
          <t xml:space="preserve">
564-2019 Cesión 13,627 ton de Embarcacion  a EMDEPES SA</t>
        </r>
      </text>
    </comment>
    <comment ref="M103" authorId="0">
      <text>
        <r>
          <rPr>
            <b/>
            <sz val="9"/>
            <color indexed="81"/>
            <rFont val="Tahoma"/>
            <family val="2"/>
          </rPr>
          <t>Autor:</t>
        </r>
        <r>
          <rPr>
            <sz val="9"/>
            <color indexed="81"/>
            <rFont val="Tahoma"/>
            <family val="2"/>
          </rPr>
          <t xml:space="preserve">
Cierre Ord N° 19910
</t>
        </r>
      </text>
    </comment>
    <comment ref="H105" authorId="0">
      <text>
        <r>
          <rPr>
            <b/>
            <sz val="9"/>
            <color indexed="81"/>
            <rFont val="Tahoma"/>
            <family val="2"/>
          </rPr>
          <t>Autor:</t>
        </r>
        <r>
          <rPr>
            <sz val="9"/>
            <color indexed="81"/>
            <rFont val="Tahoma"/>
            <family val="2"/>
          </rPr>
          <t xml:space="preserve">
564-2019 Cesión 13,627 ton de Embarcacion  a EMDEPES SA</t>
        </r>
      </text>
    </comment>
    <comment ref="M105" authorId="0">
      <text>
        <r>
          <rPr>
            <b/>
            <sz val="9"/>
            <color indexed="81"/>
            <rFont val="Tahoma"/>
            <family val="2"/>
          </rPr>
          <t>Autor:</t>
        </r>
        <r>
          <rPr>
            <sz val="9"/>
            <color indexed="81"/>
            <rFont val="Tahoma"/>
            <family val="2"/>
          </rPr>
          <t xml:space="preserve">
Cierre Ord N° 19910
</t>
        </r>
      </text>
    </comment>
    <comment ref="H107" authorId="0">
      <text>
        <r>
          <rPr>
            <b/>
            <sz val="9"/>
            <color indexed="81"/>
            <rFont val="Tahoma"/>
            <family val="2"/>
          </rPr>
          <t>Autor:</t>
        </r>
        <r>
          <rPr>
            <sz val="9"/>
            <color indexed="81"/>
            <rFont val="Tahoma"/>
            <family val="2"/>
          </rPr>
          <t xml:space="preserve">
564-2019 Cesión 13,627 ton de Embarcacion  a EMDEPES SA</t>
        </r>
      </text>
    </comment>
    <comment ref="M107" authorId="0">
      <text>
        <r>
          <rPr>
            <b/>
            <sz val="9"/>
            <color indexed="81"/>
            <rFont val="Tahoma"/>
            <family val="2"/>
          </rPr>
          <t>Autor:</t>
        </r>
        <r>
          <rPr>
            <sz val="9"/>
            <color indexed="81"/>
            <rFont val="Tahoma"/>
            <family val="2"/>
          </rPr>
          <t xml:space="preserve">
Cierre Ord N° 19910
</t>
        </r>
      </text>
    </comment>
    <comment ref="H109" authorId="0">
      <text>
        <r>
          <rPr>
            <b/>
            <sz val="9"/>
            <color indexed="81"/>
            <rFont val="Tahoma"/>
            <family val="2"/>
          </rPr>
          <t>Autor:</t>
        </r>
        <r>
          <rPr>
            <sz val="9"/>
            <color indexed="81"/>
            <rFont val="Tahoma"/>
            <family val="2"/>
          </rPr>
          <t xml:space="preserve">
564-2019 Cesión 13,627 ton de Embarcacion  a EMDEPES SA</t>
        </r>
      </text>
    </comment>
    <comment ref="M109" authorId="0">
      <text>
        <r>
          <rPr>
            <b/>
            <sz val="9"/>
            <color indexed="81"/>
            <rFont val="Tahoma"/>
            <charset val="1"/>
          </rPr>
          <t>Autor:</t>
        </r>
        <r>
          <rPr>
            <sz val="9"/>
            <color indexed="81"/>
            <rFont val="Tahoma"/>
            <charset val="1"/>
          </rPr>
          <t xml:space="preserve">
cierre por completar cuota periodo ENER-JULIO</t>
        </r>
      </text>
    </comment>
    <comment ref="H111" authorId="0">
      <text>
        <r>
          <rPr>
            <b/>
            <sz val="9"/>
            <color indexed="81"/>
            <rFont val="Tahoma"/>
            <family val="2"/>
          </rPr>
          <t>Autor:</t>
        </r>
        <r>
          <rPr>
            <sz val="9"/>
            <color indexed="81"/>
            <rFont val="Tahoma"/>
            <family val="2"/>
          </rPr>
          <t xml:space="preserve">
564-2019 Cesión 13,627 ton de Embarcacion  a EMDEPES SA</t>
        </r>
      </text>
    </comment>
    <comment ref="M111" authorId="0">
      <text>
        <r>
          <rPr>
            <b/>
            <sz val="9"/>
            <color indexed="81"/>
            <rFont val="Tahoma"/>
            <family val="2"/>
          </rPr>
          <t>Autor:</t>
        </r>
        <r>
          <rPr>
            <sz val="9"/>
            <color indexed="81"/>
            <rFont val="Tahoma"/>
            <family val="2"/>
          </rPr>
          <t xml:space="preserve">
Cierre Ord N° 19910
</t>
        </r>
      </text>
    </comment>
    <comment ref="H113" authorId="0">
      <text>
        <r>
          <rPr>
            <b/>
            <sz val="9"/>
            <color indexed="81"/>
            <rFont val="Tahoma"/>
            <family val="2"/>
          </rPr>
          <t>Autor:</t>
        </r>
        <r>
          <rPr>
            <sz val="9"/>
            <color indexed="81"/>
            <rFont val="Tahoma"/>
            <family val="2"/>
          </rPr>
          <t xml:space="preserve">
564-2019 Cesión 13,627 ton de Embarcacion  a EMDEPES SA</t>
        </r>
      </text>
    </comment>
    <comment ref="M113" authorId="0">
      <text>
        <r>
          <rPr>
            <b/>
            <sz val="9"/>
            <color indexed="81"/>
            <rFont val="Tahoma"/>
            <family val="2"/>
          </rPr>
          <t>Autor:</t>
        </r>
        <r>
          <rPr>
            <sz val="9"/>
            <color indexed="81"/>
            <rFont val="Tahoma"/>
            <family val="2"/>
          </rPr>
          <t xml:space="preserve">
Cierre Ord N° 19910
</t>
        </r>
      </text>
    </comment>
    <comment ref="H115" authorId="0">
      <text>
        <r>
          <rPr>
            <b/>
            <sz val="9"/>
            <color indexed="81"/>
            <rFont val="Tahoma"/>
            <family val="2"/>
          </rPr>
          <t>Autor:</t>
        </r>
        <r>
          <rPr>
            <sz val="9"/>
            <color indexed="81"/>
            <rFont val="Tahoma"/>
            <family val="2"/>
          </rPr>
          <t xml:space="preserve">
564-2019 Cesión 13,627 ton de Embarcacion  a EMDEPES SA</t>
        </r>
      </text>
    </comment>
    <comment ref="M115" authorId="0">
      <text>
        <r>
          <rPr>
            <b/>
            <sz val="9"/>
            <color indexed="81"/>
            <rFont val="Tahoma"/>
            <family val="2"/>
          </rPr>
          <t>Autor:</t>
        </r>
        <r>
          <rPr>
            <sz val="9"/>
            <color indexed="81"/>
            <rFont val="Tahoma"/>
            <family val="2"/>
          </rPr>
          <t xml:space="preserve">
Cierre Ord N° 19910
</t>
        </r>
      </text>
    </comment>
    <comment ref="H117" authorId="0">
      <text>
        <r>
          <rPr>
            <b/>
            <sz val="9"/>
            <color indexed="81"/>
            <rFont val="Tahoma"/>
            <family val="2"/>
          </rPr>
          <t>Autor:</t>
        </r>
        <r>
          <rPr>
            <sz val="9"/>
            <color indexed="81"/>
            <rFont val="Tahoma"/>
            <family val="2"/>
          </rPr>
          <t xml:space="preserve">
564-2019 Cesión 13,627 ton de Embarcacion  a EMDEPES SA</t>
        </r>
      </text>
    </comment>
    <comment ref="M117" authorId="0">
      <text>
        <r>
          <rPr>
            <b/>
            <sz val="9"/>
            <color indexed="81"/>
            <rFont val="Tahoma"/>
            <family val="2"/>
          </rPr>
          <t>Autor:</t>
        </r>
        <r>
          <rPr>
            <sz val="9"/>
            <color indexed="81"/>
            <rFont val="Tahoma"/>
            <family val="2"/>
          </rPr>
          <t xml:space="preserve">
Cierre Ord N° 19910
</t>
        </r>
      </text>
    </comment>
    <comment ref="H119" authorId="0">
      <text>
        <r>
          <rPr>
            <b/>
            <sz val="9"/>
            <color indexed="81"/>
            <rFont val="Tahoma"/>
            <family val="2"/>
          </rPr>
          <t>Autor:</t>
        </r>
        <r>
          <rPr>
            <sz val="9"/>
            <color indexed="81"/>
            <rFont val="Tahoma"/>
            <family val="2"/>
          </rPr>
          <t xml:space="preserve">
564-2019 Cesión 13,627 ton de Embarcacion  a EMDEPES SA</t>
        </r>
      </text>
    </comment>
    <comment ref="M119" authorId="0">
      <text>
        <r>
          <rPr>
            <b/>
            <sz val="9"/>
            <color indexed="81"/>
            <rFont val="Tahoma"/>
            <family val="2"/>
          </rPr>
          <t>Autor:</t>
        </r>
        <r>
          <rPr>
            <sz val="9"/>
            <color indexed="81"/>
            <rFont val="Tahoma"/>
            <family val="2"/>
          </rPr>
          <t xml:space="preserve">
Cierre Ord N° 19910
</t>
        </r>
      </text>
    </comment>
    <comment ref="H121" authorId="0">
      <text>
        <r>
          <rPr>
            <b/>
            <sz val="9"/>
            <color indexed="81"/>
            <rFont val="Tahoma"/>
            <family val="2"/>
          </rPr>
          <t>Autor:</t>
        </r>
        <r>
          <rPr>
            <sz val="9"/>
            <color indexed="81"/>
            <rFont val="Tahoma"/>
            <family val="2"/>
          </rPr>
          <t xml:space="preserve">
564-2019 Cesión 13,627 ton de Embarcacion  a EMDEPES SA</t>
        </r>
      </text>
    </comment>
    <comment ref="M121" authorId="0">
      <text>
        <r>
          <rPr>
            <b/>
            <sz val="9"/>
            <color indexed="81"/>
            <rFont val="Tahoma"/>
            <family val="2"/>
          </rPr>
          <t>Autor:</t>
        </r>
        <r>
          <rPr>
            <sz val="9"/>
            <color indexed="81"/>
            <rFont val="Tahoma"/>
            <family val="2"/>
          </rPr>
          <t xml:space="preserve">
Cierre Ord N° 19910
</t>
        </r>
      </text>
    </comment>
    <comment ref="H123" authorId="0">
      <text>
        <r>
          <rPr>
            <b/>
            <sz val="9"/>
            <color indexed="81"/>
            <rFont val="Tahoma"/>
            <family val="2"/>
          </rPr>
          <t>Autor:</t>
        </r>
        <r>
          <rPr>
            <sz val="9"/>
            <color indexed="81"/>
            <rFont val="Tahoma"/>
            <family val="2"/>
          </rPr>
          <t xml:space="preserve">
564-2019 Cesión 13,627 ton de Embarcacion  a EMDEPES SA</t>
        </r>
      </text>
    </comment>
    <comment ref="M123" authorId="0">
      <text>
        <r>
          <rPr>
            <b/>
            <sz val="9"/>
            <color indexed="81"/>
            <rFont val="Tahoma"/>
            <family val="2"/>
          </rPr>
          <t>Autor:</t>
        </r>
        <r>
          <rPr>
            <sz val="9"/>
            <color indexed="81"/>
            <rFont val="Tahoma"/>
            <family val="2"/>
          </rPr>
          <t xml:space="preserve">
Cierre Ord N° 19910
</t>
        </r>
      </text>
    </comment>
    <comment ref="H125" authorId="0">
      <text>
        <r>
          <rPr>
            <b/>
            <sz val="9"/>
            <color indexed="81"/>
            <rFont val="Tahoma"/>
            <family val="2"/>
          </rPr>
          <t>Autor:</t>
        </r>
        <r>
          <rPr>
            <sz val="9"/>
            <color indexed="81"/>
            <rFont val="Tahoma"/>
            <family val="2"/>
          </rPr>
          <t xml:space="preserve">
564-2019 Cesión 13,627 ton de Embarcacion  a EMDEPES SA</t>
        </r>
      </text>
    </comment>
    <comment ref="M125" authorId="0">
      <text>
        <r>
          <rPr>
            <b/>
            <sz val="9"/>
            <color indexed="81"/>
            <rFont val="Tahoma"/>
            <charset val="1"/>
          </rPr>
          <t>Autor:</t>
        </r>
        <r>
          <rPr>
            <sz val="9"/>
            <color indexed="81"/>
            <rFont val="Tahoma"/>
            <charset val="1"/>
          </rPr>
          <t xml:space="preserve">
cierre por completar cuota periodo ENER-JULIO</t>
        </r>
      </text>
    </comment>
    <comment ref="H127" authorId="0">
      <text>
        <r>
          <rPr>
            <b/>
            <sz val="9"/>
            <color indexed="81"/>
            <rFont val="Tahoma"/>
            <family val="2"/>
          </rPr>
          <t>Autor:</t>
        </r>
        <r>
          <rPr>
            <sz val="9"/>
            <color indexed="81"/>
            <rFont val="Tahoma"/>
            <family val="2"/>
          </rPr>
          <t xml:space="preserve">
564-2019 Cesión 13,627 ton de Embarcacion  a EMDEPES SA</t>
        </r>
      </text>
    </comment>
    <comment ref="M127" authorId="0">
      <text>
        <r>
          <rPr>
            <b/>
            <sz val="9"/>
            <color indexed="81"/>
            <rFont val="Tahoma"/>
            <family val="2"/>
          </rPr>
          <t>Autor:</t>
        </r>
        <r>
          <rPr>
            <sz val="9"/>
            <color indexed="81"/>
            <rFont val="Tahoma"/>
            <family val="2"/>
          </rPr>
          <t xml:space="preserve">
Cierre Ord N° 19910
</t>
        </r>
      </text>
    </comment>
    <comment ref="H129" authorId="0">
      <text>
        <r>
          <rPr>
            <b/>
            <sz val="9"/>
            <color indexed="81"/>
            <rFont val="Tahoma"/>
            <family val="2"/>
          </rPr>
          <t>Autor:</t>
        </r>
        <r>
          <rPr>
            <sz val="9"/>
            <color indexed="81"/>
            <rFont val="Tahoma"/>
            <family val="2"/>
          </rPr>
          <t xml:space="preserve">
564-2019 Cesión 13,627 ton de Embarcacion  a EMDEPES SA</t>
        </r>
      </text>
    </comment>
    <comment ref="M129" authorId="0">
      <text>
        <r>
          <rPr>
            <b/>
            <sz val="9"/>
            <color indexed="81"/>
            <rFont val="Tahoma"/>
            <family val="2"/>
          </rPr>
          <t>Autor:</t>
        </r>
        <r>
          <rPr>
            <sz val="9"/>
            <color indexed="81"/>
            <rFont val="Tahoma"/>
            <family val="2"/>
          </rPr>
          <t xml:space="preserve">
Cierre Ord N° 19910
</t>
        </r>
      </text>
    </comment>
    <comment ref="H131" authorId="0">
      <text>
        <r>
          <rPr>
            <b/>
            <sz val="9"/>
            <color indexed="81"/>
            <rFont val="Tahoma"/>
            <family val="2"/>
          </rPr>
          <t>Autor:</t>
        </r>
        <r>
          <rPr>
            <sz val="9"/>
            <color indexed="81"/>
            <rFont val="Tahoma"/>
            <family val="2"/>
          </rPr>
          <t xml:space="preserve">
564-2019 Cesión 13,627 ton de Embarcacion  a EMDEPES SA</t>
        </r>
      </text>
    </comment>
    <comment ref="M131" authorId="0">
      <text>
        <r>
          <rPr>
            <b/>
            <sz val="9"/>
            <color indexed="81"/>
            <rFont val="Tahoma"/>
            <charset val="1"/>
          </rPr>
          <t>Autor:</t>
        </r>
        <r>
          <rPr>
            <sz val="9"/>
            <color indexed="81"/>
            <rFont val="Tahoma"/>
            <charset val="1"/>
          </rPr>
          <t xml:space="preserve">
cierre por completar cuota periodo ENER-JULIO</t>
        </r>
      </text>
    </comment>
    <comment ref="H133" authorId="0">
      <text>
        <r>
          <rPr>
            <b/>
            <sz val="9"/>
            <color indexed="81"/>
            <rFont val="Tahoma"/>
            <family val="2"/>
          </rPr>
          <t>Autor:</t>
        </r>
        <r>
          <rPr>
            <sz val="9"/>
            <color indexed="81"/>
            <rFont val="Tahoma"/>
            <family val="2"/>
          </rPr>
          <t xml:space="preserve">
564-2019 Cesión 13,627 ton de Embarcacion  a EMDEPES SA</t>
        </r>
      </text>
    </comment>
    <comment ref="M133" authorId="0">
      <text>
        <r>
          <rPr>
            <b/>
            <sz val="9"/>
            <color indexed="81"/>
            <rFont val="Tahoma"/>
            <charset val="1"/>
          </rPr>
          <t>Autor:</t>
        </r>
        <r>
          <rPr>
            <sz val="9"/>
            <color indexed="81"/>
            <rFont val="Tahoma"/>
            <charset val="1"/>
          </rPr>
          <t xml:space="preserve">
cierre por completar cuota periodo ENER-JULIO</t>
        </r>
      </text>
    </comment>
    <comment ref="H135" authorId="0">
      <text>
        <r>
          <rPr>
            <b/>
            <sz val="9"/>
            <color indexed="81"/>
            <rFont val="Tahoma"/>
            <family val="2"/>
          </rPr>
          <t>Autor:</t>
        </r>
        <r>
          <rPr>
            <sz val="9"/>
            <color indexed="81"/>
            <rFont val="Tahoma"/>
            <family val="2"/>
          </rPr>
          <t xml:space="preserve">
564-2019 Cesión 13,627 ton de Embarcacion  a EMDEPES SA</t>
        </r>
      </text>
    </comment>
    <comment ref="M135" authorId="0">
      <text>
        <r>
          <rPr>
            <b/>
            <sz val="9"/>
            <color indexed="81"/>
            <rFont val="Tahoma"/>
            <family val="2"/>
          </rPr>
          <t>Autor:</t>
        </r>
        <r>
          <rPr>
            <sz val="9"/>
            <color indexed="81"/>
            <rFont val="Tahoma"/>
            <family val="2"/>
          </rPr>
          <t xml:space="preserve">
Cierre Ord N° 19910
</t>
        </r>
      </text>
    </comment>
    <comment ref="H137" authorId="0">
      <text>
        <r>
          <rPr>
            <b/>
            <sz val="9"/>
            <color indexed="81"/>
            <rFont val="Tahoma"/>
            <family val="2"/>
          </rPr>
          <t>Autor:</t>
        </r>
        <r>
          <rPr>
            <sz val="9"/>
            <color indexed="81"/>
            <rFont val="Tahoma"/>
            <family val="2"/>
          </rPr>
          <t xml:space="preserve">
446-2019 Cesión 13,627 ton de Embarcacion POLY AREA PTO NATALES   a EMDEPES SA</t>
        </r>
      </text>
    </comment>
    <comment ref="M137" authorId="0">
      <text>
        <r>
          <rPr>
            <b/>
            <sz val="9"/>
            <color indexed="81"/>
            <rFont val="Tahoma"/>
            <family val="2"/>
          </rPr>
          <t>Rgarcia:</t>
        </r>
        <r>
          <rPr>
            <sz val="9"/>
            <color indexed="81"/>
            <rFont val="Tahoma"/>
            <family val="2"/>
          </rPr>
          <t xml:space="preserve">
Cierre Ord N° 19755
</t>
        </r>
      </text>
    </comment>
    <comment ref="H139" authorId="0">
      <text>
        <r>
          <rPr>
            <b/>
            <sz val="9"/>
            <color indexed="81"/>
            <rFont val="Tahoma"/>
            <family val="2"/>
          </rPr>
          <t>Autor:</t>
        </r>
        <r>
          <rPr>
            <sz val="9"/>
            <color indexed="81"/>
            <rFont val="Tahoma"/>
            <family val="2"/>
          </rPr>
          <t xml:space="preserve">
564-2019 Cesión 13,627 ton de Embarcacion  a EMDEPES SA</t>
        </r>
      </text>
    </comment>
    <comment ref="M139" authorId="0">
      <text>
        <r>
          <rPr>
            <b/>
            <sz val="9"/>
            <color indexed="81"/>
            <rFont val="Tahoma"/>
            <family val="2"/>
          </rPr>
          <t>Autor:</t>
        </r>
        <r>
          <rPr>
            <sz val="9"/>
            <color indexed="81"/>
            <rFont val="Tahoma"/>
            <family val="2"/>
          </rPr>
          <t xml:space="preserve">
Cierre Ord N° 19910
</t>
        </r>
      </text>
    </comment>
    <comment ref="H141" authorId="0">
      <text>
        <r>
          <rPr>
            <b/>
            <sz val="9"/>
            <color indexed="81"/>
            <rFont val="Tahoma"/>
            <family val="2"/>
          </rPr>
          <t>Autor:</t>
        </r>
        <r>
          <rPr>
            <sz val="9"/>
            <color indexed="81"/>
            <rFont val="Tahoma"/>
            <family val="2"/>
          </rPr>
          <t xml:space="preserve">
564-2019 Cesión 13,627 ton de Embarcacion  a EMDEPES SA</t>
        </r>
      </text>
    </comment>
    <comment ref="M141" authorId="0">
      <text>
        <r>
          <rPr>
            <b/>
            <sz val="9"/>
            <color indexed="81"/>
            <rFont val="Tahoma"/>
            <family val="2"/>
          </rPr>
          <t>Autor:</t>
        </r>
        <r>
          <rPr>
            <sz val="9"/>
            <color indexed="81"/>
            <rFont val="Tahoma"/>
            <family val="2"/>
          </rPr>
          <t xml:space="preserve">
Cierre Ord N° 19910
</t>
        </r>
      </text>
    </comment>
    <comment ref="H143" authorId="0">
      <text>
        <r>
          <rPr>
            <b/>
            <sz val="9"/>
            <color indexed="81"/>
            <rFont val="Tahoma"/>
            <family val="2"/>
          </rPr>
          <t>Autor:</t>
        </r>
        <r>
          <rPr>
            <sz val="9"/>
            <color indexed="81"/>
            <rFont val="Tahoma"/>
            <family val="2"/>
          </rPr>
          <t xml:space="preserve">
688-2019 Cesión 13,500 ton de Embarcacion  a Deris S.A.</t>
        </r>
      </text>
    </comment>
    <comment ref="M143" authorId="0">
      <text>
        <r>
          <rPr>
            <b/>
            <sz val="9"/>
            <color indexed="81"/>
            <rFont val="Tahoma"/>
            <charset val="1"/>
          </rPr>
          <t>Autor:</t>
        </r>
        <r>
          <rPr>
            <sz val="9"/>
            <color indexed="81"/>
            <rFont val="Tahoma"/>
            <charset val="1"/>
          </rPr>
          <t xml:space="preserve">
cierre por completar cuota periodo ENER-JULIO</t>
        </r>
      </text>
    </comment>
    <comment ref="H145" authorId="0">
      <text>
        <r>
          <rPr>
            <b/>
            <sz val="9"/>
            <color indexed="81"/>
            <rFont val="Tahoma"/>
            <family val="2"/>
          </rPr>
          <t>Autor:</t>
        </r>
        <r>
          <rPr>
            <sz val="9"/>
            <color indexed="81"/>
            <rFont val="Tahoma"/>
            <family val="2"/>
          </rPr>
          <t xml:space="preserve">
564-2019 Cesión 13,627 ton de Embarcacion  a EMDEPES SA</t>
        </r>
      </text>
    </comment>
    <comment ref="M145" authorId="0">
      <text>
        <r>
          <rPr>
            <b/>
            <sz val="9"/>
            <color indexed="81"/>
            <rFont val="Tahoma"/>
            <family val="2"/>
          </rPr>
          <t>Autor:</t>
        </r>
        <r>
          <rPr>
            <sz val="9"/>
            <color indexed="81"/>
            <rFont val="Tahoma"/>
            <family val="2"/>
          </rPr>
          <t xml:space="preserve">
Cierre Ord N° 19910
</t>
        </r>
      </text>
    </comment>
    <comment ref="H147" authorId="0">
      <text>
        <r>
          <rPr>
            <b/>
            <sz val="9"/>
            <color indexed="81"/>
            <rFont val="Tahoma"/>
            <family val="2"/>
          </rPr>
          <t>Autor:</t>
        </r>
        <r>
          <rPr>
            <sz val="9"/>
            <color indexed="81"/>
            <rFont val="Tahoma"/>
            <family val="2"/>
          </rPr>
          <t xml:space="preserve">
564-2019 Cesión 13,627 ton de Embarcacion  a EMDEPES SA</t>
        </r>
      </text>
    </comment>
    <comment ref="M147" authorId="0">
      <text>
        <r>
          <rPr>
            <b/>
            <sz val="9"/>
            <color indexed="81"/>
            <rFont val="Tahoma"/>
            <family val="2"/>
          </rPr>
          <t>Autor:</t>
        </r>
        <r>
          <rPr>
            <sz val="9"/>
            <color indexed="81"/>
            <rFont val="Tahoma"/>
            <family val="2"/>
          </rPr>
          <t xml:space="preserve">
Cierre Ord N° 19910
</t>
        </r>
      </text>
    </comment>
    <comment ref="H149" authorId="0">
      <text>
        <r>
          <rPr>
            <b/>
            <sz val="9"/>
            <color indexed="81"/>
            <rFont val="Tahoma"/>
            <family val="2"/>
          </rPr>
          <t>Autor:</t>
        </r>
        <r>
          <rPr>
            <sz val="9"/>
            <color indexed="81"/>
            <rFont val="Tahoma"/>
            <family val="2"/>
          </rPr>
          <t xml:space="preserve">
564-2019 Cesión 13,627 ton de Embarcacion  a EMDEPES SA</t>
        </r>
      </text>
    </comment>
    <comment ref="M149" authorId="0">
      <text>
        <r>
          <rPr>
            <b/>
            <sz val="9"/>
            <color indexed="81"/>
            <rFont val="Tahoma"/>
            <family val="2"/>
          </rPr>
          <t>Autor:</t>
        </r>
        <r>
          <rPr>
            <sz val="9"/>
            <color indexed="81"/>
            <rFont val="Tahoma"/>
            <family val="2"/>
          </rPr>
          <t xml:space="preserve">
Cierre Ord N° 19910
</t>
        </r>
      </text>
    </comment>
    <comment ref="H151" authorId="0">
      <text>
        <r>
          <rPr>
            <b/>
            <sz val="9"/>
            <color indexed="81"/>
            <rFont val="Tahoma"/>
            <family val="2"/>
          </rPr>
          <t>Autor:</t>
        </r>
        <r>
          <rPr>
            <sz val="9"/>
            <color indexed="81"/>
            <rFont val="Tahoma"/>
            <family val="2"/>
          </rPr>
          <t xml:space="preserve">
564-2019 Cesión 13,627 ton de Embarcacion  a EMDEPES SA</t>
        </r>
      </text>
    </comment>
    <comment ref="M151" authorId="0">
      <text>
        <r>
          <rPr>
            <b/>
            <sz val="9"/>
            <color indexed="81"/>
            <rFont val="Tahoma"/>
            <family val="2"/>
          </rPr>
          <t>Autor:</t>
        </r>
        <r>
          <rPr>
            <sz val="9"/>
            <color indexed="81"/>
            <rFont val="Tahoma"/>
            <family val="2"/>
          </rPr>
          <t xml:space="preserve">
Cierre Ord N° 19910
</t>
        </r>
      </text>
    </comment>
    <comment ref="H153" authorId="0">
      <text>
        <r>
          <rPr>
            <b/>
            <sz val="9"/>
            <color indexed="81"/>
            <rFont val="Tahoma"/>
            <family val="2"/>
          </rPr>
          <t>Autor:</t>
        </r>
        <r>
          <rPr>
            <sz val="9"/>
            <color indexed="81"/>
            <rFont val="Tahoma"/>
            <family val="2"/>
          </rPr>
          <t xml:space="preserve">
564-2019 Cesión 13,627 ton de Embarcacion  a EMDEPES SA</t>
        </r>
      </text>
    </comment>
    <comment ref="M153" authorId="0">
      <text>
        <r>
          <rPr>
            <b/>
            <sz val="9"/>
            <color indexed="81"/>
            <rFont val="Tahoma"/>
            <family val="2"/>
          </rPr>
          <t>Autor:</t>
        </r>
        <r>
          <rPr>
            <sz val="9"/>
            <color indexed="81"/>
            <rFont val="Tahoma"/>
            <family val="2"/>
          </rPr>
          <t xml:space="preserve">
Cierre Ord N° 19910
</t>
        </r>
      </text>
    </comment>
    <comment ref="H155" authorId="0">
      <text>
        <r>
          <rPr>
            <b/>
            <sz val="9"/>
            <color indexed="81"/>
            <rFont val="Tahoma"/>
            <family val="2"/>
          </rPr>
          <t>Autor:</t>
        </r>
        <r>
          <rPr>
            <sz val="9"/>
            <color indexed="81"/>
            <rFont val="Tahoma"/>
            <family val="2"/>
          </rPr>
          <t xml:space="preserve">
564-2019 Cesión 13,627 ton de Embarcacion  a EMDEPES SA</t>
        </r>
      </text>
    </comment>
    <comment ref="M155" authorId="0">
      <text>
        <r>
          <rPr>
            <b/>
            <sz val="9"/>
            <color indexed="81"/>
            <rFont val="Tahoma"/>
            <family val="2"/>
          </rPr>
          <t>Autor:</t>
        </r>
        <r>
          <rPr>
            <sz val="9"/>
            <color indexed="81"/>
            <rFont val="Tahoma"/>
            <family val="2"/>
          </rPr>
          <t xml:space="preserve">
Cierre Ord N° 19910
</t>
        </r>
      </text>
    </comment>
    <comment ref="H157" authorId="0">
      <text>
        <r>
          <rPr>
            <b/>
            <sz val="9"/>
            <color indexed="81"/>
            <rFont val="Tahoma"/>
            <family val="2"/>
          </rPr>
          <t>Autor:</t>
        </r>
        <r>
          <rPr>
            <sz val="9"/>
            <color indexed="81"/>
            <rFont val="Tahoma"/>
            <family val="2"/>
          </rPr>
          <t xml:space="preserve">
564-2019 Cesión 13,627 ton de Embarcacion  a EMDEPES SA</t>
        </r>
      </text>
    </comment>
    <comment ref="M157" authorId="0">
      <text>
        <r>
          <rPr>
            <b/>
            <sz val="9"/>
            <color indexed="81"/>
            <rFont val="Tahoma"/>
            <family val="2"/>
          </rPr>
          <t>Autor:</t>
        </r>
        <r>
          <rPr>
            <sz val="9"/>
            <color indexed="81"/>
            <rFont val="Tahoma"/>
            <family val="2"/>
          </rPr>
          <t xml:space="preserve">
Cierre Ord N° 19910
</t>
        </r>
      </text>
    </comment>
    <comment ref="H159" authorId="0">
      <text>
        <r>
          <rPr>
            <b/>
            <sz val="9"/>
            <color indexed="81"/>
            <rFont val="Tahoma"/>
            <family val="2"/>
          </rPr>
          <t>Autor:</t>
        </r>
        <r>
          <rPr>
            <sz val="9"/>
            <color indexed="81"/>
            <rFont val="Tahoma"/>
            <family val="2"/>
          </rPr>
          <t xml:space="preserve">
564-2019 Cesión 13,627 ton de Embarcacion  a EMDEPES SA</t>
        </r>
      </text>
    </comment>
    <comment ref="M159" authorId="0">
      <text>
        <r>
          <rPr>
            <b/>
            <sz val="9"/>
            <color indexed="81"/>
            <rFont val="Tahoma"/>
            <family val="2"/>
          </rPr>
          <t>Autor:</t>
        </r>
        <r>
          <rPr>
            <sz val="9"/>
            <color indexed="81"/>
            <rFont val="Tahoma"/>
            <family val="2"/>
          </rPr>
          <t xml:space="preserve">
Cierre Ord N° 19910
</t>
        </r>
      </text>
    </comment>
    <comment ref="H161" authorId="0">
      <text>
        <r>
          <rPr>
            <b/>
            <sz val="9"/>
            <color indexed="81"/>
            <rFont val="Tahoma"/>
            <family val="2"/>
          </rPr>
          <t>Autor:</t>
        </r>
        <r>
          <rPr>
            <sz val="9"/>
            <color indexed="81"/>
            <rFont val="Tahoma"/>
            <family val="2"/>
          </rPr>
          <t xml:space="preserve">
564-2019 Cesión 13,627 ton de Embarcacion  a EMDEPES SA</t>
        </r>
      </text>
    </comment>
    <comment ref="M161" authorId="0">
      <text>
        <r>
          <rPr>
            <b/>
            <sz val="9"/>
            <color indexed="81"/>
            <rFont val="Tahoma"/>
            <family val="2"/>
          </rPr>
          <t>Autor:</t>
        </r>
        <r>
          <rPr>
            <sz val="9"/>
            <color indexed="81"/>
            <rFont val="Tahoma"/>
            <family val="2"/>
          </rPr>
          <t xml:space="preserve">
Cierre Ord N° 19910
</t>
        </r>
      </text>
    </comment>
    <comment ref="H163" authorId="0">
      <text>
        <r>
          <rPr>
            <b/>
            <sz val="9"/>
            <color indexed="81"/>
            <rFont val="Tahoma"/>
            <family val="2"/>
          </rPr>
          <t>Autor:</t>
        </r>
        <r>
          <rPr>
            <sz val="9"/>
            <color indexed="81"/>
            <rFont val="Tahoma"/>
            <family val="2"/>
          </rPr>
          <t xml:space="preserve">
564-2019 Cesión 13,627 ton de Embarcacion  a EMDEPES SA</t>
        </r>
      </text>
    </comment>
    <comment ref="M163" authorId="0">
      <text>
        <r>
          <rPr>
            <b/>
            <sz val="9"/>
            <color indexed="81"/>
            <rFont val="Tahoma"/>
            <family val="2"/>
          </rPr>
          <t>Autor:</t>
        </r>
        <r>
          <rPr>
            <sz val="9"/>
            <color indexed="81"/>
            <rFont val="Tahoma"/>
            <family val="2"/>
          </rPr>
          <t xml:space="preserve">
Cierre Ord N° 19910
</t>
        </r>
      </text>
    </comment>
    <comment ref="H165" authorId="0">
      <text>
        <r>
          <rPr>
            <b/>
            <sz val="9"/>
            <color indexed="81"/>
            <rFont val="Tahoma"/>
            <family val="2"/>
          </rPr>
          <t>Autor:</t>
        </r>
        <r>
          <rPr>
            <sz val="9"/>
            <color indexed="81"/>
            <rFont val="Tahoma"/>
            <family val="2"/>
          </rPr>
          <t xml:space="preserve">
564-2019 Cesión 13,627 ton de Embarcacion  a EMDEPES SA</t>
        </r>
      </text>
    </comment>
    <comment ref="M165" authorId="0">
      <text>
        <r>
          <rPr>
            <b/>
            <sz val="9"/>
            <color indexed="81"/>
            <rFont val="Tahoma"/>
            <family val="2"/>
          </rPr>
          <t>Autor:</t>
        </r>
        <r>
          <rPr>
            <sz val="9"/>
            <color indexed="81"/>
            <rFont val="Tahoma"/>
            <family val="2"/>
          </rPr>
          <t xml:space="preserve">
Cierre Ord N° 19910
</t>
        </r>
      </text>
    </comment>
    <comment ref="H167" authorId="0">
      <text>
        <r>
          <rPr>
            <b/>
            <sz val="9"/>
            <color indexed="81"/>
            <rFont val="Tahoma"/>
            <family val="2"/>
          </rPr>
          <t>Autor:</t>
        </r>
        <r>
          <rPr>
            <sz val="9"/>
            <color indexed="81"/>
            <rFont val="Tahoma"/>
            <family val="2"/>
          </rPr>
          <t xml:space="preserve">
564-2019 Cesión 13,627 ton de Embarcacion  a EMDEPES SA</t>
        </r>
      </text>
    </comment>
    <comment ref="M167" authorId="0">
      <text>
        <r>
          <rPr>
            <b/>
            <sz val="9"/>
            <color indexed="81"/>
            <rFont val="Tahoma"/>
            <family val="2"/>
          </rPr>
          <t>Autor:</t>
        </r>
        <r>
          <rPr>
            <sz val="9"/>
            <color indexed="81"/>
            <rFont val="Tahoma"/>
            <family val="2"/>
          </rPr>
          <t xml:space="preserve">
Cierre Ord N° 19910
</t>
        </r>
      </text>
    </comment>
    <comment ref="H169" authorId="0">
      <text>
        <r>
          <rPr>
            <b/>
            <sz val="9"/>
            <color indexed="81"/>
            <rFont val="Tahoma"/>
            <family val="2"/>
          </rPr>
          <t>Autor:</t>
        </r>
        <r>
          <rPr>
            <sz val="9"/>
            <color indexed="81"/>
            <rFont val="Tahoma"/>
            <family val="2"/>
          </rPr>
          <t xml:space="preserve">
564-2019 Cesión 13,627 ton de Embarcacion  a EMDEPES SA</t>
        </r>
      </text>
    </comment>
    <comment ref="M169" authorId="0">
      <text>
        <r>
          <rPr>
            <b/>
            <sz val="9"/>
            <color indexed="81"/>
            <rFont val="Tahoma"/>
            <family val="2"/>
          </rPr>
          <t>Autor:</t>
        </r>
        <r>
          <rPr>
            <sz val="9"/>
            <color indexed="81"/>
            <rFont val="Tahoma"/>
            <family val="2"/>
          </rPr>
          <t xml:space="preserve">
Cierre Ord N° 19910
</t>
        </r>
      </text>
    </comment>
    <comment ref="H171" authorId="0">
      <text>
        <r>
          <rPr>
            <b/>
            <sz val="9"/>
            <color indexed="81"/>
            <rFont val="Tahoma"/>
            <family val="2"/>
          </rPr>
          <t>Autor:</t>
        </r>
        <r>
          <rPr>
            <sz val="9"/>
            <color indexed="81"/>
            <rFont val="Tahoma"/>
            <family val="2"/>
          </rPr>
          <t xml:space="preserve">
564-2019 Cesión 13,627 ton de Embarcacion  a EMDEPES SA</t>
        </r>
      </text>
    </comment>
    <comment ref="M171" authorId="0">
      <text>
        <r>
          <rPr>
            <b/>
            <sz val="9"/>
            <color indexed="81"/>
            <rFont val="Tahoma"/>
            <family val="2"/>
          </rPr>
          <t>Autor:</t>
        </r>
        <r>
          <rPr>
            <sz val="9"/>
            <color indexed="81"/>
            <rFont val="Tahoma"/>
            <family val="2"/>
          </rPr>
          <t xml:space="preserve">
Cierre Ord N° 19910
</t>
        </r>
      </text>
    </comment>
    <comment ref="H173" authorId="0">
      <text>
        <r>
          <rPr>
            <b/>
            <sz val="9"/>
            <color indexed="81"/>
            <rFont val="Tahoma"/>
            <family val="2"/>
          </rPr>
          <t>Autor:</t>
        </r>
        <r>
          <rPr>
            <sz val="9"/>
            <color indexed="81"/>
            <rFont val="Tahoma"/>
            <family val="2"/>
          </rPr>
          <t xml:space="preserve">
564-2019 Cesión 13,627 ton de Embarcacion  a EMDEPES SA</t>
        </r>
      </text>
    </comment>
    <comment ref="M173" authorId="0">
      <text>
        <r>
          <rPr>
            <b/>
            <sz val="9"/>
            <color indexed="81"/>
            <rFont val="Tahoma"/>
            <family val="2"/>
          </rPr>
          <t>Autor:</t>
        </r>
        <r>
          <rPr>
            <sz val="9"/>
            <color indexed="81"/>
            <rFont val="Tahoma"/>
            <family val="2"/>
          </rPr>
          <t xml:space="preserve">
Cierre Ord N° 19910
</t>
        </r>
      </text>
    </comment>
    <comment ref="H175" authorId="0">
      <text>
        <r>
          <rPr>
            <b/>
            <sz val="9"/>
            <color indexed="81"/>
            <rFont val="Tahoma"/>
            <family val="2"/>
          </rPr>
          <t>Autor:</t>
        </r>
        <r>
          <rPr>
            <sz val="9"/>
            <color indexed="81"/>
            <rFont val="Tahoma"/>
            <family val="2"/>
          </rPr>
          <t xml:space="preserve">
564-2019 Cesión 13,627 ton de Embarcacion  a EMDEPES SA</t>
        </r>
      </text>
    </comment>
    <comment ref="M175" authorId="0">
      <text>
        <r>
          <rPr>
            <b/>
            <sz val="9"/>
            <color indexed="81"/>
            <rFont val="Tahoma"/>
            <family val="2"/>
          </rPr>
          <t>Autor:</t>
        </r>
        <r>
          <rPr>
            <sz val="9"/>
            <color indexed="81"/>
            <rFont val="Tahoma"/>
            <family val="2"/>
          </rPr>
          <t xml:space="preserve">
Cierre Ord N° 19910
</t>
        </r>
      </text>
    </comment>
    <comment ref="H177" authorId="0">
      <text>
        <r>
          <rPr>
            <b/>
            <sz val="9"/>
            <color indexed="81"/>
            <rFont val="Tahoma"/>
            <family val="2"/>
          </rPr>
          <t>Autor:</t>
        </r>
        <r>
          <rPr>
            <sz val="9"/>
            <color indexed="81"/>
            <rFont val="Tahoma"/>
            <family val="2"/>
          </rPr>
          <t xml:space="preserve">
564-2019 Cesión 13,627 ton de Embarcacion  a EMDEPES SA</t>
        </r>
      </text>
    </comment>
    <comment ref="M177" authorId="0">
      <text>
        <r>
          <rPr>
            <b/>
            <sz val="9"/>
            <color indexed="81"/>
            <rFont val="Tahoma"/>
            <family val="2"/>
          </rPr>
          <t>Autor:</t>
        </r>
        <r>
          <rPr>
            <sz val="9"/>
            <color indexed="81"/>
            <rFont val="Tahoma"/>
            <family val="2"/>
          </rPr>
          <t xml:space="preserve">
Cierre Ord N° 19910
</t>
        </r>
      </text>
    </comment>
    <comment ref="H179" authorId="0">
      <text>
        <r>
          <rPr>
            <b/>
            <sz val="9"/>
            <color indexed="81"/>
            <rFont val="Tahoma"/>
            <family val="2"/>
          </rPr>
          <t>Autor:</t>
        </r>
        <r>
          <rPr>
            <sz val="9"/>
            <color indexed="81"/>
            <rFont val="Tahoma"/>
            <family val="2"/>
          </rPr>
          <t xml:space="preserve">
564-2019 Cesión 13,627 ton de Embarcacion  a EMDEPES SA</t>
        </r>
      </text>
    </comment>
    <comment ref="M179" authorId="0">
      <text>
        <r>
          <rPr>
            <b/>
            <sz val="9"/>
            <color indexed="81"/>
            <rFont val="Tahoma"/>
            <family val="2"/>
          </rPr>
          <t>Autor:</t>
        </r>
        <r>
          <rPr>
            <sz val="9"/>
            <color indexed="81"/>
            <rFont val="Tahoma"/>
            <family val="2"/>
          </rPr>
          <t xml:space="preserve">
Cierre Ord N° 19910
</t>
        </r>
      </text>
    </comment>
    <comment ref="H181" authorId="0">
      <text>
        <r>
          <rPr>
            <b/>
            <sz val="9"/>
            <color indexed="81"/>
            <rFont val="Tahoma"/>
            <family val="2"/>
          </rPr>
          <t>Autor:</t>
        </r>
        <r>
          <rPr>
            <sz val="9"/>
            <color indexed="81"/>
            <rFont val="Tahoma"/>
            <family val="2"/>
          </rPr>
          <t xml:space="preserve">
564-2019 Cesión 13,627 ton de Embarcacion  a EMDEPES SA</t>
        </r>
      </text>
    </comment>
    <comment ref="M181" authorId="0">
      <text>
        <r>
          <rPr>
            <b/>
            <sz val="9"/>
            <color indexed="81"/>
            <rFont val="Tahoma"/>
            <family val="2"/>
          </rPr>
          <t>Autor:</t>
        </r>
        <r>
          <rPr>
            <sz val="9"/>
            <color indexed="81"/>
            <rFont val="Tahoma"/>
            <family val="2"/>
          </rPr>
          <t xml:space="preserve">
Cierre Ord N° 19910
</t>
        </r>
      </text>
    </comment>
    <comment ref="H183" authorId="0">
      <text>
        <r>
          <rPr>
            <b/>
            <sz val="9"/>
            <color indexed="81"/>
            <rFont val="Tahoma"/>
            <family val="2"/>
          </rPr>
          <t>Autor:</t>
        </r>
        <r>
          <rPr>
            <sz val="9"/>
            <color indexed="81"/>
            <rFont val="Tahoma"/>
            <family val="2"/>
          </rPr>
          <t xml:space="preserve">
564-2019 Cesión 13,627 ton de Embarcacion  a EMDEPES SA</t>
        </r>
      </text>
    </comment>
    <comment ref="M183" authorId="0">
      <text>
        <r>
          <rPr>
            <b/>
            <sz val="9"/>
            <color indexed="81"/>
            <rFont val="Tahoma"/>
            <family val="2"/>
          </rPr>
          <t>Autor:</t>
        </r>
        <r>
          <rPr>
            <sz val="9"/>
            <color indexed="81"/>
            <rFont val="Tahoma"/>
            <family val="2"/>
          </rPr>
          <t xml:space="preserve">
Cierre Ord N° 19910
</t>
        </r>
      </text>
    </comment>
    <comment ref="H185" authorId="0">
      <text>
        <r>
          <rPr>
            <b/>
            <sz val="9"/>
            <color indexed="81"/>
            <rFont val="Tahoma"/>
            <family val="2"/>
          </rPr>
          <t>Autor:</t>
        </r>
        <r>
          <rPr>
            <sz val="9"/>
            <color indexed="81"/>
            <rFont val="Tahoma"/>
            <family val="2"/>
          </rPr>
          <t xml:space="preserve">
564-2019 Cesión 13,627 ton de Embarcacion  a EMDEPES SA</t>
        </r>
      </text>
    </comment>
    <comment ref="M185" authorId="0">
      <text>
        <r>
          <rPr>
            <b/>
            <sz val="9"/>
            <color indexed="81"/>
            <rFont val="Tahoma"/>
            <family val="2"/>
          </rPr>
          <t>Autor:</t>
        </r>
        <r>
          <rPr>
            <sz val="9"/>
            <color indexed="81"/>
            <rFont val="Tahoma"/>
            <family val="2"/>
          </rPr>
          <t xml:space="preserve">
Cierre Ord N° 19910
</t>
        </r>
      </text>
    </comment>
    <comment ref="H187" authorId="0">
      <text>
        <r>
          <rPr>
            <b/>
            <sz val="9"/>
            <color indexed="81"/>
            <rFont val="Tahoma"/>
            <family val="2"/>
          </rPr>
          <t>Autor:</t>
        </r>
        <r>
          <rPr>
            <sz val="9"/>
            <color indexed="81"/>
            <rFont val="Tahoma"/>
            <family val="2"/>
          </rPr>
          <t xml:space="preserve">
564-2019 Cesión 13,627 ton de Embarcacion  a EMDEPES SA</t>
        </r>
      </text>
    </comment>
    <comment ref="M187" authorId="0">
      <text>
        <r>
          <rPr>
            <b/>
            <sz val="9"/>
            <color indexed="81"/>
            <rFont val="Tahoma"/>
            <family val="2"/>
          </rPr>
          <t>Autor:</t>
        </r>
        <r>
          <rPr>
            <sz val="9"/>
            <color indexed="81"/>
            <rFont val="Tahoma"/>
            <family val="2"/>
          </rPr>
          <t xml:space="preserve">
Cierre Ord N° 19910
</t>
        </r>
      </text>
    </comment>
    <comment ref="H189" authorId="0">
      <text>
        <r>
          <rPr>
            <b/>
            <sz val="9"/>
            <color indexed="81"/>
            <rFont val="Tahoma"/>
            <family val="2"/>
          </rPr>
          <t>Autor:</t>
        </r>
        <r>
          <rPr>
            <sz val="9"/>
            <color indexed="81"/>
            <rFont val="Tahoma"/>
            <family val="2"/>
          </rPr>
          <t xml:space="preserve">
688-2019 Cesión 13,597 ton de Embarcacion  a Deris S.A.</t>
        </r>
      </text>
    </comment>
    <comment ref="M189" authorId="0">
      <text>
        <r>
          <rPr>
            <b/>
            <sz val="9"/>
            <color indexed="81"/>
            <rFont val="Tahoma"/>
            <charset val="1"/>
          </rPr>
          <t>Autor:</t>
        </r>
        <r>
          <rPr>
            <sz val="9"/>
            <color indexed="81"/>
            <rFont val="Tahoma"/>
            <charset val="1"/>
          </rPr>
          <t xml:space="preserve">
cierre por completar cuota periodo ENER-JULIO</t>
        </r>
      </text>
    </comment>
    <comment ref="H191" authorId="0">
      <text>
        <r>
          <rPr>
            <b/>
            <sz val="9"/>
            <color indexed="81"/>
            <rFont val="Tahoma"/>
            <family val="2"/>
          </rPr>
          <t>Autor:</t>
        </r>
        <r>
          <rPr>
            <sz val="9"/>
            <color indexed="81"/>
            <rFont val="Tahoma"/>
            <family val="2"/>
          </rPr>
          <t xml:space="preserve">
564-2019 Cesión 13,627 ton de Embarcacion  a EMDEPES SA</t>
        </r>
      </text>
    </comment>
    <comment ref="M191" authorId="0">
      <text>
        <r>
          <rPr>
            <b/>
            <sz val="9"/>
            <color indexed="81"/>
            <rFont val="Tahoma"/>
            <family val="2"/>
          </rPr>
          <t>Autor:</t>
        </r>
        <r>
          <rPr>
            <sz val="9"/>
            <color indexed="81"/>
            <rFont val="Tahoma"/>
            <family val="2"/>
          </rPr>
          <t xml:space="preserve">
Cierre Ord N° 19910
</t>
        </r>
      </text>
    </comment>
    <comment ref="H193" authorId="0">
      <text>
        <r>
          <rPr>
            <b/>
            <sz val="9"/>
            <color indexed="81"/>
            <rFont val="Tahoma"/>
            <family val="2"/>
          </rPr>
          <t>Autor:</t>
        </r>
        <r>
          <rPr>
            <sz val="9"/>
            <color indexed="81"/>
            <rFont val="Tahoma"/>
            <family val="2"/>
          </rPr>
          <t xml:space="preserve">
678-2019 Cesión 13,627 ton de Embarcacion a Deris S.A.</t>
        </r>
      </text>
    </comment>
    <comment ref="M193" authorId="0">
      <text>
        <r>
          <rPr>
            <b/>
            <sz val="9"/>
            <color indexed="81"/>
            <rFont val="Tahoma"/>
            <family val="2"/>
          </rPr>
          <t>Rgarcia:</t>
        </r>
        <r>
          <rPr>
            <sz val="9"/>
            <color indexed="81"/>
            <rFont val="Tahoma"/>
            <family val="2"/>
          </rPr>
          <t xml:space="preserve">
Cierre Ord N° 19911
</t>
        </r>
      </text>
    </comment>
    <comment ref="H195" authorId="0">
      <text>
        <r>
          <rPr>
            <b/>
            <sz val="9"/>
            <color indexed="81"/>
            <rFont val="Tahoma"/>
            <family val="2"/>
          </rPr>
          <t>Autor:</t>
        </r>
        <r>
          <rPr>
            <sz val="9"/>
            <color indexed="81"/>
            <rFont val="Tahoma"/>
            <family val="2"/>
          </rPr>
          <t xml:space="preserve">
810-2019 Cesión 13,627 ton de Embarcacion  a EMDEPES SA</t>
        </r>
      </text>
    </comment>
    <comment ref="M195" authorId="0">
      <text>
        <r>
          <rPr>
            <b/>
            <sz val="9"/>
            <color indexed="81"/>
            <rFont val="Tahoma"/>
            <family val="2"/>
          </rPr>
          <t>Rgarcia:</t>
        </r>
        <r>
          <rPr>
            <sz val="9"/>
            <color indexed="81"/>
            <rFont val="Tahoma"/>
            <family val="2"/>
          </rPr>
          <t xml:space="preserve">
Cierre Ord N° 19911
</t>
        </r>
      </text>
    </comment>
    <comment ref="H197" authorId="0">
      <text>
        <r>
          <rPr>
            <b/>
            <sz val="9"/>
            <color indexed="81"/>
            <rFont val="Tahoma"/>
            <family val="2"/>
          </rPr>
          <t>Autor:</t>
        </r>
        <r>
          <rPr>
            <sz val="9"/>
            <color indexed="81"/>
            <rFont val="Tahoma"/>
            <family val="2"/>
          </rPr>
          <t xml:space="preserve">
564-2019 Cesión 13,627 ton de Embarcacion  a EMDEPES SA</t>
        </r>
      </text>
    </comment>
    <comment ref="M197" authorId="0">
      <text>
        <r>
          <rPr>
            <b/>
            <sz val="9"/>
            <color indexed="81"/>
            <rFont val="Tahoma"/>
            <family val="2"/>
          </rPr>
          <t>Autor:</t>
        </r>
        <r>
          <rPr>
            <sz val="9"/>
            <color indexed="81"/>
            <rFont val="Tahoma"/>
            <family val="2"/>
          </rPr>
          <t xml:space="preserve">
Cierre Ord N° 19910
</t>
        </r>
      </text>
    </comment>
    <comment ref="H199" authorId="0">
      <text>
        <r>
          <rPr>
            <b/>
            <sz val="9"/>
            <color indexed="81"/>
            <rFont val="Tahoma"/>
            <family val="2"/>
          </rPr>
          <t>Autor:</t>
        </r>
        <r>
          <rPr>
            <sz val="9"/>
            <color indexed="81"/>
            <rFont val="Tahoma"/>
            <family val="2"/>
          </rPr>
          <t xml:space="preserve">
564-2019 Cesión 13,627 ton de Embarcacion  a EMDEPES SA</t>
        </r>
      </text>
    </comment>
    <comment ref="M199" authorId="0">
      <text>
        <r>
          <rPr>
            <b/>
            <sz val="9"/>
            <color indexed="81"/>
            <rFont val="Tahoma"/>
            <family val="2"/>
          </rPr>
          <t>Autor:</t>
        </r>
        <r>
          <rPr>
            <sz val="9"/>
            <color indexed="81"/>
            <rFont val="Tahoma"/>
            <family val="2"/>
          </rPr>
          <t xml:space="preserve">
Cierre Ord N° 19910
</t>
        </r>
      </text>
    </comment>
    <comment ref="H201" authorId="0">
      <text>
        <r>
          <rPr>
            <b/>
            <sz val="9"/>
            <color indexed="81"/>
            <rFont val="Tahoma"/>
            <family val="2"/>
          </rPr>
          <t>Autor:</t>
        </r>
        <r>
          <rPr>
            <sz val="9"/>
            <color indexed="81"/>
            <rFont val="Tahoma"/>
            <family val="2"/>
          </rPr>
          <t xml:space="preserve">
678-2019 Cesión 13,627 ton de Embarcacion a Deris S.A.</t>
        </r>
      </text>
    </comment>
    <comment ref="M201" authorId="0">
      <text>
        <r>
          <rPr>
            <b/>
            <sz val="9"/>
            <color indexed="81"/>
            <rFont val="Tahoma"/>
            <family val="2"/>
          </rPr>
          <t>Rgarcia:</t>
        </r>
        <r>
          <rPr>
            <sz val="9"/>
            <color indexed="81"/>
            <rFont val="Tahoma"/>
            <family val="2"/>
          </rPr>
          <t xml:space="preserve">
Cierre Ord N° 19911
</t>
        </r>
      </text>
    </comment>
    <comment ref="H203" authorId="0">
      <text>
        <r>
          <rPr>
            <b/>
            <sz val="9"/>
            <color indexed="81"/>
            <rFont val="Tahoma"/>
            <family val="2"/>
          </rPr>
          <t>Autor:</t>
        </r>
        <r>
          <rPr>
            <sz val="9"/>
            <color indexed="81"/>
            <rFont val="Tahoma"/>
            <family val="2"/>
          </rPr>
          <t xml:space="preserve">
678-2019 Cesión 13,627 ton de Embarcacion a Deris S.A.</t>
        </r>
      </text>
    </comment>
    <comment ref="M203" authorId="0">
      <text>
        <r>
          <rPr>
            <b/>
            <sz val="9"/>
            <color indexed="81"/>
            <rFont val="Tahoma"/>
            <family val="2"/>
          </rPr>
          <t>Rgarcia:</t>
        </r>
        <r>
          <rPr>
            <sz val="9"/>
            <color indexed="81"/>
            <rFont val="Tahoma"/>
            <family val="2"/>
          </rPr>
          <t xml:space="preserve">
Cierre Ord N° 19911
</t>
        </r>
      </text>
    </comment>
    <comment ref="H205" authorId="0">
      <text>
        <r>
          <rPr>
            <b/>
            <sz val="9"/>
            <color indexed="81"/>
            <rFont val="Tahoma"/>
            <family val="2"/>
          </rPr>
          <t>Autor:</t>
        </r>
        <r>
          <rPr>
            <sz val="9"/>
            <color indexed="81"/>
            <rFont val="Tahoma"/>
            <family val="2"/>
          </rPr>
          <t xml:space="preserve">
564-2019 Cesión 13,627 ton de Embarcacion  a EMDEPES SA</t>
        </r>
      </text>
    </comment>
    <comment ref="M205" authorId="0">
      <text>
        <r>
          <rPr>
            <b/>
            <sz val="9"/>
            <color indexed="81"/>
            <rFont val="Tahoma"/>
            <family val="2"/>
          </rPr>
          <t>Autor:</t>
        </r>
        <r>
          <rPr>
            <sz val="9"/>
            <color indexed="81"/>
            <rFont val="Tahoma"/>
            <family val="2"/>
          </rPr>
          <t xml:space="preserve">
Cierre Ord N° 19910
</t>
        </r>
      </text>
    </comment>
    <comment ref="H207" authorId="0">
      <text>
        <r>
          <rPr>
            <b/>
            <sz val="9"/>
            <color indexed="81"/>
            <rFont val="Tahoma"/>
            <family val="2"/>
          </rPr>
          <t>Autor:</t>
        </r>
        <r>
          <rPr>
            <sz val="9"/>
            <color indexed="81"/>
            <rFont val="Tahoma"/>
            <family val="2"/>
          </rPr>
          <t xml:space="preserve">
564-2019 Cesión 13,627 ton de Embarcacion  a EMDEPES SA</t>
        </r>
      </text>
    </comment>
    <comment ref="M207" authorId="0">
      <text>
        <r>
          <rPr>
            <b/>
            <sz val="9"/>
            <color indexed="81"/>
            <rFont val="Tahoma"/>
            <family val="2"/>
          </rPr>
          <t>Autor:</t>
        </r>
        <r>
          <rPr>
            <sz val="9"/>
            <color indexed="81"/>
            <rFont val="Tahoma"/>
            <family val="2"/>
          </rPr>
          <t xml:space="preserve">
Cierre Ord N° 19910
</t>
        </r>
      </text>
    </comment>
    <comment ref="H209" authorId="0">
      <text>
        <r>
          <rPr>
            <b/>
            <sz val="9"/>
            <color indexed="81"/>
            <rFont val="Tahoma"/>
            <family val="2"/>
          </rPr>
          <t>Autor:</t>
        </r>
        <r>
          <rPr>
            <sz val="9"/>
            <color indexed="81"/>
            <rFont val="Tahoma"/>
            <family val="2"/>
          </rPr>
          <t xml:space="preserve">
564-2019 Cesión 13,627 ton de Embarcacion  a EMDEPES SA</t>
        </r>
      </text>
    </comment>
    <comment ref="M209" authorId="0">
      <text>
        <r>
          <rPr>
            <b/>
            <sz val="9"/>
            <color indexed="81"/>
            <rFont val="Tahoma"/>
            <family val="2"/>
          </rPr>
          <t>Autor:</t>
        </r>
        <r>
          <rPr>
            <sz val="9"/>
            <color indexed="81"/>
            <rFont val="Tahoma"/>
            <family val="2"/>
          </rPr>
          <t xml:space="preserve">
Cierre Ord N° 19910
</t>
        </r>
      </text>
    </comment>
    <comment ref="H211" authorId="0">
      <text>
        <r>
          <rPr>
            <b/>
            <sz val="9"/>
            <color indexed="81"/>
            <rFont val="Tahoma"/>
            <family val="2"/>
          </rPr>
          <t>Autor:</t>
        </r>
        <r>
          <rPr>
            <sz val="9"/>
            <color indexed="81"/>
            <rFont val="Tahoma"/>
            <family val="2"/>
          </rPr>
          <t xml:space="preserve">
564-2019 Cesión 13,627 ton de Embarcacion  a EMDEPES SA</t>
        </r>
      </text>
    </comment>
    <comment ref="M211" authorId="0">
      <text>
        <r>
          <rPr>
            <b/>
            <sz val="9"/>
            <color indexed="81"/>
            <rFont val="Tahoma"/>
            <family val="2"/>
          </rPr>
          <t>Autor:</t>
        </r>
        <r>
          <rPr>
            <sz val="9"/>
            <color indexed="81"/>
            <rFont val="Tahoma"/>
            <family val="2"/>
          </rPr>
          <t xml:space="preserve">
Cierre Ord N° 19910
</t>
        </r>
      </text>
    </comment>
    <comment ref="H213" authorId="0">
      <text>
        <r>
          <rPr>
            <b/>
            <sz val="9"/>
            <color indexed="81"/>
            <rFont val="Tahoma"/>
            <family val="2"/>
          </rPr>
          <t>Autor:</t>
        </r>
        <r>
          <rPr>
            <sz val="9"/>
            <color indexed="81"/>
            <rFont val="Tahoma"/>
            <family val="2"/>
          </rPr>
          <t xml:space="preserve">
688-2019 Cesión 11,627 ton de Embarcacion  a Deris S.A.</t>
        </r>
      </text>
    </comment>
    <comment ref="M213" authorId="0">
      <text>
        <r>
          <rPr>
            <b/>
            <sz val="9"/>
            <color indexed="81"/>
            <rFont val="Tahoma"/>
            <charset val="1"/>
          </rPr>
          <t>Autor:</t>
        </r>
        <r>
          <rPr>
            <sz val="9"/>
            <color indexed="81"/>
            <rFont val="Tahoma"/>
            <charset val="1"/>
          </rPr>
          <t xml:space="preserve">
cierre por completar cuota periodo ENER-JULIO</t>
        </r>
      </text>
    </comment>
    <comment ref="H215" authorId="0">
      <text>
        <r>
          <rPr>
            <b/>
            <sz val="9"/>
            <color indexed="81"/>
            <rFont val="Tahoma"/>
            <family val="2"/>
          </rPr>
          <t>Autor:</t>
        </r>
        <r>
          <rPr>
            <sz val="9"/>
            <color indexed="81"/>
            <rFont val="Tahoma"/>
            <family val="2"/>
          </rPr>
          <t xml:space="preserve">
564-2019 Cesión 13,627 ton de Embarcacion  a EMDEPES SA</t>
        </r>
      </text>
    </comment>
    <comment ref="M215" authorId="0">
      <text>
        <r>
          <rPr>
            <b/>
            <sz val="9"/>
            <color indexed="81"/>
            <rFont val="Tahoma"/>
            <family val="2"/>
          </rPr>
          <t>Autor:</t>
        </r>
        <r>
          <rPr>
            <sz val="9"/>
            <color indexed="81"/>
            <rFont val="Tahoma"/>
            <family val="2"/>
          </rPr>
          <t xml:space="preserve">
Cierre Ord N° 19910
</t>
        </r>
      </text>
    </comment>
    <comment ref="H217" authorId="0">
      <text>
        <r>
          <rPr>
            <b/>
            <sz val="9"/>
            <color indexed="81"/>
            <rFont val="Tahoma"/>
            <family val="2"/>
          </rPr>
          <t>Autor:</t>
        </r>
        <r>
          <rPr>
            <sz val="9"/>
            <color indexed="81"/>
            <rFont val="Tahoma"/>
            <family val="2"/>
          </rPr>
          <t xml:space="preserve">
688-2019 Cesión 11,627 ton de Embarcacion  a Deris S.A.</t>
        </r>
      </text>
    </comment>
    <comment ref="M217" authorId="0">
      <text>
        <r>
          <rPr>
            <b/>
            <sz val="9"/>
            <color indexed="81"/>
            <rFont val="Tahoma"/>
            <charset val="1"/>
          </rPr>
          <t>Autor:</t>
        </r>
        <r>
          <rPr>
            <sz val="9"/>
            <color indexed="81"/>
            <rFont val="Tahoma"/>
            <charset val="1"/>
          </rPr>
          <t xml:space="preserve">
cierre por completar cuota periodo ENER-JULIO</t>
        </r>
      </text>
    </comment>
    <comment ref="H219" authorId="0">
      <text>
        <r>
          <rPr>
            <b/>
            <sz val="9"/>
            <color indexed="81"/>
            <rFont val="Tahoma"/>
            <family val="2"/>
          </rPr>
          <t>Autor:</t>
        </r>
        <r>
          <rPr>
            <sz val="9"/>
            <color indexed="81"/>
            <rFont val="Tahoma"/>
            <family val="2"/>
          </rPr>
          <t xml:space="preserve">
564-2019 Cesión 13,627 ton de Embarcacion  a EMDEPES SA</t>
        </r>
      </text>
    </comment>
    <comment ref="M219" authorId="0">
      <text>
        <r>
          <rPr>
            <b/>
            <sz val="9"/>
            <color indexed="81"/>
            <rFont val="Tahoma"/>
            <family val="2"/>
          </rPr>
          <t>Autor:</t>
        </r>
        <r>
          <rPr>
            <sz val="9"/>
            <color indexed="81"/>
            <rFont val="Tahoma"/>
            <family val="2"/>
          </rPr>
          <t xml:space="preserve">
Cierre Ord N° 19910
</t>
        </r>
      </text>
    </comment>
    <comment ref="H221" authorId="0">
      <text>
        <r>
          <rPr>
            <b/>
            <sz val="9"/>
            <color indexed="81"/>
            <rFont val="Tahoma"/>
            <family val="2"/>
          </rPr>
          <t>Autor:</t>
        </r>
        <r>
          <rPr>
            <sz val="9"/>
            <color indexed="81"/>
            <rFont val="Tahoma"/>
            <family val="2"/>
          </rPr>
          <t xml:space="preserve">
688-2019 Cesión 13,500 ton de Embarcacion  a Deris S.A.</t>
        </r>
      </text>
    </comment>
    <comment ref="M221" authorId="0">
      <text>
        <r>
          <rPr>
            <b/>
            <sz val="9"/>
            <color indexed="81"/>
            <rFont val="Tahoma"/>
            <charset val="1"/>
          </rPr>
          <t>Autor:</t>
        </r>
        <r>
          <rPr>
            <sz val="9"/>
            <color indexed="81"/>
            <rFont val="Tahoma"/>
            <charset val="1"/>
          </rPr>
          <t xml:space="preserve">
cierre por completar cuota periodo ENER-JULIO</t>
        </r>
      </text>
    </comment>
    <comment ref="H223" authorId="0">
      <text>
        <r>
          <rPr>
            <b/>
            <sz val="9"/>
            <color indexed="81"/>
            <rFont val="Tahoma"/>
            <family val="2"/>
          </rPr>
          <t>Autor:</t>
        </r>
        <r>
          <rPr>
            <sz val="9"/>
            <color indexed="81"/>
            <rFont val="Tahoma"/>
            <family val="2"/>
          </rPr>
          <t xml:space="preserve">
564-2019 Cesión 13,627 ton de Embarcacion  a EMDEPES SA</t>
        </r>
      </text>
    </comment>
    <comment ref="M223" authorId="0">
      <text>
        <r>
          <rPr>
            <b/>
            <sz val="9"/>
            <color indexed="81"/>
            <rFont val="Tahoma"/>
            <family val="2"/>
          </rPr>
          <t>Autor:</t>
        </r>
        <r>
          <rPr>
            <sz val="9"/>
            <color indexed="81"/>
            <rFont val="Tahoma"/>
            <family val="2"/>
          </rPr>
          <t xml:space="preserve">
Cierre Ord N° 19910
</t>
        </r>
      </text>
    </comment>
    <comment ref="H225" authorId="0">
      <text>
        <r>
          <rPr>
            <b/>
            <sz val="9"/>
            <color indexed="81"/>
            <rFont val="Tahoma"/>
            <family val="2"/>
          </rPr>
          <t>rgarcia:</t>
        </r>
        <r>
          <rPr>
            <sz val="9"/>
            <color indexed="81"/>
            <rFont val="Tahoma"/>
            <family val="2"/>
          </rPr>
          <t xml:space="preserve">
R Ex 1716 Cesion de 12,5 ton de region Magallanes  a Deris</t>
        </r>
      </text>
    </comment>
    <comment ref="M225" authorId="0">
      <text>
        <r>
          <rPr>
            <b/>
            <sz val="9"/>
            <color indexed="81"/>
            <rFont val="Tahoma"/>
            <charset val="1"/>
          </rPr>
          <t>Autor:</t>
        </r>
        <r>
          <rPr>
            <sz val="9"/>
            <color indexed="81"/>
            <rFont val="Tahoma"/>
            <charset val="1"/>
          </rPr>
          <t xml:space="preserve">
cierre por completar cuota periodo ENER-JULIO</t>
        </r>
      </text>
    </comment>
    <comment ref="H227" authorId="0">
      <text>
        <r>
          <rPr>
            <b/>
            <sz val="9"/>
            <color indexed="81"/>
            <rFont val="Tahoma"/>
            <family val="2"/>
          </rPr>
          <t>Autor:</t>
        </r>
        <r>
          <rPr>
            <sz val="9"/>
            <color indexed="81"/>
            <rFont val="Tahoma"/>
            <family val="2"/>
          </rPr>
          <t xml:space="preserve">
564-2019 Cesión 13,627 ton de Embarcacion  a EMDEPES SA</t>
        </r>
      </text>
    </comment>
    <comment ref="M227" authorId="0">
      <text>
        <r>
          <rPr>
            <b/>
            <sz val="9"/>
            <color indexed="81"/>
            <rFont val="Tahoma"/>
            <family val="2"/>
          </rPr>
          <t>Autor:</t>
        </r>
        <r>
          <rPr>
            <sz val="9"/>
            <color indexed="81"/>
            <rFont val="Tahoma"/>
            <family val="2"/>
          </rPr>
          <t xml:space="preserve">
Cierre Ord N° 19910
</t>
        </r>
      </text>
    </comment>
    <comment ref="H229" authorId="0">
      <text>
        <r>
          <rPr>
            <b/>
            <sz val="9"/>
            <color indexed="81"/>
            <rFont val="Tahoma"/>
            <family val="2"/>
          </rPr>
          <t>Autor:</t>
        </r>
        <r>
          <rPr>
            <sz val="9"/>
            <color indexed="81"/>
            <rFont val="Tahoma"/>
            <family val="2"/>
          </rPr>
          <t xml:space="preserve">
688-2019 Cesión 13,627 ton de Embarcacion  a Deris S.A.</t>
        </r>
      </text>
    </comment>
    <comment ref="M229" authorId="0">
      <text>
        <r>
          <rPr>
            <b/>
            <sz val="9"/>
            <color indexed="81"/>
            <rFont val="Tahoma"/>
            <family val="2"/>
          </rPr>
          <t>Autor:</t>
        </r>
        <r>
          <rPr>
            <sz val="9"/>
            <color indexed="81"/>
            <rFont val="Tahoma"/>
            <family val="2"/>
          </rPr>
          <t xml:space="preserve">
Cierre Ord N° 19911
</t>
        </r>
      </text>
    </comment>
    <comment ref="H231" authorId="0">
      <text>
        <r>
          <rPr>
            <b/>
            <sz val="9"/>
            <color indexed="81"/>
            <rFont val="Tahoma"/>
            <family val="2"/>
          </rPr>
          <t>Autor:</t>
        </r>
        <r>
          <rPr>
            <sz val="9"/>
            <color indexed="81"/>
            <rFont val="Tahoma"/>
            <family val="2"/>
          </rPr>
          <t xml:space="preserve">
688-2019 Cesión 13,377 ton de Embarcacion  a Deris S.A.</t>
        </r>
      </text>
    </comment>
    <comment ref="M231" authorId="0">
      <text>
        <r>
          <rPr>
            <b/>
            <sz val="9"/>
            <color indexed="81"/>
            <rFont val="Tahoma"/>
            <charset val="1"/>
          </rPr>
          <t>Autor:</t>
        </r>
        <r>
          <rPr>
            <sz val="9"/>
            <color indexed="81"/>
            <rFont val="Tahoma"/>
            <charset val="1"/>
          </rPr>
          <t xml:space="preserve">
cierre por completar cuota periodo ENER-JULIO</t>
        </r>
      </text>
    </comment>
    <comment ref="H233" authorId="0">
      <text>
        <r>
          <rPr>
            <b/>
            <sz val="9"/>
            <color indexed="81"/>
            <rFont val="Tahoma"/>
            <family val="2"/>
          </rPr>
          <t>Autor:</t>
        </r>
        <r>
          <rPr>
            <sz val="9"/>
            <color indexed="81"/>
            <rFont val="Tahoma"/>
            <family val="2"/>
          </rPr>
          <t xml:space="preserve">
688-2019 Cesión 13,627 ton de Embarcacion  a Deris S.A.</t>
        </r>
      </text>
    </comment>
    <comment ref="M233" authorId="0">
      <text>
        <r>
          <rPr>
            <b/>
            <sz val="9"/>
            <color indexed="81"/>
            <rFont val="Tahoma"/>
            <family val="2"/>
          </rPr>
          <t>Autor:</t>
        </r>
        <r>
          <rPr>
            <sz val="9"/>
            <color indexed="81"/>
            <rFont val="Tahoma"/>
            <family val="2"/>
          </rPr>
          <t xml:space="preserve">
Cierre Ord N° 19911
</t>
        </r>
      </text>
    </comment>
    <comment ref="H235" authorId="0">
      <text>
        <r>
          <rPr>
            <b/>
            <sz val="9"/>
            <color indexed="81"/>
            <rFont val="Tahoma"/>
            <family val="2"/>
          </rPr>
          <t>Autor:</t>
        </r>
        <r>
          <rPr>
            <sz val="9"/>
            <color indexed="81"/>
            <rFont val="Tahoma"/>
            <family val="2"/>
          </rPr>
          <t xml:space="preserve">
688-2019 Cesión 13,627 ton de Embarcacion  a Deris S.A.</t>
        </r>
      </text>
    </comment>
    <comment ref="M235" authorId="0">
      <text>
        <r>
          <rPr>
            <b/>
            <sz val="9"/>
            <color indexed="81"/>
            <rFont val="Tahoma"/>
            <family val="2"/>
          </rPr>
          <t>Autor:</t>
        </r>
        <r>
          <rPr>
            <sz val="9"/>
            <color indexed="81"/>
            <rFont val="Tahoma"/>
            <family val="2"/>
          </rPr>
          <t xml:space="preserve">
Cierre Ord N° 19911
</t>
        </r>
      </text>
    </comment>
    <comment ref="H237" authorId="0">
      <text>
        <r>
          <rPr>
            <b/>
            <sz val="9"/>
            <color indexed="81"/>
            <rFont val="Tahoma"/>
            <family val="2"/>
          </rPr>
          <t>Autor:</t>
        </r>
        <r>
          <rPr>
            <sz val="9"/>
            <color indexed="81"/>
            <rFont val="Tahoma"/>
            <family val="2"/>
          </rPr>
          <t xml:space="preserve">
688-2019 Cesión 13,627 ton de Embarcacion  a Deris S.A.</t>
        </r>
      </text>
    </comment>
    <comment ref="M237" authorId="0">
      <text>
        <r>
          <rPr>
            <b/>
            <sz val="9"/>
            <color indexed="81"/>
            <rFont val="Tahoma"/>
            <family val="2"/>
          </rPr>
          <t>Autor:</t>
        </r>
        <r>
          <rPr>
            <sz val="9"/>
            <color indexed="81"/>
            <rFont val="Tahoma"/>
            <family val="2"/>
          </rPr>
          <t xml:space="preserve">
Cierre Ord N° 19911
</t>
        </r>
      </text>
    </comment>
    <comment ref="H239" authorId="0">
      <text>
        <r>
          <rPr>
            <b/>
            <sz val="9"/>
            <color indexed="81"/>
            <rFont val="Tahoma"/>
            <family val="2"/>
          </rPr>
          <t>Autor:</t>
        </r>
        <r>
          <rPr>
            <sz val="9"/>
            <color indexed="81"/>
            <rFont val="Tahoma"/>
            <family val="2"/>
          </rPr>
          <t xml:space="preserve">
688-2019 Cesión 13,627 ton de Embarcacion  a Deris S.A.</t>
        </r>
      </text>
    </comment>
    <comment ref="M239" authorId="0">
      <text>
        <r>
          <rPr>
            <b/>
            <sz val="9"/>
            <color indexed="81"/>
            <rFont val="Tahoma"/>
            <family val="2"/>
          </rPr>
          <t>Autor:</t>
        </r>
        <r>
          <rPr>
            <sz val="9"/>
            <color indexed="81"/>
            <rFont val="Tahoma"/>
            <family val="2"/>
          </rPr>
          <t xml:space="preserve">
Cierre Ord N° 19911
</t>
        </r>
      </text>
    </comment>
    <comment ref="H241" authorId="0">
      <text>
        <r>
          <rPr>
            <b/>
            <sz val="9"/>
            <color indexed="81"/>
            <rFont val="Tahoma"/>
            <family val="2"/>
          </rPr>
          <t>Autor:</t>
        </r>
        <r>
          <rPr>
            <sz val="9"/>
            <color indexed="81"/>
            <rFont val="Tahoma"/>
            <family val="2"/>
          </rPr>
          <t xml:space="preserve">
688-2019 Cesión 13,377 ton de Embarcacion  a Deris S.A.</t>
        </r>
      </text>
    </comment>
    <comment ref="M241" authorId="0">
      <text>
        <r>
          <rPr>
            <b/>
            <sz val="9"/>
            <color indexed="81"/>
            <rFont val="Tahoma"/>
            <charset val="1"/>
          </rPr>
          <t>Autor:</t>
        </r>
        <r>
          <rPr>
            <sz val="9"/>
            <color indexed="81"/>
            <rFont val="Tahoma"/>
            <charset val="1"/>
          </rPr>
          <t xml:space="preserve">
cierre por completar cuota periodo ENER-JULIO</t>
        </r>
      </text>
    </comment>
    <comment ref="H243" authorId="0">
      <text>
        <r>
          <rPr>
            <b/>
            <sz val="9"/>
            <color indexed="81"/>
            <rFont val="Tahoma"/>
            <family val="2"/>
          </rPr>
          <t>Autor:</t>
        </r>
        <r>
          <rPr>
            <sz val="9"/>
            <color indexed="81"/>
            <rFont val="Tahoma"/>
            <family val="2"/>
          </rPr>
          <t xml:space="preserve">
688-2019 Cesión 13,500 ton de Embarcacion  a Deris S.A.</t>
        </r>
      </text>
    </comment>
    <comment ref="M243" authorId="0">
      <text>
        <r>
          <rPr>
            <b/>
            <sz val="9"/>
            <color indexed="81"/>
            <rFont val="Tahoma"/>
            <charset val="1"/>
          </rPr>
          <t>Autor:</t>
        </r>
        <r>
          <rPr>
            <sz val="9"/>
            <color indexed="81"/>
            <rFont val="Tahoma"/>
            <charset val="1"/>
          </rPr>
          <t xml:space="preserve">
cierre por completar cuota periodo ENER-JULIO</t>
        </r>
      </text>
    </comment>
    <comment ref="H245" authorId="0">
      <text>
        <r>
          <rPr>
            <b/>
            <sz val="9"/>
            <color indexed="81"/>
            <rFont val="Tahoma"/>
            <family val="2"/>
          </rPr>
          <t>Autor:</t>
        </r>
        <r>
          <rPr>
            <sz val="9"/>
            <color indexed="81"/>
            <rFont val="Tahoma"/>
            <family val="2"/>
          </rPr>
          <t xml:space="preserve">
564-2019 Cesión 13,627 ton de Embarcacion  a EMDEPES SA</t>
        </r>
      </text>
    </comment>
    <comment ref="M245" authorId="0">
      <text>
        <r>
          <rPr>
            <b/>
            <sz val="9"/>
            <color indexed="81"/>
            <rFont val="Tahoma"/>
            <family val="2"/>
          </rPr>
          <t>Autor:</t>
        </r>
        <r>
          <rPr>
            <sz val="9"/>
            <color indexed="81"/>
            <rFont val="Tahoma"/>
            <family val="2"/>
          </rPr>
          <t xml:space="preserve">
Cierre Ord N° 19910
</t>
        </r>
      </text>
    </comment>
    <comment ref="H247" authorId="0">
      <text>
        <r>
          <rPr>
            <b/>
            <sz val="9"/>
            <color indexed="81"/>
            <rFont val="Tahoma"/>
            <family val="2"/>
          </rPr>
          <t>Autor:</t>
        </r>
        <r>
          <rPr>
            <sz val="9"/>
            <color indexed="81"/>
            <rFont val="Tahoma"/>
            <family val="2"/>
          </rPr>
          <t xml:space="preserve">
564-2019 Cesión 13,627 ton de Embarcacion  a EMDEPES SA</t>
        </r>
      </text>
    </comment>
    <comment ref="M247" authorId="0">
      <text>
        <r>
          <rPr>
            <b/>
            <sz val="9"/>
            <color indexed="81"/>
            <rFont val="Tahoma"/>
            <family val="2"/>
          </rPr>
          <t>Autor:</t>
        </r>
        <r>
          <rPr>
            <sz val="9"/>
            <color indexed="81"/>
            <rFont val="Tahoma"/>
            <family val="2"/>
          </rPr>
          <t xml:space="preserve">
Cierre Ord N° 19910
</t>
        </r>
      </text>
    </comment>
    <comment ref="H249" authorId="0">
      <text>
        <r>
          <rPr>
            <b/>
            <sz val="9"/>
            <color indexed="81"/>
            <rFont val="Tahoma"/>
            <family val="2"/>
          </rPr>
          <t>Autor:</t>
        </r>
        <r>
          <rPr>
            <sz val="9"/>
            <color indexed="81"/>
            <rFont val="Tahoma"/>
            <family val="2"/>
          </rPr>
          <t xml:space="preserve">
564-2019 Cesión 13,627 ton de Embarcacion  a EMDEPES SA</t>
        </r>
      </text>
    </comment>
    <comment ref="M249" authorId="0">
      <text>
        <r>
          <rPr>
            <b/>
            <sz val="9"/>
            <color indexed="81"/>
            <rFont val="Tahoma"/>
            <family val="2"/>
          </rPr>
          <t>Autor:</t>
        </r>
        <r>
          <rPr>
            <sz val="9"/>
            <color indexed="81"/>
            <rFont val="Tahoma"/>
            <family val="2"/>
          </rPr>
          <t xml:space="preserve">
Cierre Ord N° 19910
</t>
        </r>
      </text>
    </comment>
    <comment ref="H251" authorId="0">
      <text>
        <r>
          <rPr>
            <b/>
            <sz val="9"/>
            <color indexed="81"/>
            <rFont val="Tahoma"/>
            <family val="2"/>
          </rPr>
          <t>Autor:</t>
        </r>
        <r>
          <rPr>
            <sz val="9"/>
            <color indexed="81"/>
            <rFont val="Tahoma"/>
            <family val="2"/>
          </rPr>
          <t xml:space="preserve">
564-2019 Cesión 13,627 ton de Embarcacion  a EMDEPES SA</t>
        </r>
      </text>
    </comment>
    <comment ref="M251" authorId="0">
      <text>
        <r>
          <rPr>
            <b/>
            <sz val="9"/>
            <color indexed="81"/>
            <rFont val="Tahoma"/>
            <family val="2"/>
          </rPr>
          <t>Autor:</t>
        </r>
        <r>
          <rPr>
            <sz val="9"/>
            <color indexed="81"/>
            <rFont val="Tahoma"/>
            <family val="2"/>
          </rPr>
          <t xml:space="preserve">
Cierre Ord N° 19910
</t>
        </r>
      </text>
    </comment>
    <comment ref="H253" authorId="0">
      <text>
        <r>
          <rPr>
            <b/>
            <sz val="9"/>
            <color indexed="81"/>
            <rFont val="Tahoma"/>
            <family val="2"/>
          </rPr>
          <t>Rgarcia:</t>
        </r>
        <r>
          <rPr>
            <sz val="9"/>
            <color indexed="81"/>
            <rFont val="Tahoma"/>
            <family val="2"/>
          </rPr>
          <t xml:space="preserve">
564-2019 Cesión 13,627 ton de Embarcacion  a EMDEPES SA</t>
        </r>
      </text>
    </comment>
    <comment ref="M253" authorId="0">
      <text>
        <r>
          <rPr>
            <b/>
            <sz val="9"/>
            <color indexed="81"/>
            <rFont val="Tahoma"/>
            <family val="2"/>
          </rPr>
          <t>Autor:</t>
        </r>
        <r>
          <rPr>
            <sz val="9"/>
            <color indexed="81"/>
            <rFont val="Tahoma"/>
            <family val="2"/>
          </rPr>
          <t xml:space="preserve">
Cierre Ord N° 19910
</t>
        </r>
      </text>
    </comment>
    <comment ref="H255" authorId="0">
      <text>
        <r>
          <rPr>
            <b/>
            <sz val="9"/>
            <color indexed="81"/>
            <rFont val="Tahoma"/>
            <family val="2"/>
          </rPr>
          <t>Rgarcia:</t>
        </r>
        <r>
          <rPr>
            <sz val="9"/>
            <color indexed="81"/>
            <rFont val="Tahoma"/>
            <family val="2"/>
          </rPr>
          <t xml:space="preserve">
1109/29-03-19 Cesión 13,627 ton de Embarcacion DAMAR II a EMDEPES SA</t>
        </r>
      </text>
    </comment>
    <comment ref="M255" authorId="0">
      <text>
        <r>
          <rPr>
            <b/>
            <sz val="9"/>
            <color indexed="81"/>
            <rFont val="Tahoma"/>
            <family val="2"/>
          </rPr>
          <t>Autor:</t>
        </r>
        <r>
          <rPr>
            <sz val="9"/>
            <color indexed="81"/>
            <rFont val="Tahoma"/>
            <family val="2"/>
          </rPr>
          <t xml:space="preserve">
03-04-2019 _ Cierre  20219 
</t>
        </r>
      </text>
    </comment>
    <comment ref="H257" authorId="0">
      <text>
        <r>
          <rPr>
            <b/>
            <sz val="9"/>
            <color indexed="81"/>
            <rFont val="Tahoma"/>
            <family val="2"/>
          </rPr>
          <t>Autor:</t>
        </r>
        <r>
          <rPr>
            <sz val="9"/>
            <color indexed="81"/>
            <rFont val="Tahoma"/>
            <family val="2"/>
          </rPr>
          <t xml:space="preserve">
564-2019 Cesión 13,627 ton de Embarcacion  a EMDEPES SA</t>
        </r>
      </text>
    </comment>
    <comment ref="M257" authorId="0">
      <text>
        <r>
          <rPr>
            <b/>
            <sz val="9"/>
            <color indexed="81"/>
            <rFont val="Tahoma"/>
            <charset val="1"/>
          </rPr>
          <t>Autor:</t>
        </r>
        <r>
          <rPr>
            <sz val="9"/>
            <color indexed="81"/>
            <rFont val="Tahoma"/>
            <charset val="1"/>
          </rPr>
          <t xml:space="preserve">
cierre por completar cuota periodo ENER-JULIO</t>
        </r>
      </text>
    </comment>
    <comment ref="H259" authorId="0">
      <text>
        <r>
          <rPr>
            <b/>
            <sz val="9"/>
            <color indexed="81"/>
            <rFont val="Tahoma"/>
            <family val="2"/>
          </rPr>
          <t>Autor:</t>
        </r>
        <r>
          <rPr>
            <sz val="9"/>
            <color indexed="81"/>
            <rFont val="Tahoma"/>
            <family val="2"/>
          </rPr>
          <t xml:space="preserve">
564-2019 Cesión 13,627 ton de Embarcacion  a EMDEPES SA</t>
        </r>
      </text>
    </comment>
    <comment ref="M259" authorId="0">
      <text>
        <r>
          <rPr>
            <b/>
            <sz val="9"/>
            <color indexed="81"/>
            <rFont val="Tahoma"/>
            <family val="2"/>
          </rPr>
          <t>Autor:</t>
        </r>
        <r>
          <rPr>
            <sz val="9"/>
            <color indexed="81"/>
            <rFont val="Tahoma"/>
            <family val="2"/>
          </rPr>
          <t xml:space="preserve">
Cierre Ord N° 19910
</t>
        </r>
      </text>
    </comment>
    <comment ref="H261" authorId="0">
      <text>
        <r>
          <rPr>
            <b/>
            <sz val="9"/>
            <color indexed="81"/>
            <rFont val="Tahoma"/>
            <family val="2"/>
          </rPr>
          <t>Autor:</t>
        </r>
        <r>
          <rPr>
            <sz val="9"/>
            <color indexed="81"/>
            <rFont val="Tahoma"/>
            <family val="2"/>
          </rPr>
          <t xml:space="preserve">
564-2019 Cesión 13,627 ton de Embarcacion  a EMDEPES SA</t>
        </r>
      </text>
    </comment>
    <comment ref="M261" authorId="0">
      <text>
        <r>
          <rPr>
            <b/>
            <sz val="9"/>
            <color indexed="81"/>
            <rFont val="Tahoma"/>
            <family val="2"/>
          </rPr>
          <t>Autor:</t>
        </r>
        <r>
          <rPr>
            <sz val="9"/>
            <color indexed="81"/>
            <rFont val="Tahoma"/>
            <family val="2"/>
          </rPr>
          <t xml:space="preserve">
Cierre Ord N° 19910
</t>
        </r>
      </text>
    </comment>
    <comment ref="H263" authorId="0">
      <text>
        <r>
          <rPr>
            <b/>
            <sz val="9"/>
            <color indexed="81"/>
            <rFont val="Tahoma"/>
            <family val="2"/>
          </rPr>
          <t>Autor:</t>
        </r>
        <r>
          <rPr>
            <sz val="9"/>
            <color indexed="81"/>
            <rFont val="Tahoma"/>
            <family val="2"/>
          </rPr>
          <t xml:space="preserve">
564-2019 Cesión 13,627 ton de Embarcacion  a EMDEPES SA</t>
        </r>
      </text>
    </comment>
    <comment ref="M263" authorId="0">
      <text>
        <r>
          <rPr>
            <b/>
            <sz val="9"/>
            <color indexed="81"/>
            <rFont val="Tahoma"/>
            <family val="2"/>
          </rPr>
          <t>Autor:</t>
        </r>
        <r>
          <rPr>
            <sz val="9"/>
            <color indexed="81"/>
            <rFont val="Tahoma"/>
            <family val="2"/>
          </rPr>
          <t xml:space="preserve">
Cierre Ord N° 19910
</t>
        </r>
      </text>
    </comment>
    <comment ref="H265" authorId="0">
      <text>
        <r>
          <rPr>
            <b/>
            <sz val="9"/>
            <color indexed="81"/>
            <rFont val="Tahoma"/>
            <family val="2"/>
          </rPr>
          <t>Autor:</t>
        </r>
        <r>
          <rPr>
            <sz val="9"/>
            <color indexed="81"/>
            <rFont val="Tahoma"/>
            <family val="2"/>
          </rPr>
          <t xml:space="preserve">
564-2019 Cesión 13,627 ton de Embarcacion  a EMDEPES SA</t>
        </r>
      </text>
    </comment>
    <comment ref="M265" authorId="0">
      <text>
        <r>
          <rPr>
            <b/>
            <sz val="9"/>
            <color indexed="81"/>
            <rFont val="Tahoma"/>
            <charset val="1"/>
          </rPr>
          <t>Autor:</t>
        </r>
        <r>
          <rPr>
            <sz val="9"/>
            <color indexed="81"/>
            <rFont val="Tahoma"/>
            <charset val="1"/>
          </rPr>
          <t xml:space="preserve">
cierre por completar cuota periodo ENER-JULIO</t>
        </r>
      </text>
    </comment>
    <comment ref="H267" authorId="0">
      <text>
        <r>
          <rPr>
            <b/>
            <sz val="9"/>
            <color indexed="81"/>
            <rFont val="Tahoma"/>
            <family val="2"/>
          </rPr>
          <t>Autor:</t>
        </r>
        <r>
          <rPr>
            <sz val="9"/>
            <color indexed="81"/>
            <rFont val="Tahoma"/>
            <family val="2"/>
          </rPr>
          <t xml:space="preserve">
564-2019 Cesión 13,627 ton de Embarcacion  a EMDEPES SA</t>
        </r>
      </text>
    </comment>
    <comment ref="M267" authorId="0">
      <text>
        <r>
          <rPr>
            <b/>
            <sz val="9"/>
            <color indexed="81"/>
            <rFont val="Tahoma"/>
            <family val="2"/>
          </rPr>
          <t>Autor:</t>
        </r>
        <r>
          <rPr>
            <sz val="9"/>
            <color indexed="81"/>
            <rFont val="Tahoma"/>
            <family val="2"/>
          </rPr>
          <t xml:space="preserve">
Cierre Ord N° 19910
</t>
        </r>
      </text>
    </comment>
    <comment ref="H269" authorId="0">
      <text>
        <r>
          <rPr>
            <b/>
            <sz val="9"/>
            <color indexed="81"/>
            <rFont val="Tahoma"/>
            <family val="2"/>
          </rPr>
          <t>Autor:</t>
        </r>
        <r>
          <rPr>
            <sz val="9"/>
            <color indexed="81"/>
            <rFont val="Tahoma"/>
            <family val="2"/>
          </rPr>
          <t xml:space="preserve">
678-2019 Cesión 13,627 ton de Embarcacion a Deris S.A.</t>
        </r>
      </text>
    </comment>
    <comment ref="M269" authorId="0">
      <text>
        <r>
          <rPr>
            <b/>
            <sz val="9"/>
            <color indexed="81"/>
            <rFont val="Tahoma"/>
            <family val="2"/>
          </rPr>
          <t>Autor:</t>
        </r>
        <r>
          <rPr>
            <sz val="9"/>
            <color indexed="81"/>
            <rFont val="Tahoma"/>
            <family val="2"/>
          </rPr>
          <t xml:space="preserve">
Cierre Ord N° 19911
</t>
        </r>
      </text>
    </comment>
  </commentList>
</comments>
</file>

<file path=xl/comments6.xml><?xml version="1.0" encoding="utf-8"?>
<comments xmlns="http://schemas.openxmlformats.org/spreadsheetml/2006/main">
  <authors>
    <author>Autor</author>
  </authors>
  <commentList>
    <comment ref="L5" authorId="0">
      <text>
        <r>
          <rPr>
            <b/>
            <sz val="9"/>
            <color indexed="81"/>
            <rFont val="Tahoma"/>
            <family val="2"/>
          </rPr>
          <t>Autor:</t>
        </r>
        <r>
          <rPr>
            <sz val="9"/>
            <color indexed="81"/>
            <rFont val="Tahoma"/>
            <family val="2"/>
          </rPr>
          <t xml:space="preserve">
Res 289-19 Otorga 0,1548659 de Deris a Grimar (737,00682)</t>
        </r>
      </text>
    </comment>
    <comment ref="I25" authorId="0">
      <text>
        <r>
          <rPr>
            <b/>
            <sz val="9"/>
            <color indexed="81"/>
            <rFont val="Tahoma"/>
            <family val="2"/>
          </rPr>
          <t>rgarcia:</t>
        </r>
        <r>
          <rPr>
            <sz val="9"/>
            <color indexed="81"/>
            <rFont val="Tahoma"/>
            <family val="2"/>
          </rPr>
          <t xml:space="preserve">
678-19 Cesión 54,508 t M del Sur Región de Magallanes a Deris S.A.
688-19 Cesión 185,767 ton M del Sur Region de Magallanes a Deris S.A.</t>
        </r>
      </text>
    </comment>
  </commentList>
</comments>
</file>

<file path=xl/comments7.xml><?xml version="1.0" encoding="utf-8"?>
<comments xmlns="http://schemas.openxmlformats.org/spreadsheetml/2006/main">
  <authors>
    <author>Autor</author>
  </authors>
  <commentList>
    <comment ref="J8" authorId="0">
      <text>
        <r>
          <rPr>
            <b/>
            <sz val="9"/>
            <color indexed="81"/>
            <rFont val="Tahoma"/>
            <family val="2"/>
          </rPr>
          <t>Rgarcia:</t>
        </r>
        <r>
          <rPr>
            <sz val="9"/>
            <color indexed="81"/>
            <rFont val="Tahoma"/>
            <family val="2"/>
          </rPr>
          <t xml:space="preserve">
</t>
        </r>
        <r>
          <rPr>
            <b/>
            <sz val="9"/>
            <color indexed="81"/>
            <rFont val="Tahoma"/>
            <family val="2"/>
          </rPr>
          <t>Cesiones:
Incrementos---------------------------------------------------------</t>
        </r>
        <r>
          <rPr>
            <sz val="9"/>
            <color indexed="81"/>
            <rFont val="Tahoma"/>
            <family val="2"/>
          </rPr>
          <t xml:space="preserve">
797-2019 Cesión 167,778 t Merluza del sur de Area X Región
798-2019 Cesión 222,222 t Merluza del sur de Area X Región
799-2019 Cesión 147,667 t Merluza del sur de Area X Región
811-2019 Cesión 324,448 t Merluza del sur de Area X Región
--------------------------------------------------------------------------
</t>
        </r>
        <r>
          <rPr>
            <b/>
            <sz val="9"/>
            <color indexed="81"/>
            <rFont val="Tahoma"/>
            <family val="2"/>
          </rPr>
          <t xml:space="preserve">Negocios:
</t>
        </r>
        <r>
          <rPr>
            <sz val="9"/>
            <color indexed="81"/>
            <rFont val="Tahoma"/>
            <family val="2"/>
          </rPr>
          <t xml:space="preserve">
</t>
        </r>
        <r>
          <rPr>
            <b/>
            <sz val="9"/>
            <color indexed="10"/>
            <rFont val="Tahoma"/>
            <family val="2"/>
          </rPr>
          <t>Descuentos</t>
        </r>
        <r>
          <rPr>
            <b/>
            <sz val="9"/>
            <color indexed="81"/>
            <rFont val="Tahoma"/>
            <family val="2"/>
          </rPr>
          <t>--------------------------------------------------------------</t>
        </r>
        <r>
          <rPr>
            <sz val="9"/>
            <color indexed="81"/>
            <rFont val="Tahoma"/>
            <family val="2"/>
          </rPr>
          <t xml:space="preserve">
Res 286-19 Otorga 0.1531210 de Deris a Sur Austral (728,70284) 
Res 745-19 Sin Efecto 0,0282095 de Pesca Cisnes (+) a Deris (73,2094) </t>
        </r>
        <r>
          <rPr>
            <sz val="9"/>
            <color rgb="FFFF0000"/>
            <rFont val="Tahoma"/>
            <family val="2"/>
          </rPr>
          <t xml:space="preserve">
</t>
        </r>
        <r>
          <rPr>
            <sz val="9"/>
            <color indexed="81"/>
            <rFont val="Tahoma"/>
            <family val="2"/>
          </rPr>
          <t xml:space="preserve">
</t>
        </r>
        <r>
          <rPr>
            <b/>
            <sz val="9"/>
            <color indexed="21"/>
            <rFont val="Tahoma"/>
            <family val="2"/>
          </rPr>
          <t>Incrementos</t>
        </r>
        <r>
          <rPr>
            <b/>
            <sz val="9"/>
            <color indexed="81"/>
            <rFont val="Tahoma"/>
            <family val="2"/>
          </rPr>
          <t>---------------------------------------------------------</t>
        </r>
        <r>
          <rPr>
            <sz val="9"/>
            <color indexed="81"/>
            <rFont val="Tahoma"/>
            <family val="2"/>
          </rPr>
          <t xml:space="preserve">
Res 288-19 Otorga 0,0287900 de Grimar a Deris (137,012 t) 
Res 377-19 Otorga 0,0076800 de Sur Austral a Deris (36,54912) </t>
        </r>
        <r>
          <rPr>
            <sz val="9"/>
            <color rgb="FFFF0000"/>
            <rFont val="Tahoma"/>
            <family val="2"/>
          </rPr>
          <t xml:space="preserve">
</t>
        </r>
      </text>
    </comment>
  </commentList>
</comments>
</file>

<file path=xl/sharedStrings.xml><?xml version="1.0" encoding="utf-8"?>
<sst xmlns="http://schemas.openxmlformats.org/spreadsheetml/2006/main" count="2621" uniqueCount="584">
  <si>
    <t>RESUMEN ANUAL CONSUMO GLOBAL DE CUOTA MERLUZA DEL SUR  41°28,6' al 57° L.S. AÑO 2019</t>
  </si>
  <si>
    <t>SECTOR</t>
  </si>
  <si>
    <t>Región/Area</t>
  </si>
  <si>
    <t>Cuota asignada</t>
  </si>
  <si>
    <t>Movimientos</t>
  </si>
  <si>
    <t>Cuota Efectiva</t>
  </si>
  <si>
    <t>Captura</t>
  </si>
  <si>
    <t>Saldo</t>
  </si>
  <si>
    <t>Consumo</t>
  </si>
  <si>
    <t>Artesanal</t>
  </si>
  <si>
    <t>REGION DE LOS LAGOS</t>
  </si>
  <si>
    <t>REGION DE AYSEN</t>
  </si>
  <si>
    <t>REGION DE MAGALLANES</t>
  </si>
  <si>
    <t>CUOTA OBJETIVO ARTESANAL</t>
  </si>
  <si>
    <t>CUOTA FAUNA ACOMPAÑANTE</t>
  </si>
  <si>
    <t>TOTAL FRACCION ARTESANAL X-XII</t>
  </si>
  <si>
    <t>Industrial</t>
  </si>
  <si>
    <t>TOTAL FRACCION INDUSTRIAL</t>
  </si>
  <si>
    <t xml:space="preserve">             Investigacion</t>
  </si>
  <si>
    <t>CUOTA GLOBAL MERLUZA DEL SUR  41°28,6' al 57° L.S.</t>
  </si>
  <si>
    <t>FACTOR 0,9 (ENTERAS EVISCERADAS)</t>
  </si>
  <si>
    <t>Cuota Anual de Captura Merluza del Sur Fuera de Unidades de Pesquería 2019</t>
  </si>
  <si>
    <t>Unidad de Pesquería</t>
  </si>
  <si>
    <t>Sector/Fracción</t>
  </si>
  <si>
    <t>Cuota Global asignada (t)</t>
  </si>
  <si>
    <t>Capturas</t>
  </si>
  <si>
    <t>Total Captura</t>
  </si>
  <si>
    <t>Saldo (t)</t>
  </si>
  <si>
    <t>% Consumo</t>
  </si>
  <si>
    <t>Fecha cierre</t>
  </si>
  <si>
    <t>-</t>
  </si>
  <si>
    <t>CONTROL DE CUOTA MERLUZA DEL SUR POR TITULAR LTP CLASE A Y B, AÑO 2019</t>
  </si>
  <si>
    <t>Unidad pesqueria</t>
  </si>
  <si>
    <t>Periodo</t>
  </si>
  <si>
    <t>Merluza del Sur paralelo  (NORTE)</t>
  </si>
  <si>
    <t>Ene-Jul</t>
  </si>
  <si>
    <t>Agosto</t>
  </si>
  <si>
    <t>VEDA</t>
  </si>
  <si>
    <t>Feb-Dic</t>
  </si>
  <si>
    <t>TOTAL</t>
  </si>
  <si>
    <t xml:space="preserve">Unidad Pesquería </t>
  </si>
  <si>
    <t>Titular Ltp</t>
  </si>
  <si>
    <t>Coeficientes A y B</t>
  </si>
  <si>
    <t>Cuota Asignada</t>
  </si>
  <si>
    <t xml:space="preserve">Cuota efectiva </t>
  </si>
  <si>
    <t>Saldo periodo</t>
  </si>
  <si>
    <t>Consumo periodo</t>
  </si>
  <si>
    <t>Cuota asignada Año</t>
  </si>
  <si>
    <t>Captura Año</t>
  </si>
  <si>
    <t>Saldo Año</t>
  </si>
  <si>
    <t>Merluza del Sur paralelo  41°28,6' al 47° L.S. (NE)</t>
  </si>
  <si>
    <t>EMDEPES S.A.</t>
  </si>
  <si>
    <t>Ene</t>
  </si>
  <si>
    <t>GRIMAR S.A. PESQ.</t>
  </si>
  <si>
    <t>PESCA CISNE S.A.</t>
  </si>
  <si>
    <t>SUR AUSTRAL S.A. PESQ.</t>
  </si>
  <si>
    <t>DERIS S.A.</t>
  </si>
  <si>
    <t>CONGELADOS PACIFICO SpA hoy PACIFICBLU SpA.</t>
  </si>
  <si>
    <t>ALIMENTOS MARINOS S.A. ALIMAR</t>
  </si>
  <si>
    <t>PESQUERA BIO BIO S.A. hoy PESQUERA BIO BIO SpA.</t>
  </si>
  <si>
    <t>PESCA FINA SpA. hoy PACIFICBLU SpA.</t>
  </si>
  <si>
    <t>ISLA QUIHUA S.A. PESQ.</t>
  </si>
  <si>
    <t>TOTAL PERIODOS</t>
  </si>
  <si>
    <t xml:space="preserve">TOTAL OBJETIVO </t>
  </si>
  <si>
    <t>Merluza del Sur paralelo  (SUR)</t>
  </si>
  <si>
    <t xml:space="preserve"> Merluza del Sur paralelo 47° al 57° L.S. (SE)</t>
  </si>
  <si>
    <t>ALEXIS CABRERA VALLEJOS</t>
  </si>
  <si>
    <t>PESQ. GRIMAR S.A.</t>
  </si>
  <si>
    <t>PESQ. SUR AUSTRAL S.A.</t>
  </si>
  <si>
    <t/>
  </si>
  <si>
    <t xml:space="preserve"> </t>
  </si>
  <si>
    <t>REGION</t>
  </si>
  <si>
    <t>Id</t>
  </si>
  <si>
    <t>AREA ASIGNACION</t>
  </si>
  <si>
    <t>PERIODO</t>
  </si>
  <si>
    <t>%Consumo periodo</t>
  </si>
  <si>
    <t>Fecha de Cierre</t>
  </si>
  <si>
    <t>CALBUCO A</t>
  </si>
  <si>
    <t>Ene - Jul</t>
  </si>
  <si>
    <t>Sept - Dic</t>
  </si>
  <si>
    <t>CALBUCO B</t>
  </si>
  <si>
    <t>CALBUCO C</t>
  </si>
  <si>
    <t>CALBUCO D</t>
  </si>
  <si>
    <t>CHILOE A</t>
  </si>
  <si>
    <t>CHILOE B</t>
  </si>
  <si>
    <t>CHILOE C</t>
  </si>
  <si>
    <t>CHILOE D</t>
  </si>
  <si>
    <t>HUALAIHUE</t>
  </si>
  <si>
    <t>PALENA</t>
  </si>
  <si>
    <t>PATAGONIA</t>
  </si>
  <si>
    <t>PTO MONTT A</t>
  </si>
  <si>
    <t>PTO MONTT B</t>
  </si>
  <si>
    <t>PTO MONTT C</t>
  </si>
  <si>
    <t>RESIDUAL</t>
  </si>
  <si>
    <t>CONTROL CUOTA MERLUZA DEL SUR ARTESANAL REGION DE MAGALLANES Y ANTARTICA CHILENA, AÑO 2019</t>
  </si>
  <si>
    <t>XII Región de Magallanes</t>
  </si>
  <si>
    <t>Sep-Dic</t>
  </si>
  <si>
    <t>AREA</t>
  </si>
  <si>
    <t>Coeficiente asignacion Individual</t>
  </si>
  <si>
    <t>Cierre</t>
  </si>
  <si>
    <t>PUERTO NATALES</t>
  </si>
  <si>
    <t>70 Embarcaciones</t>
  </si>
  <si>
    <t>PUNTA ARENAS</t>
  </si>
  <si>
    <t>56 Embarcaciones</t>
  </si>
  <si>
    <t>Id control</t>
  </si>
  <si>
    <t>Id Emb</t>
  </si>
  <si>
    <t>Embarcacion Asignataria</t>
  </si>
  <si>
    <t>Rpa</t>
  </si>
  <si>
    <t xml:space="preserve">Saldo </t>
  </si>
  <si>
    <t>CALETA VIRTUDES I</t>
  </si>
  <si>
    <t>NANAY</t>
  </si>
  <si>
    <t>NICOL FERNANDA</t>
  </si>
  <si>
    <t>PABLA</t>
  </si>
  <si>
    <t>SAN JOAQUIN</t>
  </si>
  <si>
    <t>SAN JUAN I</t>
  </si>
  <si>
    <t>AGALLADITO</t>
  </si>
  <si>
    <t>ALCIDES</t>
  </si>
  <si>
    <t>ANESTI II</t>
  </si>
  <si>
    <t>DON ADRIAN</t>
  </si>
  <si>
    <t>REY MAR</t>
  </si>
  <si>
    <t>SANTA CATALINA I</t>
  </si>
  <si>
    <t>SOR TERESA</t>
  </si>
  <si>
    <t>VICTOR ALEJANDRO</t>
  </si>
  <si>
    <t>VICMAR I</t>
  </si>
  <si>
    <t>COMO PUDIERA</t>
  </si>
  <si>
    <t>SAN PEDRO</t>
  </si>
  <si>
    <t>TEMERARIO I</t>
  </si>
  <si>
    <t>VUELVO POR TI</t>
  </si>
  <si>
    <t>CORALITO</t>
  </si>
  <si>
    <t>ICEBERG I</t>
  </si>
  <si>
    <t>JORGE II</t>
  </si>
  <si>
    <t>NO ME OLVIDES</t>
  </si>
  <si>
    <t>REY DE CORAZONES</t>
  </si>
  <si>
    <t>SANTA ELENA</t>
  </si>
  <si>
    <t>PAKITO</t>
  </si>
  <si>
    <t>PARRANDERO</t>
  </si>
  <si>
    <t>PETREL I</t>
  </si>
  <si>
    <t>PETREL II</t>
  </si>
  <si>
    <t>RIO BUENO</t>
  </si>
  <si>
    <t>RODOLFITO</t>
  </si>
  <si>
    <t>PATITO</t>
  </si>
  <si>
    <t>PETREL III</t>
  </si>
  <si>
    <t xml:space="preserve">SAN NICOLÁS </t>
  </si>
  <si>
    <t>SOLARI</t>
  </si>
  <si>
    <t>ANGEL MATÍAS</t>
  </si>
  <si>
    <t>CAPRICHOSA</t>
  </si>
  <si>
    <t>CARLOS FABIÁN</t>
  </si>
  <si>
    <t>CHINGAO</t>
  </si>
  <si>
    <t>EL BASILON</t>
  </si>
  <si>
    <t>FRESIA</t>
  </si>
  <si>
    <t>MABEL</t>
  </si>
  <si>
    <t>GREY</t>
  </si>
  <si>
    <t>ISRAEL</t>
  </si>
  <si>
    <t>LOLA</t>
  </si>
  <si>
    <t>VICTORIA III</t>
  </si>
  <si>
    <t>MENTIROSA</t>
  </si>
  <si>
    <t>MONSON</t>
  </si>
  <si>
    <t>PINGUINO I</t>
  </si>
  <si>
    <t>PINGUINO II</t>
  </si>
  <si>
    <t xml:space="preserve">YHONATAN NIETO </t>
  </si>
  <si>
    <t>YORDANA</t>
  </si>
  <si>
    <t>YORDANA II</t>
  </si>
  <si>
    <t>PULPO</t>
  </si>
  <si>
    <t>CRISTO SALVA I</t>
  </si>
  <si>
    <t>DOÑA MONSE</t>
  </si>
  <si>
    <t>FRANCISCA I</t>
  </si>
  <si>
    <t>LUGOR</t>
  </si>
  <si>
    <t>MACARENA</t>
  </si>
  <si>
    <t>POLY</t>
  </si>
  <si>
    <t>SOL DE AMÉRICA</t>
  </si>
  <si>
    <t>CHANBERLEY</t>
  </si>
  <si>
    <t>PANGA</t>
  </si>
  <si>
    <t>VICTOR I</t>
  </si>
  <si>
    <t>GATUNOS</t>
  </si>
  <si>
    <t>BAHÍA PERALES</t>
  </si>
  <si>
    <t>DIEMAR II</t>
  </si>
  <si>
    <t>STEFANY</t>
  </si>
  <si>
    <t>VAMPIRO</t>
  </si>
  <si>
    <t>ROMANE ISAIAS</t>
  </si>
  <si>
    <t>ALBATROS II</t>
  </si>
  <si>
    <t>ALFA HUARA</t>
  </si>
  <si>
    <t>BERNARDITA I</t>
  </si>
  <si>
    <t>BORIS</t>
  </si>
  <si>
    <t>CARANCO</t>
  </si>
  <si>
    <t>CECILIA I</t>
  </si>
  <si>
    <t>CECILIA II</t>
  </si>
  <si>
    <t>VALENT</t>
  </si>
  <si>
    <t>VALENT I</t>
  </si>
  <si>
    <t>CORRAL</t>
  </si>
  <si>
    <t>DANIELA III</t>
  </si>
  <si>
    <t>EBEN-EZER</t>
  </si>
  <si>
    <t>LONCOYEN</t>
  </si>
  <si>
    <t>NATIVA</t>
  </si>
  <si>
    <t>TIBURON I</t>
  </si>
  <si>
    <t>TOBY I</t>
  </si>
  <si>
    <t>EMMANUEL</t>
  </si>
  <si>
    <t>JADU</t>
  </si>
  <si>
    <t>HURACAN II</t>
  </si>
  <si>
    <t>CISNE III</t>
  </si>
  <si>
    <t>El TATA</t>
  </si>
  <si>
    <t>NUEVO MILENIO</t>
  </si>
  <si>
    <t>JESUS MARIA</t>
  </si>
  <si>
    <t xml:space="preserve">ARIEL </t>
  </si>
  <si>
    <t>ANGELA RENEE</t>
  </si>
  <si>
    <t>AMANECER</t>
  </si>
  <si>
    <t>PAJARO AZUL</t>
  </si>
  <si>
    <t>SIETE MARES</t>
  </si>
  <si>
    <t>VAGABUNDO I</t>
  </si>
  <si>
    <t>LA FORTUNA</t>
  </si>
  <si>
    <t>ARAUCANO</t>
  </si>
  <si>
    <t>CHINGAO II</t>
  </si>
  <si>
    <t>CRISHNA I</t>
  </si>
  <si>
    <t>TUAMAPU</t>
  </si>
  <si>
    <t>GEMINIS</t>
  </si>
  <si>
    <t>HIMALAYA</t>
  </si>
  <si>
    <t>CLAUDIO I</t>
  </si>
  <si>
    <t>LA KARLITA</t>
  </si>
  <si>
    <t>NATALIA BEATRIZ</t>
  </si>
  <si>
    <t>SOL NACIENTE</t>
  </si>
  <si>
    <t>OLIMPO I</t>
  </si>
  <si>
    <t>NICOLAS</t>
  </si>
  <si>
    <t>NICOL I</t>
  </si>
  <si>
    <t>SAN SEBASTIAN XVI</t>
  </si>
  <si>
    <t>BELL II</t>
  </si>
  <si>
    <t>CAUTIN</t>
  </si>
  <si>
    <t>COBRA</t>
  </si>
  <si>
    <t>DAMAR II</t>
  </si>
  <si>
    <t>DON IGNACIO</t>
  </si>
  <si>
    <t>EL BACAN</t>
  </si>
  <si>
    <t>CORCOVADO II</t>
  </si>
  <si>
    <t>TOPACIO</t>
  </si>
  <si>
    <t>SANTA VALENTINA</t>
  </si>
  <si>
    <t>YOVY</t>
  </si>
  <si>
    <t>CHUKAKU</t>
  </si>
  <si>
    <t>CONTROL CUOTA MERLUZA DEL SUR ARTESANAL RAE XI REGION DE AYSEN, AÑO 2019</t>
  </si>
  <si>
    <t>Región</t>
  </si>
  <si>
    <t>Cuota asignada periodo</t>
  </si>
  <si>
    <t>Captura periodo</t>
  </si>
  <si>
    <t>XII Región de Aysen</t>
  </si>
  <si>
    <t>TOTAL AÑO</t>
  </si>
  <si>
    <t>Area</t>
  </si>
  <si>
    <t>Asignatario de la Cuota</t>
  </si>
  <si>
    <t>Cod. Organización</t>
  </si>
  <si>
    <t>Coeficiente</t>
  </si>
  <si>
    <t>Periodos</t>
  </si>
  <si>
    <t>Cuota asignada año</t>
  </si>
  <si>
    <t>Consumo año</t>
  </si>
  <si>
    <t xml:space="preserve"> FLOTA NORTE 1</t>
  </si>
  <si>
    <t>87-11</t>
  </si>
  <si>
    <t xml:space="preserve">COOPEFISH      </t>
  </si>
  <si>
    <t xml:space="preserve">COOPERATIVA ULTIMA ESPERANZA GALA  </t>
  </si>
  <si>
    <t xml:space="preserve">COOPESGAL     </t>
  </si>
  <si>
    <t>11.02.0047</t>
  </si>
  <si>
    <t>11.02.0048</t>
  </si>
  <si>
    <t>11.05.0009</t>
  </si>
  <si>
    <t xml:space="preserve">SIND GALA N° 1  </t>
  </si>
  <si>
    <t>11.02.0024</t>
  </si>
  <si>
    <t>11.05.0002</t>
  </si>
  <si>
    <t>11.02.0022</t>
  </si>
  <si>
    <t>11.05.0014</t>
  </si>
  <si>
    <t>11.02.0030</t>
  </si>
  <si>
    <t>76.580.226-1</t>
  </si>
  <si>
    <t>76.304.988-4</t>
  </si>
  <si>
    <t>76.257.407-1</t>
  </si>
  <si>
    <t>RESIDUAL FLOTA NORTE 1</t>
  </si>
  <si>
    <t>TOTAL FLOTA NORTE 1</t>
  </si>
  <si>
    <t>FLOTA NORTE 2</t>
  </si>
  <si>
    <t>85-11</t>
  </si>
  <si>
    <t xml:space="preserve">COOPERATIVA PIONEROS DEL MAR DE PTO CISNES COOPACIS   </t>
  </si>
  <si>
    <t>11.05.0005</t>
  </si>
  <si>
    <t>11.05.0017</t>
  </si>
  <si>
    <t>11.05.0024</t>
  </si>
  <si>
    <t>11.05.0022</t>
  </si>
  <si>
    <t>ene-julo</t>
  </si>
  <si>
    <t>sept-Dic</t>
  </si>
  <si>
    <t xml:space="preserve">STI FRUTOS DE DIOS     </t>
  </si>
  <si>
    <t>11.05.0021</t>
  </si>
  <si>
    <t xml:space="preserve">SIND CISNES - LA UNION   </t>
  </si>
  <si>
    <t>11.05.0001</t>
  </si>
  <si>
    <t>11.05.0013</t>
  </si>
  <si>
    <t>11.05.0006</t>
  </si>
  <si>
    <t>11.05.0015</t>
  </si>
  <si>
    <t>11.05.0018</t>
  </si>
  <si>
    <t>11.02.0025</t>
  </si>
  <si>
    <t>11.05.0019</t>
  </si>
  <si>
    <t>76.665.337-5</t>
  </si>
  <si>
    <t>76.288,822-k</t>
  </si>
  <si>
    <t>RESIDUAL FLOTA NORTE 2</t>
  </si>
  <si>
    <t>TOTAL FLOTA NORTE 2</t>
  </si>
  <si>
    <t xml:space="preserve"> FLOTA SUR 1</t>
  </si>
  <si>
    <t>11.02.0041</t>
  </si>
  <si>
    <t>11.02.0074</t>
  </si>
  <si>
    <t xml:space="preserve"> SOCIEDAD PA MAR ADENTRO LTDA   </t>
  </si>
  <si>
    <t xml:space="preserve"> 76.292.169-3</t>
  </si>
  <si>
    <t xml:space="preserve">SERVICIO EVENECER LTDA   </t>
  </si>
  <si>
    <t xml:space="preserve"> 76.304.204-9</t>
  </si>
  <si>
    <t xml:space="preserve">NINIVE LTDA  </t>
  </si>
  <si>
    <t xml:space="preserve"> 76.313.647-7</t>
  </si>
  <si>
    <t>SOCIEDAD SUSANA LTDA</t>
  </si>
  <si>
    <t xml:space="preserve"> 76.290.196-K</t>
  </si>
  <si>
    <t>MAYORGA  Y MAYORGA LTDA</t>
  </si>
  <si>
    <t xml:space="preserve"> 76.469.761-8</t>
  </si>
  <si>
    <t>SOCIEDAD PESCA ARTESANAL BLANCO Y NEGRO LTDA</t>
  </si>
  <si>
    <t xml:space="preserve"> 76.298.763-5</t>
  </si>
  <si>
    <t>BAHIA MAR</t>
  </si>
  <si>
    <t>11.02.0106</t>
  </si>
  <si>
    <t xml:space="preserve">COPENAY </t>
  </si>
  <si>
    <t xml:space="preserve">   ROL - 4650</t>
  </si>
  <si>
    <t>11.02.0021</t>
  </si>
  <si>
    <t xml:space="preserve">COPEPAY  </t>
  </si>
  <si>
    <t xml:space="preserve">     ROL 4569</t>
  </si>
  <si>
    <t>STI ESTUARIO DE AYSEN</t>
  </si>
  <si>
    <t>11.02.0099</t>
  </si>
  <si>
    <t xml:space="preserve"> 11.02.0070</t>
  </si>
  <si>
    <t xml:space="preserve">STI PESCADORES ARTESANALES ULTIMA ESPERANZA </t>
  </si>
  <si>
    <t xml:space="preserve"> 11.02.0065</t>
  </si>
  <si>
    <t>SIND AYSEN - ESFUERZO DEL MAR</t>
  </si>
  <si>
    <t xml:space="preserve"> 11.02.0100</t>
  </si>
  <si>
    <t>11.02.0084</t>
  </si>
  <si>
    <t>STI PESCADORES ARTESANALES PLAYAS BLANCAS</t>
  </si>
  <si>
    <t>11.02.0075</t>
  </si>
  <si>
    <t>STI PESCADORES ARTESANALES LIBERTAD DEL MAR</t>
  </si>
  <si>
    <t>11.02.0073</t>
  </si>
  <si>
    <t xml:space="preserve">STI PESCADORES ARTESANALES LITORAL SUR </t>
  </si>
  <si>
    <t xml:space="preserve"> 11.02.0043</t>
  </si>
  <si>
    <t>STI MARES AUSTRALES N° 3 PTO AYSEN</t>
  </si>
  <si>
    <t xml:space="preserve"> 11.02.0044</t>
  </si>
  <si>
    <t xml:space="preserve">STI RIO AYSEN </t>
  </si>
  <si>
    <t>11.02.0110</t>
  </si>
  <si>
    <t xml:space="preserve">AG AYSEN  </t>
  </si>
  <si>
    <t>AG   833-1981</t>
  </si>
  <si>
    <t>SOCIEDAD DE PESCADORES ARTESANALES LTDA</t>
  </si>
  <si>
    <t xml:space="preserve"> 76.458.859-2</t>
  </si>
  <si>
    <t xml:space="preserve">   11.02.0028</t>
  </si>
  <si>
    <t>SIND AYSEN - LOS ETERNOS NAVEGANTES</t>
  </si>
  <si>
    <t>11.02.0126</t>
  </si>
  <si>
    <t xml:space="preserve">COOPERATIVA DE PESCADORES PILCOSTA  </t>
  </si>
  <si>
    <t xml:space="preserve"> ROL 4759</t>
  </si>
  <si>
    <t xml:space="preserve">TURISMO SUR AYSEN LTDA </t>
  </si>
  <si>
    <t xml:space="preserve"> 76.518.703-6</t>
  </si>
  <si>
    <t>SOCIEDAD MININEA LTDA</t>
  </si>
  <si>
    <t xml:space="preserve"> 76.210.264-1</t>
  </si>
  <si>
    <t>SOCIEDAD ARCHIPIELAGO DE LOS CHONOS LIMITADA</t>
  </si>
  <si>
    <t xml:space="preserve"> 76,287.241-2</t>
  </si>
  <si>
    <t xml:space="preserve">SOCIEDAD HUIQUEN Y POBLETE LTDA </t>
  </si>
  <si>
    <t xml:space="preserve"> 76.726.181-0</t>
  </si>
  <si>
    <t>SOCIEDAD ANALUZ LTDA</t>
  </si>
  <si>
    <t xml:space="preserve"> 76.726.561-1</t>
  </si>
  <si>
    <t>SOCIEDAD OCAMPOS URIBE Y LTDA</t>
  </si>
  <si>
    <t>SOCIEDAD PUINAO Y MONTIEL LTDA</t>
  </si>
  <si>
    <t>SOCIEDAD SUBIABRE E HIJOS LTDA</t>
  </si>
  <si>
    <t>RESIDUAL FLOTA SUR I</t>
  </si>
  <si>
    <t>TOTAL FLOTA SUR 1</t>
  </si>
  <si>
    <t>FLOTA SUR 2</t>
  </si>
  <si>
    <t>CODEMAIH</t>
  </si>
  <si>
    <t xml:space="preserve">COOPESUR    </t>
  </si>
  <si>
    <t xml:space="preserve">COOPERATIVA DE PTO AGUIRRE COPEAGU    </t>
  </si>
  <si>
    <t>4257 - 11414257</t>
  </si>
  <si>
    <t>11.02.0066</t>
  </si>
  <si>
    <t>11.02.0069</t>
  </si>
  <si>
    <t>11.02.0029</t>
  </si>
  <si>
    <t>11.02.0054</t>
  </si>
  <si>
    <t>11.02.0122</t>
  </si>
  <si>
    <t>11.02.0019</t>
  </si>
  <si>
    <t>11.02.0034</t>
  </si>
  <si>
    <t>11.02.0042</t>
  </si>
  <si>
    <t>11.02.0051</t>
  </si>
  <si>
    <t>11.02.0077</t>
  </si>
  <si>
    <t>11.02.0082</t>
  </si>
  <si>
    <t>11.02.0147</t>
  </si>
  <si>
    <t>76.133.677-0</t>
  </si>
  <si>
    <t>RESIDUAL FLOTA SUR 2</t>
  </si>
  <si>
    <t>TOTAL FLOTA SUR 2</t>
  </si>
  <si>
    <t>RESUMEN POR AREA</t>
  </si>
  <si>
    <t>MERLUZA DEL SUR 41°28,6' al 47° L.S. (NE)</t>
  </si>
  <si>
    <t>MERLUZA DEL SUR 47° al 57° L.S. (SE)</t>
  </si>
  <si>
    <t xml:space="preserve">TOTAL OBJETIVO REGION </t>
  </si>
  <si>
    <t>TOTAL OBJETIVO REGION</t>
  </si>
  <si>
    <t>CONTROL CUOTA MERLUZA DEL SUR ARTESANAL RAE X REGION DE LOS LAGOS, AÑO 2019</t>
  </si>
  <si>
    <t>STI FRANCISCO ANDRADE</t>
  </si>
  <si>
    <t>STI HEREDEROS DEL ARTE</t>
  </si>
  <si>
    <t>STI ISLAS HUICHAS N°1</t>
  </si>
  <si>
    <t xml:space="preserve">STI ANDRADE DE ISLAS HUICHAS N°3 </t>
  </si>
  <si>
    <t xml:space="preserve"> STI AGUIRRE - MARES DEL SUR</t>
  </si>
  <si>
    <t>STI MORALEDA DE AGUIRRE</t>
  </si>
  <si>
    <t>STI NUEVO AMANECER</t>
  </si>
  <si>
    <t>STI PROA AL FUTURO</t>
  </si>
  <si>
    <t xml:space="preserve">STI CANAL PUYUHUAPI    </t>
  </si>
  <si>
    <t xml:space="preserve">AG ISLA TOTO </t>
  </si>
  <si>
    <t xml:space="preserve">AG DEMERSAL    </t>
  </si>
  <si>
    <t xml:space="preserve">STI AMPARO DE PUERTO GAVIOTA    </t>
  </si>
  <si>
    <t>STI EL PITICO</t>
  </si>
  <si>
    <t xml:space="preserve">STI ELEFANTES  </t>
  </si>
  <si>
    <t xml:space="preserve">STI LITORAL NORTE     </t>
  </si>
  <si>
    <t xml:space="preserve">STI MORALEDA DE GAVIOTA  </t>
  </si>
  <si>
    <t>STI MORALEDA DE PUERTO CISNES</t>
  </si>
  <si>
    <t>STI PUERTO GAVIOTA</t>
  </si>
  <si>
    <t>STI SAN PEDRO</t>
  </si>
  <si>
    <t>SOCIEDAD MAYORGA DIAZ LTDA.</t>
  </si>
  <si>
    <t>SOCIEDAD SERVICIOS PESCA CISNES LTDA</t>
  </si>
  <si>
    <t xml:space="preserve">SINDICATO CHACABUCO-WALTER MONTIEL      </t>
  </si>
  <si>
    <t xml:space="preserve">SINDICATO AYSEN-CANAL COSTA </t>
  </si>
  <si>
    <t>SINDICATO AYSEN-LOS CHONOS</t>
  </si>
  <si>
    <t>PESCADORES ART. AYSEN</t>
  </si>
  <si>
    <t>SOCIEDAD ALMONACID ANDRADE E HIJOS LTDA</t>
  </si>
  <si>
    <t>SIND GALA ANTONIO RONCHI</t>
  </si>
  <si>
    <t>STI PUERTO RAUL MARIN BALMACEDA</t>
  </si>
  <si>
    <t>SOCIEDAD DE PESCADORES PUERTO GALA LTDA</t>
  </si>
  <si>
    <t xml:space="preserve">SOCIEDAD AMAROMAR LTDA </t>
  </si>
  <si>
    <t xml:space="preserve">STI PUERTO PUYUHUAPI LOS DELFINES </t>
  </si>
  <si>
    <t>SIND PUYUHUAPI  B M PESC ARTES</t>
  </si>
  <si>
    <t>NORTE EXTERIOR</t>
  </si>
  <si>
    <t>SUR EXTERIOR</t>
  </si>
  <si>
    <t>Total general</t>
  </si>
  <si>
    <t>CUOTA ASIGNADA</t>
  </si>
  <si>
    <t>76,779,789-3</t>
  </si>
  <si>
    <t>SIND AYSEN - BM PESC ARTES</t>
  </si>
  <si>
    <t>STI AGUIRRE - AGUAS CLARAS</t>
  </si>
  <si>
    <t>STI N° 1 PUERTO DE PUYUHUAPI</t>
  </si>
  <si>
    <t xml:space="preserve">SIND PUYUHUAPI - NUEVO HORIZONTE   </t>
  </si>
  <si>
    <t xml:space="preserve">STI BAHIA CHACABUCO   </t>
  </si>
  <si>
    <t>STI NUEVA AVENTURA</t>
  </si>
  <si>
    <t>SOCIEDAD LEVIÑANCO HNOS LTDA</t>
  </si>
  <si>
    <t>STI DE LA PESCA ARTESANAL DE CALETA ANDRADE</t>
  </si>
  <si>
    <t>STI AGUIRRE - ARCHIPIELAGOS DEL SUR</t>
  </si>
  <si>
    <t xml:space="preserve">SIND CISNES PESC ART Y B M     </t>
  </si>
  <si>
    <t>STI N° 1  PUERTO CISNES</t>
  </si>
  <si>
    <t>SUR II (17 organizaciones)</t>
  </si>
  <si>
    <t>SUR I 36 organizaciones</t>
  </si>
  <si>
    <t>NORTE I (16 organizaciones)</t>
  </si>
  <si>
    <t>NORTE II (17 organizaciones)</t>
  </si>
  <si>
    <t xml:space="preserve">Total Organizaciones </t>
  </si>
  <si>
    <t>SINDICATO AYSEN - LOS CHONOS</t>
  </si>
  <si>
    <t>SOCIEDAD ARCHIPIELAGO DE LOS CHONOS LTDA</t>
  </si>
  <si>
    <t>SOCIEDAD OCAMPOS URIBE LTDA</t>
  </si>
  <si>
    <t>76.874.454-8</t>
  </si>
  <si>
    <t>76.295.623-3</t>
  </si>
  <si>
    <t>SOCIEDAD PESQUERA LEVIÑANCO HNOS LTDA</t>
  </si>
  <si>
    <t>STI ANDRADE - FRANCISCO ANDRADE</t>
  </si>
  <si>
    <t>STI AGUIRRE - NUEVAVENTURA</t>
  </si>
  <si>
    <t xml:space="preserve">STI ANDRADE - ISLAS HUICHAS N°3 </t>
  </si>
  <si>
    <t xml:space="preserve">SIND AGUIRRE DE MORALEDA </t>
  </si>
  <si>
    <t>SIND NUEVO AMANECER</t>
  </si>
  <si>
    <t>STI BAHIA MAR</t>
  </si>
  <si>
    <t>SIND GALA - ANTONIO RONCHI</t>
  </si>
  <si>
    <t>SOCIEDAD PESCADORES PUERTO GALA LTDA</t>
  </si>
  <si>
    <t xml:space="preserve">COOPERATIVA PIONEROS DEL MAR DE PTO CISNES - COOPACIS   </t>
  </si>
  <si>
    <t xml:space="preserve">STI MORALEDA DE PTO GAVIOTA  </t>
  </si>
  <si>
    <t xml:space="preserve">STI AMPARO DE PTO GAVIOTA    </t>
  </si>
  <si>
    <t>STI DE LA PESCA ARTESANAL DE PTO GAVIOTA</t>
  </si>
  <si>
    <t>SOCIEDAD MAYORGA DIAZ LTDA</t>
  </si>
  <si>
    <t>PACIFICBLU SpA</t>
  </si>
  <si>
    <t>TOTAL TITULARES LTP</t>
  </si>
  <si>
    <t>Consumo captura Año</t>
  </si>
  <si>
    <t>Consumo Cuota Año</t>
  </si>
  <si>
    <t>MERLUZA DEL SUR INDUSTRIAL ENERO</t>
  </si>
  <si>
    <t>FUP</t>
  </si>
  <si>
    <t>MERLUZA DEL SUR INDUSTRIAL FEB-DIC</t>
  </si>
  <si>
    <t>% Consumo año</t>
  </si>
  <si>
    <t xml:space="preserve">% Consumo Cuota </t>
  </si>
  <si>
    <t>% Extraido</t>
  </si>
  <si>
    <t>STI ARCHIPIELAGOS DEL SUR</t>
  </si>
  <si>
    <t>85697000-0</t>
  </si>
  <si>
    <t>96962720-5</t>
  </si>
  <si>
    <t>76015307-9</t>
  </si>
  <si>
    <t>PESCA CHILE S.A.</t>
  </si>
  <si>
    <t>96531980-8</t>
  </si>
  <si>
    <t>96542880-1</t>
  </si>
  <si>
    <t>96808510-7</t>
  </si>
  <si>
    <t>76299375-9</t>
  </si>
  <si>
    <t>91584000-0</t>
  </si>
  <si>
    <t>84902900-2</t>
  </si>
  <si>
    <t>76596549-7</t>
  </si>
  <si>
    <t>99546520-5</t>
  </si>
  <si>
    <t>78997880-8</t>
  </si>
  <si>
    <t>DISTRIBUIDORA DE ALIMENTOS DEL MAR LTDA</t>
  </si>
  <si>
    <t>11831129-9</t>
  </si>
  <si>
    <t>14 Merluza del sur, paralelo 41° 28,6’ LS al 47° L.S</t>
  </si>
  <si>
    <t>15 Merluza del sur, paralelo 47° L.S. al 57° L.S.</t>
  </si>
  <si>
    <t>ALEXIS CABRERA VALLEJOS (lote desierto)</t>
  </si>
  <si>
    <t>Ltp A y B (4549-18 y 32-19)</t>
  </si>
  <si>
    <t>U P</t>
  </si>
  <si>
    <t>Titulat Ltp</t>
  </si>
  <si>
    <t>Cesiones</t>
  </si>
  <si>
    <t>ALEXIS CABRERA VALLEJOS (lote desierto adjudicado)</t>
  </si>
  <si>
    <t>PACIFICBLU SpA.</t>
  </si>
  <si>
    <t>Negocios</t>
  </si>
  <si>
    <t>Descrpcion</t>
  </si>
  <si>
    <t>Detalle Negocios Merluza del sur, paralelo 41° 28,6’ LS al 47° L.S:</t>
  </si>
  <si>
    <t>Res Ex</t>
  </si>
  <si>
    <t>Pesca Cisne</t>
  </si>
  <si>
    <t>Deris</t>
  </si>
  <si>
    <t>Sur Austral</t>
  </si>
  <si>
    <t>Pacificblue</t>
  </si>
  <si>
    <t>Grimar</t>
  </si>
  <si>
    <t xml:space="preserve">Cuota </t>
  </si>
  <si>
    <t>Cuota</t>
  </si>
  <si>
    <t>Fecha</t>
  </si>
  <si>
    <t>Res 377-19 Otorga 0,0076800 de Sur Austral a Deris</t>
  </si>
  <si>
    <t>Incremetar</t>
  </si>
  <si>
    <t>Descontar</t>
  </si>
  <si>
    <t>Res 402-19 Sin Efecto 0,0000400 de Sur Austral (+) a PacificBlu (-)</t>
  </si>
  <si>
    <t>Res 288-19 Otorga 0,0287900 de Grimar a Deris (137,012 t)</t>
  </si>
  <si>
    <t>R Ex 1362-19_CV 0,0075 LTP B entre ALEXIS CABRERA VALLEJOS a DERIS SA (22,8225 t)</t>
  </si>
  <si>
    <t>R Ex 1363-19_CV 0,0075 LTP B entre ALEXIS CABRERA VALLEJOS a DERIS SA (22,8225 t)</t>
  </si>
  <si>
    <t>Cantidad</t>
  </si>
  <si>
    <t>R Ex 746-19_Deja Sin Efecto CV Fideicomiso LTP A 0,1041028 PESCA CISNE SA a DERIS</t>
  </si>
  <si>
    <t>+</t>
  </si>
  <si>
    <t>Cabrera</t>
  </si>
  <si>
    <t>Detalle Negocios Merluza del sur, paralelo 47° al 57°</t>
  </si>
  <si>
    <t>Res 745-19 Sin Efecto 0,0282095 de Pesca Cisnes (+) a Deris (0)</t>
  </si>
  <si>
    <t>Res 286-19 Otorga 0.1531210 de Deris a Sur Austral (728,70284)</t>
  </si>
  <si>
    <t>BONN</t>
  </si>
  <si>
    <t>POLARIS II</t>
  </si>
  <si>
    <t>PESQ. SUR AUSTRAL S.A. (si)</t>
  </si>
  <si>
    <t>PACIFICBLU SpA (Fa No autorizado)</t>
  </si>
  <si>
    <t>Total Merluza del Sur FUP</t>
  </si>
  <si>
    <t>FRIOSUR IX  (zonas 115-162)</t>
  </si>
  <si>
    <t>Merluza del sur (D. Ex. N° 459/16-11-2018)</t>
  </si>
  <si>
    <t>Res 289-19 Establece lo que le queda a Grimar 0,1548659  (737,00682)</t>
  </si>
  <si>
    <t>Res 287-19 Establece lo que le queda a Deris 0.1999095 (951,3693)</t>
  </si>
  <si>
    <t>Merluza del sur area Norte</t>
  </si>
  <si>
    <t>UMD</t>
  </si>
  <si>
    <t>4549-18</t>
  </si>
  <si>
    <t>Original</t>
  </si>
  <si>
    <t>aplicando la 288-19</t>
  </si>
  <si>
    <t>289-19</t>
  </si>
  <si>
    <t>aplicando la 286</t>
  </si>
  <si>
    <t>287-19</t>
  </si>
  <si>
    <t>288-19</t>
  </si>
  <si>
    <t>viene de Grimar</t>
  </si>
  <si>
    <t>original</t>
  </si>
  <si>
    <t>286-19</t>
  </si>
  <si>
    <t>viene de Deris</t>
  </si>
  <si>
    <t>Final Grimar</t>
  </si>
  <si>
    <t>lo que queda a Deris</t>
  </si>
  <si>
    <t>392-2019 Cesión 305,556 ton de AREA CALBUCO B Región de Los Lagos a PESQ GRIMAR</t>
  </si>
  <si>
    <t>396-2019 Cesión 106 ton de AREA PALENA Región de Los Lagos a PESQ GRIMAR</t>
  </si>
  <si>
    <t>1097/28-03-19 Cesión 18,446 ton de ORGANIZACIONES Región de AISEN  a PESQ GRIMAR SA</t>
  </si>
  <si>
    <t>1356/10-04-19  Cesión 248,690 t Merluza del sur Area Pto Montt A Región de Los Lagos a EMDEPES SA</t>
  </si>
  <si>
    <t>1096/28-03-19 Cesión 15,924 ton de ORGANIZACIONES Región de AISEN  a PESQ SUR AUSTRAL</t>
  </si>
  <si>
    <t>1195/29-03-19 Cesión 59,755 ton de ORGANIZACION Región de AISEN  a PESQ SUR AUSTRAL</t>
  </si>
  <si>
    <t>446-2019 Cesión 27,254 ton de XII Región EMB POLY EMB VICTOR ALEJANDRO-AREA PTO NATALES a EMDEPES SA.</t>
  </si>
  <si>
    <t>Aysen</t>
  </si>
  <si>
    <t>Los Lagos</t>
  </si>
  <si>
    <t>Magallanes</t>
  </si>
  <si>
    <t xml:space="preserve">Emdepes </t>
  </si>
  <si>
    <t>797-2019 Cesión 167,778 t de Area X Región a DERIS S.A.</t>
  </si>
  <si>
    <t>798-2019 Cesión 222,222 t de Area X Región a DERIS S.A.</t>
  </si>
  <si>
    <t>799-2019 Cesión 147,667 t de Area X Región a DERIS S.A.</t>
  </si>
  <si>
    <t>811-2019 Cesión 324,448 t de  Area X Región a DERIS S.A.</t>
  </si>
  <si>
    <t>1109/29-03-19 Cesión 13,627 ton de XII Region - Embarcacion DAMAR II a EMDEPES SA</t>
  </si>
  <si>
    <t>810-2019 Cesión  27,254 t de XII Region-Embarcaciones Area Natales y Punta Arenas a EMDEPES SA.</t>
  </si>
  <si>
    <t>809-2019 Cesión 177,507  t  de ORGANIZACIONES Región de Aysén a EMDEPES SA.</t>
  </si>
  <si>
    <t>687-2019 Cesión 5,222 t de ORGANIZACIONES Región de Aysén a EMDEPES SA.</t>
  </si>
  <si>
    <t>675-2019 Cesión 40,601 t de ORGANIZACIONES Región de Aysén a EMDEPES SA.</t>
  </si>
  <si>
    <t>674-2019 Cesión 167,674 t de ORGANIZACIONES Región de Aysén a EMDEPES SA.</t>
  </si>
  <si>
    <t>564-2019 Cesión 1363,311 t de XII Region-Embarcaciones Area Natales y Punta Arenas a EMDEPES SA.</t>
  </si>
  <si>
    <t>442-2019 Cesión 193.879 t de Aysén a PESQ GRIMAR</t>
  </si>
  <si>
    <t>531-2019 Cesión 722.274 t de Aysén a PESQ SUR AUSTRAL</t>
  </si>
  <si>
    <t>532-2019 Cesión 1402.471 t de Aysén a EMDEPES SA</t>
  </si>
  <si>
    <t>Detalle CESIONES Merluza del sur de 41° 28,6’ LS al 57° L.S:</t>
  </si>
  <si>
    <t>Descripcion</t>
  </si>
  <si>
    <t>678-19 Cesión 54,508 t (Merluza sur 47 al 57) de Región de Magallanes a Deris S.A.</t>
  </si>
  <si>
    <t>688-19 Cesión 185,767 ton (Merluza sur 47 al 57) de Region de Magallanes a Deris S.A.</t>
  </si>
  <si>
    <r>
      <t xml:space="preserve">Fauna Acompañante </t>
    </r>
    <r>
      <rPr>
        <sz val="10"/>
        <color theme="1"/>
        <rFont val="Calibri"/>
        <family val="2"/>
        <scheme val="minor"/>
      </rPr>
      <t>(No autorizados UP)</t>
    </r>
  </si>
  <si>
    <r>
      <t xml:space="preserve"> Objetivo </t>
    </r>
    <r>
      <rPr>
        <sz val="10"/>
        <color theme="1"/>
        <rFont val="Calibri"/>
        <family val="2"/>
        <scheme val="minor"/>
      </rPr>
      <t>(Autorizados UP)</t>
    </r>
  </si>
  <si>
    <t>PESQ. SUR AUSTRAL S.A. (Inscrito Pesq)</t>
  </si>
  <si>
    <t>PACIFICBLU SpA (No Inscrito pesq)</t>
  </si>
  <si>
    <t xml:space="preserve">% Movimiento de Cuota </t>
  </si>
  <si>
    <t>% Capturado</t>
  </si>
  <si>
    <t xml:space="preserve">% movimiento Cuota </t>
  </si>
  <si>
    <t>CAPTUAR</t>
  </si>
  <si>
    <t>STI PLAYAS BLANCAS</t>
  </si>
  <si>
    <t xml:space="preserve">STI LITORAL SUR </t>
  </si>
  <si>
    <t xml:space="preserve">RAE X REGION </t>
  </si>
  <si>
    <t>Descuento</t>
  </si>
  <si>
    <t>Abono</t>
  </si>
  <si>
    <t>R Ex 1464 Cesion de 10,819 ton de region Aysen  a Grimar</t>
  </si>
  <si>
    <r>
      <t xml:space="preserve">STI N°1  PUERTO </t>
    </r>
    <r>
      <rPr>
        <sz val="11"/>
        <color rgb="FFFF0000"/>
        <rFont val="Calibri"/>
        <family val="2"/>
        <scheme val="minor"/>
      </rPr>
      <t>PUYUHUAPI</t>
    </r>
    <r>
      <rPr>
        <sz val="11"/>
        <rFont val="Calibri"/>
        <family val="2"/>
        <scheme val="minor"/>
      </rPr>
      <t xml:space="preserve"> </t>
    </r>
  </si>
  <si>
    <t>STI PESCADORES ARTES AYSEN</t>
  </si>
  <si>
    <t>SIND AYSEN BM PESC ARTES</t>
  </si>
  <si>
    <t>Alexis Cabrera</t>
  </si>
  <si>
    <t>Res 1806-19 CV 0,0075 desde Alexis cabrera (+) a Deris (0)</t>
  </si>
</sst>
</file>

<file path=xl/styles.xml><?xml version="1.0" encoding="utf-8"?>
<styleSheet xmlns="http://schemas.openxmlformats.org/spreadsheetml/2006/main">
  <numFmts count="24">
    <numFmt numFmtId="41" formatCode="_-* #,##0_-;\-* #,##0_-;_-* &quot;-&quot;_-;_-@_-"/>
    <numFmt numFmtId="43" formatCode="_-* #,##0.00_-;\-* #,##0.00_-;_-* &quot;-&quot;??_-;_-@_-"/>
    <numFmt numFmtId="164" formatCode="[$-F800]dddd\,\ mmmm\ dd\,\ yyyy"/>
    <numFmt numFmtId="165" formatCode="0.0"/>
    <numFmt numFmtId="166" formatCode="0.000"/>
    <numFmt numFmtId="167" formatCode="#,##0_ ;[Red]\-#,##0\ "/>
    <numFmt numFmtId="168" formatCode="#,##0.000_ ;[Red]\-#,##0.000\ "/>
    <numFmt numFmtId="169" formatCode="#,##0.00_ ;[Red]\-#,##0.00\ "/>
    <numFmt numFmtId="170" formatCode="0.000_ ;[Red]\-0.000\ "/>
    <numFmt numFmtId="171" formatCode="0.0%"/>
    <numFmt numFmtId="172" formatCode="yyyy/mm/dd;@"/>
    <numFmt numFmtId="173" formatCode="0.000%"/>
    <numFmt numFmtId="174" formatCode="0.0000000"/>
    <numFmt numFmtId="175" formatCode="_-* #,##0.000_-;\-* #,##0.000_-;_-* &quot;-&quot;??_-;_-@_-"/>
    <numFmt numFmtId="176" formatCode="0.0000"/>
    <numFmt numFmtId="177" formatCode="0.0000000000"/>
    <numFmt numFmtId="178" formatCode="_-* #,##0.0000000_-;\-* #,##0.0000000_-;_-* &quot;-&quot;???????_-;_-@_-"/>
    <numFmt numFmtId="179" formatCode="_-* #,##0.00000000_-;\-* #,##0.00000000_-;_-* &quot;-&quot;??_-;_-@_-"/>
    <numFmt numFmtId="180" formatCode="_ * #,##0.0000000_ ;_ * \-#,##0.0000000_ ;_ * &quot;-&quot;??????_ ;_ @_ "/>
    <numFmt numFmtId="181" formatCode="_ * #,##0_ ;_ * \-#,##0_ ;_ * &quot;-&quot;_ ;_ @_ "/>
    <numFmt numFmtId="182" formatCode="_ * #,##0.0000000_ ;_ * \-#,##0.0000000_ ;_ * &quot;-&quot;_ ;_ @_ "/>
    <numFmt numFmtId="183" formatCode="_ * #,##0.000000_ ;_ * \-#,##0.000000_ ;_ * &quot;-&quot;_ ;_ @_ "/>
    <numFmt numFmtId="184" formatCode="_ * #,##0.0_ ;_ * \-#,##0.0_ ;_ * &quot;-&quot;_ ;_ @_ "/>
    <numFmt numFmtId="185" formatCode="_-* #,##0.000000_-;\-* #,##0.000000_-;_-* &quot;-&quot;??????_-;_-@_-"/>
  </numFmts>
  <fonts count="7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0"/>
      <name val="Arial"/>
      <family val="2"/>
    </font>
    <font>
      <b/>
      <sz val="16"/>
      <color theme="0"/>
      <name val="Calibri"/>
      <family val="2"/>
      <scheme val="minor"/>
    </font>
    <font>
      <b/>
      <sz val="12"/>
      <color theme="0"/>
      <name val="Calibri"/>
      <family val="2"/>
      <scheme val="minor"/>
    </font>
    <font>
      <sz val="12"/>
      <color theme="1"/>
      <name val="Calibri"/>
      <family val="2"/>
      <scheme val="minor"/>
    </font>
    <font>
      <sz val="12"/>
      <color theme="0"/>
      <name val="Calibri"/>
      <family val="2"/>
      <scheme val="minor"/>
    </font>
    <font>
      <sz val="12"/>
      <name val="Calibri"/>
      <family val="2"/>
      <scheme val="minor"/>
    </font>
    <font>
      <b/>
      <sz val="12"/>
      <color theme="1"/>
      <name val="Calibri"/>
      <family val="2"/>
      <scheme val="minor"/>
    </font>
    <font>
      <b/>
      <sz val="14"/>
      <color theme="1"/>
      <name val="Calibri"/>
      <family val="2"/>
      <scheme val="minor"/>
    </font>
    <font>
      <sz val="10"/>
      <color indexed="8"/>
      <name val="Arial"/>
      <family val="2"/>
    </font>
    <font>
      <sz val="11"/>
      <color indexed="8"/>
      <name val="Calibri"/>
      <family val="2"/>
    </font>
    <font>
      <sz val="16"/>
      <color theme="0"/>
      <name val="Calibri"/>
      <family val="2"/>
      <scheme val="minor"/>
    </font>
    <font>
      <sz val="11"/>
      <color theme="0"/>
      <name val="Calibri"/>
      <family val="2"/>
    </font>
    <font>
      <sz val="11"/>
      <name val="Calibri"/>
      <family val="2"/>
      <scheme val="minor"/>
    </font>
    <font>
      <b/>
      <sz val="9"/>
      <color indexed="81"/>
      <name val="Tahoma"/>
      <family val="2"/>
    </font>
    <font>
      <sz val="9"/>
      <color indexed="81"/>
      <name val="Tahoma"/>
      <family val="2"/>
    </font>
    <font>
      <b/>
      <sz val="11"/>
      <color theme="0"/>
      <name val="Calibri"/>
      <family val="2"/>
      <scheme val="minor"/>
    </font>
    <font>
      <b/>
      <sz val="14"/>
      <color theme="0"/>
      <name val="Calibri"/>
      <family val="2"/>
      <scheme val="minor"/>
    </font>
    <font>
      <b/>
      <sz val="10"/>
      <color theme="0"/>
      <name val="Calibri"/>
      <family val="2"/>
      <scheme val="minor"/>
    </font>
    <font>
      <b/>
      <sz val="18"/>
      <color theme="0"/>
      <name val="Calibri"/>
      <family val="2"/>
      <scheme val="minor"/>
    </font>
    <font>
      <sz val="11"/>
      <color indexed="8"/>
      <name val="Calibri"/>
      <family val="2"/>
      <scheme val="minor"/>
    </font>
    <font>
      <sz val="8"/>
      <color theme="0"/>
      <name val="Calibri"/>
      <family val="2"/>
      <scheme val="minor"/>
    </font>
    <font>
      <b/>
      <sz val="11"/>
      <name val="Calibri"/>
      <family val="2"/>
      <scheme val="minor"/>
    </font>
    <font>
      <b/>
      <sz val="8"/>
      <name val="Calibri"/>
      <family val="2"/>
      <scheme val="minor"/>
    </font>
    <font>
      <sz val="8"/>
      <name val="Calibri"/>
      <family val="2"/>
      <scheme val="minor"/>
    </font>
    <font>
      <sz val="11"/>
      <name val="Calibri"/>
      <family val="2"/>
    </font>
    <font>
      <b/>
      <sz val="12"/>
      <name val="Calibri"/>
      <family val="2"/>
      <scheme val="minor"/>
    </font>
    <font>
      <sz val="9"/>
      <color theme="1"/>
      <name val="Calibri"/>
      <family val="2"/>
      <scheme val="minor"/>
    </font>
    <font>
      <b/>
      <sz val="9"/>
      <color theme="0"/>
      <name val="Calibri"/>
      <family val="2"/>
      <scheme val="minor"/>
    </font>
    <font>
      <sz val="9"/>
      <name val="Calibri"/>
      <family val="2"/>
      <scheme val="minor"/>
    </font>
    <font>
      <sz val="9"/>
      <color rgb="FFFF0000"/>
      <name val="Calibri"/>
      <family val="2"/>
      <scheme val="minor"/>
    </font>
    <font>
      <b/>
      <sz val="9"/>
      <name val="Calibri"/>
      <family val="2"/>
      <scheme val="minor"/>
    </font>
    <font>
      <b/>
      <sz val="9"/>
      <color theme="1"/>
      <name val="Calibri"/>
      <family val="2"/>
      <scheme val="minor"/>
    </font>
    <font>
      <b/>
      <sz val="8"/>
      <color theme="0"/>
      <name val="Calibri"/>
      <family val="2"/>
      <scheme val="minor"/>
    </font>
    <font>
      <sz val="8"/>
      <color theme="1"/>
      <name val="Calibri"/>
      <family val="2"/>
      <scheme val="minor"/>
    </font>
    <font>
      <sz val="8"/>
      <color rgb="FFFF0000"/>
      <name val="Calibri"/>
      <family val="2"/>
      <scheme val="minor"/>
    </font>
    <font>
      <b/>
      <sz val="11"/>
      <color rgb="FFFF0000"/>
      <name val="Calibri"/>
      <family val="2"/>
      <scheme val="minor"/>
    </font>
    <font>
      <sz val="8"/>
      <color rgb="FFC00000"/>
      <name val="Calibri"/>
      <family val="2"/>
      <scheme val="minor"/>
    </font>
    <font>
      <b/>
      <sz val="8"/>
      <color rgb="FFFF0000"/>
      <name val="Calibri"/>
      <family val="2"/>
      <scheme val="minor"/>
    </font>
    <font>
      <sz val="10"/>
      <color indexed="8"/>
      <name val="Arial"/>
      <family val="2"/>
    </font>
    <font>
      <sz val="9"/>
      <color indexed="8"/>
      <name val="Calibri"/>
      <family val="2"/>
    </font>
    <font>
      <b/>
      <sz val="11"/>
      <color rgb="FF7030A0"/>
      <name val="Calibri"/>
      <family val="2"/>
      <scheme val="minor"/>
    </font>
    <font>
      <b/>
      <sz val="11"/>
      <color theme="5" tint="-0.249977111117893"/>
      <name val="Calibri"/>
      <family val="2"/>
      <scheme val="minor"/>
    </font>
    <font>
      <sz val="9"/>
      <name val="Verdana"/>
      <family val="2"/>
    </font>
    <font>
      <sz val="9"/>
      <color theme="1"/>
      <name val="Verdana"/>
      <family val="2"/>
    </font>
    <font>
      <sz val="9"/>
      <color rgb="FFFF0000"/>
      <name val="Verdana"/>
      <family val="2"/>
    </font>
    <font>
      <b/>
      <sz val="18"/>
      <color rgb="FFFF0000"/>
      <name val="Calibri"/>
      <family val="2"/>
      <scheme val="minor"/>
    </font>
    <font>
      <sz val="18"/>
      <color theme="1"/>
      <name val="Verdana"/>
      <family val="2"/>
    </font>
    <font>
      <sz val="9"/>
      <color theme="5" tint="-0.249977111117893"/>
      <name val="Verdana"/>
      <family val="2"/>
    </font>
    <font>
      <sz val="10"/>
      <color rgb="FFFF0000"/>
      <name val="Verdana"/>
      <family val="2"/>
    </font>
    <font>
      <sz val="9"/>
      <color rgb="FFFF0000"/>
      <name val="Tahoma"/>
      <family val="2"/>
    </font>
    <font>
      <b/>
      <sz val="10"/>
      <name val="Verdana"/>
      <family val="2"/>
    </font>
    <font>
      <sz val="12"/>
      <color rgb="FFFF0000"/>
      <name val="Calibri"/>
      <family val="2"/>
      <scheme val="minor"/>
    </font>
    <font>
      <b/>
      <sz val="12"/>
      <color rgb="FFFF0000"/>
      <name val="Calibri"/>
      <family val="2"/>
      <scheme val="minor"/>
    </font>
    <font>
      <b/>
      <sz val="9"/>
      <color indexed="10"/>
      <name val="Tahoma"/>
      <family val="2"/>
    </font>
    <font>
      <b/>
      <sz val="9"/>
      <color indexed="21"/>
      <name val="Tahoma"/>
      <family val="2"/>
    </font>
    <font>
      <b/>
      <sz val="9"/>
      <color theme="0"/>
      <name val="Verdana"/>
      <family val="2"/>
    </font>
    <font>
      <b/>
      <sz val="9"/>
      <color theme="1"/>
      <name val="Verdana"/>
      <family val="2"/>
    </font>
    <font>
      <sz val="11"/>
      <name val="@Arial Unicode MS"/>
      <family val="2"/>
    </font>
    <font>
      <u/>
      <sz val="9.9"/>
      <color theme="10"/>
      <name val="Calibri"/>
      <family val="2"/>
    </font>
    <font>
      <sz val="10"/>
      <name val="Verdana"/>
      <family val="2"/>
    </font>
    <font>
      <b/>
      <sz val="11"/>
      <color indexed="8"/>
      <name val="Calibri"/>
      <family val="2"/>
    </font>
    <font>
      <b/>
      <sz val="10"/>
      <color rgb="FFFF0000"/>
      <name val="Calibri"/>
      <family val="2"/>
      <scheme val="minor"/>
    </font>
    <font>
      <sz val="10"/>
      <color rgb="FFFF0000"/>
      <name val="Calibri"/>
      <family val="2"/>
      <scheme val="minor"/>
    </font>
    <font>
      <sz val="10"/>
      <name val="@Arial Unicode MS"/>
      <family val="2"/>
    </font>
    <font>
      <sz val="9"/>
      <color theme="0"/>
      <name val="Calibri"/>
      <family val="2"/>
    </font>
    <font>
      <b/>
      <sz val="9"/>
      <color indexed="8"/>
      <name val="Calibri"/>
      <family val="2"/>
    </font>
    <font>
      <b/>
      <sz val="9"/>
      <color indexed="81"/>
      <name val="Tahoma"/>
      <charset val="1"/>
    </font>
    <font>
      <sz val="9"/>
      <color indexed="81"/>
      <name val="Tahoma"/>
      <charset val="1"/>
    </font>
  </fonts>
  <fills count="44">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0070C0"/>
        <bgColor indexed="0"/>
      </patternFill>
    </fill>
    <fill>
      <patternFill patternType="solid">
        <fgColor rgb="FF00206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3" tint="0.59999389629810485"/>
        <bgColor indexed="0"/>
      </patternFill>
    </fill>
    <fill>
      <patternFill patternType="solid">
        <fgColor theme="8" tint="-0.499984740745262"/>
        <bgColor indexed="64"/>
      </patternFill>
    </fill>
    <fill>
      <patternFill patternType="solid">
        <fgColor theme="4" tint="0.39997558519241921"/>
        <bgColor indexed="64"/>
      </patternFill>
    </fill>
    <fill>
      <patternFill patternType="solid">
        <fgColor indexed="22"/>
        <bgColor indexed="0"/>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79998168889431442"/>
        <bgColor indexed="0"/>
      </patternFill>
    </fill>
    <fill>
      <patternFill patternType="solid">
        <fgColor theme="4" tint="0.79998168889431442"/>
        <bgColor theme="4" tint="0.79998168889431442"/>
      </patternFill>
    </fill>
    <fill>
      <patternFill patternType="solid">
        <fgColor rgb="FFFFFFCC"/>
        <bgColor indexed="64"/>
      </patternFill>
    </fill>
    <fill>
      <patternFill patternType="solid">
        <fgColor rgb="FFFFFF00"/>
        <bgColor indexed="64"/>
      </patternFill>
    </fill>
    <fill>
      <patternFill patternType="solid">
        <fgColor rgb="FFF2F2F2"/>
        <bgColor indexed="64"/>
      </patternFill>
    </fill>
    <fill>
      <patternFill patternType="solid">
        <fgColor rgb="FF00B0F0"/>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A6AFE"/>
        <bgColor indexed="64"/>
      </patternFill>
    </fill>
  </fills>
  <borders count="7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style="medium">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bottom style="medium">
        <color auto="1"/>
      </bottom>
      <diagonal/>
    </border>
    <border>
      <left/>
      <right style="thin">
        <color auto="1"/>
      </right>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0" fontId="7" fillId="0" borderId="0"/>
    <xf numFmtId="0" fontId="1" fillId="0" borderId="0"/>
    <xf numFmtId="0" fontId="45" fillId="0" borderId="0"/>
    <xf numFmtId="41" fontId="1" fillId="0" borderId="0" applyFont="0" applyFill="0" applyBorder="0" applyAlignment="0" applyProtection="0"/>
    <xf numFmtId="0" fontId="65" fillId="0" borderId="0" applyNumberFormat="0" applyFill="0" applyBorder="0" applyAlignment="0" applyProtection="0">
      <alignment vertical="top"/>
      <protection locked="0"/>
    </xf>
  </cellStyleXfs>
  <cellXfs count="1371">
    <xf numFmtId="0" fontId="0" fillId="0" borderId="0" xfId="0"/>
    <xf numFmtId="0" fontId="0" fillId="0" borderId="0" xfId="0" applyFont="1" applyFill="1"/>
    <xf numFmtId="0" fontId="0" fillId="2" borderId="0" xfId="0" applyFont="1" applyFill="1"/>
    <xf numFmtId="0" fontId="0" fillId="0" borderId="0" xfId="0" applyFont="1" applyFill="1" applyAlignment="1">
      <alignment horizontal="center" vertical="center"/>
    </xf>
    <xf numFmtId="0" fontId="3" fillId="0" borderId="0" xfId="0" applyFont="1" applyFill="1"/>
    <xf numFmtId="165" fontId="0" fillId="0" borderId="0" xfId="0" applyNumberFormat="1" applyFont="1" applyFill="1"/>
    <xf numFmtId="0" fontId="0" fillId="0" borderId="0" xfId="0" applyFill="1"/>
    <xf numFmtId="0" fontId="0" fillId="0" borderId="0" xfId="0" applyFill="1" applyAlignment="1">
      <alignment horizontal="center" vertical="center"/>
    </xf>
    <xf numFmtId="0" fontId="0" fillId="0" borderId="0" xfId="0" applyFill="1" applyAlignment="1">
      <alignment horizontal="center" vertical="center" wrapText="1"/>
    </xf>
    <xf numFmtId="164" fontId="9" fillId="0" borderId="0" xfId="0" applyNumberFormat="1" applyFont="1" applyFill="1" applyBorder="1" applyAlignment="1">
      <alignment horizontal="center" vertical="center"/>
    </xf>
    <xf numFmtId="0" fontId="9" fillId="7" borderId="7" xfId="0" applyFont="1" applyFill="1" applyBorder="1" applyAlignment="1">
      <alignment horizontal="center" vertical="center" wrapText="1"/>
    </xf>
    <xf numFmtId="165" fontId="9" fillId="7" borderId="7" xfId="0" applyNumberFormat="1" applyFont="1" applyFill="1" applyBorder="1" applyAlignment="1">
      <alignment horizontal="center" vertical="center" wrapText="1"/>
    </xf>
    <xf numFmtId="164" fontId="9" fillId="2" borderId="0"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2" borderId="7" xfId="0" applyFont="1" applyFill="1" applyBorder="1" applyAlignment="1">
      <alignment horizontal="center" vertical="center"/>
    </xf>
    <xf numFmtId="166" fontId="12" fillId="0" borderId="7" xfId="0" applyNumberFormat="1" applyFont="1" applyFill="1" applyBorder="1" applyAlignment="1">
      <alignment horizontal="center" vertical="center"/>
    </xf>
    <xf numFmtId="166" fontId="9" fillId="7" borderId="7" xfId="0" applyNumberFormat="1" applyFont="1" applyFill="1" applyBorder="1" applyAlignment="1">
      <alignment horizontal="center" vertical="center" wrapText="1"/>
    </xf>
    <xf numFmtId="0" fontId="9" fillId="9" borderId="7" xfId="0" applyFont="1" applyFill="1" applyBorder="1" applyAlignment="1">
      <alignment horizontal="center" vertical="center" wrapText="1"/>
    </xf>
    <xf numFmtId="0" fontId="11" fillId="9" borderId="7" xfId="0" applyFont="1" applyFill="1" applyBorder="1" applyAlignment="1">
      <alignment horizontal="center" vertical="center"/>
    </xf>
    <xf numFmtId="166" fontId="10" fillId="0" borderId="7" xfId="0" applyNumberFormat="1" applyFont="1" applyBorder="1" applyAlignment="1">
      <alignment horizontal="center" vertical="center"/>
    </xf>
    <xf numFmtId="166" fontId="10" fillId="10" borderId="7" xfId="0" applyNumberFormat="1" applyFont="1" applyFill="1" applyBorder="1" applyAlignment="1">
      <alignment horizontal="center" vertical="center"/>
    </xf>
    <xf numFmtId="9" fontId="11" fillId="9" borderId="7" xfId="2" applyFont="1" applyFill="1" applyBorder="1" applyAlignment="1">
      <alignment horizontal="center" vertical="center"/>
    </xf>
    <xf numFmtId="9" fontId="10" fillId="0" borderId="0" xfId="2" applyFont="1" applyFill="1" applyAlignment="1">
      <alignment horizontal="center" vertical="center"/>
    </xf>
    <xf numFmtId="2" fontId="11" fillId="9" borderId="7" xfId="0" applyNumberFormat="1" applyFont="1" applyFill="1" applyBorder="1" applyAlignment="1">
      <alignment horizontal="center" vertical="center"/>
    </xf>
    <xf numFmtId="0" fontId="10" fillId="2" borderId="0" xfId="0" applyFont="1" applyFill="1" applyAlignment="1">
      <alignment horizontal="center" vertical="center"/>
    </xf>
    <xf numFmtId="0" fontId="10" fillId="0" borderId="0" xfId="0" applyFont="1" applyFill="1" applyAlignment="1">
      <alignment vertical="center"/>
    </xf>
    <xf numFmtId="1" fontId="9" fillId="7" borderId="7" xfId="0" applyNumberFormat="1" applyFont="1" applyFill="1" applyBorder="1" applyAlignment="1">
      <alignment horizontal="center" vertical="center" wrapText="1"/>
    </xf>
    <xf numFmtId="9" fontId="9" fillId="7" borderId="7" xfId="2" applyFont="1" applyFill="1" applyBorder="1" applyAlignment="1">
      <alignment horizontal="center" vertical="center" wrapText="1"/>
    </xf>
    <xf numFmtId="0" fontId="10" fillId="2" borderId="0" xfId="0" applyFont="1" applyFill="1" applyAlignment="1">
      <alignment vertical="center"/>
    </xf>
    <xf numFmtId="0" fontId="13" fillId="2" borderId="0" xfId="0" applyFont="1" applyFill="1" applyBorder="1" applyAlignment="1">
      <alignment horizontal="center" vertical="center" textRotation="90" wrapText="1"/>
    </xf>
    <xf numFmtId="0" fontId="10" fillId="2" borderId="9" xfId="0" applyFont="1" applyFill="1" applyBorder="1" applyAlignment="1">
      <alignment horizontal="left" vertical="center" wrapText="1"/>
    </xf>
    <xf numFmtId="0" fontId="10" fillId="2" borderId="0" xfId="0" applyFont="1" applyFill="1" applyBorder="1" applyAlignment="1">
      <alignment horizontal="center" vertical="center"/>
    </xf>
    <xf numFmtId="166" fontId="10" fillId="2" borderId="0" xfId="0" applyNumberFormat="1" applyFont="1" applyFill="1" applyBorder="1" applyAlignment="1">
      <alignment horizontal="center" vertical="center"/>
    </xf>
    <xf numFmtId="10" fontId="10" fillId="2" borderId="0" xfId="2" applyNumberFormat="1" applyFont="1" applyFill="1" applyBorder="1" applyAlignment="1">
      <alignment horizontal="center" vertical="center"/>
    </xf>
    <xf numFmtId="0" fontId="0" fillId="2" borderId="0" xfId="0" applyFill="1" applyBorder="1" applyAlignment="1">
      <alignment horizontal="center" vertical="center"/>
    </xf>
    <xf numFmtId="166" fontId="0" fillId="2" borderId="0" xfId="0" applyNumberFormat="1" applyFill="1" applyBorder="1" applyAlignment="1">
      <alignment horizontal="center" vertical="center"/>
    </xf>
    <xf numFmtId="10" fontId="0" fillId="2" borderId="0" xfId="2" applyNumberFormat="1" applyFont="1" applyFill="1" applyBorder="1" applyAlignment="1">
      <alignment horizontal="center" vertical="center"/>
    </xf>
    <xf numFmtId="0" fontId="14" fillId="2" borderId="0" xfId="0" applyFont="1" applyFill="1" applyBorder="1" applyAlignment="1">
      <alignment horizontal="center" vertical="center" textRotation="90" wrapText="1"/>
    </xf>
    <xf numFmtId="0" fontId="0" fillId="2" borderId="9" xfId="0" applyFill="1" applyBorder="1" applyAlignment="1">
      <alignment horizontal="left" vertical="center" wrapText="1"/>
    </xf>
    <xf numFmtId="0" fontId="0" fillId="2" borderId="0" xfId="0" applyFill="1" applyBorder="1" applyAlignment="1">
      <alignment horizontal="center" vertical="center" wrapText="1"/>
    </xf>
    <xf numFmtId="0" fontId="9" fillId="9" borderId="8" xfId="0" applyFont="1" applyFill="1" applyBorder="1" applyAlignment="1">
      <alignment horizontal="center" vertical="center" wrapText="1"/>
    </xf>
    <xf numFmtId="0" fontId="9" fillId="7" borderId="8" xfId="0" applyFont="1" applyFill="1" applyBorder="1" applyAlignment="1">
      <alignment horizontal="center" vertical="center" wrapText="1"/>
    </xf>
    <xf numFmtId="166" fontId="0" fillId="10" borderId="7" xfId="0" applyNumberFormat="1" applyFill="1" applyBorder="1" applyAlignment="1">
      <alignment horizontal="center" vertical="center"/>
    </xf>
    <xf numFmtId="0" fontId="0" fillId="10" borderId="7" xfId="0" applyFill="1" applyBorder="1" applyAlignment="1">
      <alignment horizontal="center" vertical="center"/>
    </xf>
    <xf numFmtId="10" fontId="0" fillId="10" borderId="7" xfId="2" applyNumberFormat="1" applyFont="1" applyFill="1" applyBorder="1" applyAlignment="1">
      <alignment horizontal="center" vertical="center"/>
    </xf>
    <xf numFmtId="0" fontId="0" fillId="2" borderId="0" xfId="0" applyFill="1"/>
    <xf numFmtId="1" fontId="9" fillId="7" borderId="17" xfId="0" applyNumberFormat="1" applyFont="1" applyFill="1" applyBorder="1" applyAlignment="1">
      <alignment horizontal="center" vertical="center" wrapText="1"/>
    </xf>
    <xf numFmtId="0" fontId="9" fillId="7" borderId="17" xfId="0" applyFont="1" applyFill="1" applyBorder="1" applyAlignment="1">
      <alignment horizontal="center" vertical="center" wrapText="1"/>
    </xf>
    <xf numFmtId="9" fontId="9" fillId="7" borderId="17" xfId="2" applyFont="1" applyFill="1" applyBorder="1" applyAlignment="1">
      <alignment horizontal="center" vertical="center" wrapText="1"/>
    </xf>
    <xf numFmtId="0" fontId="0" fillId="12" borderId="0" xfId="0" applyFill="1"/>
    <xf numFmtId="0" fontId="0" fillId="0" borderId="0" xfId="0" applyFont="1" applyFill="1" applyAlignment="1">
      <alignment vertical="center"/>
    </xf>
    <xf numFmtId="166" fontId="0" fillId="0" borderId="0" xfId="0" applyNumberFormat="1" applyFont="1" applyFill="1" applyAlignment="1">
      <alignment horizontal="center" vertical="center"/>
    </xf>
    <xf numFmtId="14" fontId="0" fillId="0" borderId="0" xfId="0" applyNumberFormat="1" applyFont="1" applyFill="1" applyAlignment="1">
      <alignment vertical="center"/>
    </xf>
    <xf numFmtId="0" fontId="19"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xf numFmtId="164" fontId="8" fillId="0" borderId="0" xfId="0" applyNumberFormat="1" applyFont="1" applyFill="1" applyBorder="1" applyAlignment="1">
      <alignment horizontal="center" vertical="center"/>
    </xf>
    <xf numFmtId="166" fontId="23" fillId="7" borderId="23"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xf numFmtId="0" fontId="0" fillId="2" borderId="25" xfId="0" applyFont="1" applyFill="1" applyBorder="1" applyAlignment="1">
      <alignment horizontal="center" vertical="center"/>
    </xf>
    <xf numFmtId="0" fontId="0" fillId="17" borderId="25" xfId="0" applyFont="1" applyFill="1" applyBorder="1" applyAlignment="1">
      <alignment horizontal="center" vertical="center"/>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7" borderId="32" xfId="0" applyFont="1" applyFill="1" applyBorder="1" applyAlignment="1">
      <alignment horizontal="center" vertical="center" wrapText="1"/>
    </xf>
    <xf numFmtId="166" fontId="23" fillId="7" borderId="16" xfId="0" applyNumberFormat="1" applyFont="1" applyFill="1" applyBorder="1" applyAlignment="1">
      <alignment horizontal="center" vertical="center" wrapText="1"/>
    </xf>
    <xf numFmtId="0" fontId="3" fillId="0" borderId="0" xfId="0" applyFont="1" applyFill="1" applyAlignment="1">
      <alignment vertical="center"/>
    </xf>
    <xf numFmtId="0" fontId="22" fillId="8" borderId="25" xfId="0" applyFont="1" applyFill="1" applyBorder="1" applyAlignment="1">
      <alignment horizontal="center"/>
    </xf>
    <xf numFmtId="170" fontId="19" fillId="0" borderId="34" xfId="0" applyNumberFormat="1" applyFont="1" applyFill="1" applyBorder="1" applyAlignment="1" applyProtection="1">
      <alignment horizontal="right" vertical="center"/>
    </xf>
    <xf numFmtId="170" fontId="19" fillId="0" borderId="28" xfId="0" applyNumberFormat="1" applyFont="1" applyFill="1" applyBorder="1" applyAlignment="1" applyProtection="1">
      <alignment horizontal="right" vertical="center"/>
    </xf>
    <xf numFmtId="0" fontId="22" fillId="8" borderId="30" xfId="0" applyFont="1" applyFill="1" applyBorder="1" applyAlignment="1">
      <alignment horizontal="center"/>
    </xf>
    <xf numFmtId="170" fontId="19" fillId="0" borderId="31" xfId="0" applyNumberFormat="1" applyFont="1" applyFill="1" applyBorder="1" applyAlignment="1" applyProtection="1">
      <alignment horizontal="right" vertical="center"/>
    </xf>
    <xf numFmtId="0" fontId="3" fillId="0" borderId="0" xfId="0" applyFont="1" applyFill="1" applyBorder="1" applyAlignment="1">
      <alignment horizontal="center" vertical="center" wrapText="1"/>
    </xf>
    <xf numFmtId="166" fontId="0" fillId="17" borderId="38" xfId="0" applyNumberFormat="1" applyFont="1" applyFill="1" applyBorder="1" applyAlignment="1">
      <alignment horizontal="center" vertical="center"/>
    </xf>
    <xf numFmtId="170" fontId="19" fillId="0" borderId="38" xfId="0" applyNumberFormat="1" applyFont="1" applyFill="1" applyBorder="1" applyAlignment="1" applyProtection="1">
      <alignment horizontal="center" vertical="center"/>
    </xf>
    <xf numFmtId="0" fontId="0" fillId="18" borderId="38" xfId="0" applyFont="1" applyFill="1" applyBorder="1" applyAlignment="1">
      <alignment horizontal="center" vertical="center"/>
    </xf>
    <xf numFmtId="170" fontId="3" fillId="0" borderId="40" xfId="0" applyNumberFormat="1" applyFont="1" applyFill="1" applyBorder="1" applyAlignment="1">
      <alignment horizontal="center" vertical="center"/>
    </xf>
    <xf numFmtId="166" fontId="3" fillId="0" borderId="40"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0" xfId="0" applyFill="1" applyAlignment="1">
      <alignment vertical="center"/>
    </xf>
    <xf numFmtId="170" fontId="19" fillId="0" borderId="25" xfId="0" applyNumberFormat="1" applyFont="1" applyFill="1" applyBorder="1" applyAlignment="1">
      <alignment horizontal="center" vertical="center"/>
    </xf>
    <xf numFmtId="10" fontId="19" fillId="5" borderId="25" xfId="2" applyNumberFormat="1" applyFont="1" applyFill="1" applyBorder="1" applyAlignment="1">
      <alignment horizontal="center" vertical="center"/>
    </xf>
    <xf numFmtId="0" fontId="19" fillId="5" borderId="52" xfId="0" applyFont="1" applyFill="1" applyBorder="1" applyAlignment="1">
      <alignment horizontal="center" vertical="center"/>
    </xf>
    <xf numFmtId="170" fontId="19" fillId="0" borderId="52" xfId="0" applyNumberFormat="1" applyFont="1" applyFill="1" applyBorder="1" applyAlignment="1">
      <alignment horizontal="center" vertical="center"/>
    </xf>
    <xf numFmtId="166" fontId="2" fillId="2" borderId="25" xfId="0" applyNumberFormat="1" applyFont="1" applyFill="1" applyBorder="1" applyAlignment="1">
      <alignment horizontal="center" vertical="center"/>
    </xf>
    <xf numFmtId="10" fontId="19" fillId="5" borderId="27" xfId="2" applyNumberFormat="1" applyFont="1" applyFill="1" applyBorder="1" applyAlignment="1">
      <alignment horizontal="center" vertical="center"/>
    </xf>
    <xf numFmtId="0" fontId="19" fillId="5" borderId="10" xfId="0" applyFont="1" applyFill="1" applyBorder="1" applyAlignment="1">
      <alignment horizontal="center" vertical="center"/>
    </xf>
    <xf numFmtId="170" fontId="19" fillId="0" borderId="10" xfId="0" applyNumberFormat="1" applyFont="1" applyFill="1" applyBorder="1" applyAlignment="1">
      <alignment horizontal="center" vertical="center"/>
    </xf>
    <xf numFmtId="10" fontId="19" fillId="5" borderId="18" xfId="2" applyNumberFormat="1" applyFont="1" applyFill="1" applyBorder="1" applyAlignment="1">
      <alignment horizontal="center" vertical="center"/>
    </xf>
    <xf numFmtId="10" fontId="19" fillId="5" borderId="66" xfId="2" applyNumberFormat="1" applyFont="1" applyFill="1" applyBorder="1" applyAlignment="1">
      <alignment horizontal="center" vertical="center"/>
    </xf>
    <xf numFmtId="0" fontId="0" fillId="2" borderId="0" xfId="0" applyFont="1" applyFill="1" applyAlignment="1">
      <alignment vertical="center"/>
    </xf>
    <xf numFmtId="170" fontId="19" fillId="5" borderId="10" xfId="0" applyNumberFormat="1" applyFont="1" applyFill="1" applyBorder="1" applyAlignment="1">
      <alignment horizontal="center" vertical="center"/>
    </xf>
    <xf numFmtId="170" fontId="19" fillId="5" borderId="25" xfId="0" applyNumberFormat="1" applyFont="1" applyFill="1" applyBorder="1" applyAlignment="1">
      <alignment horizontal="center" vertical="center"/>
    </xf>
    <xf numFmtId="170" fontId="19" fillId="5" borderId="25" xfId="0" applyNumberFormat="1" applyFont="1" applyFill="1" applyBorder="1" applyAlignment="1">
      <alignment horizontal="center" vertical="center" wrapText="1"/>
    </xf>
    <xf numFmtId="10" fontId="19" fillId="5" borderId="10" xfId="2" applyNumberFormat="1" applyFont="1" applyFill="1" applyBorder="1" applyAlignment="1">
      <alignment horizontal="center" vertical="center"/>
    </xf>
    <xf numFmtId="166" fontId="26" fillId="12" borderId="8" xfId="6" applyNumberFormat="1" applyFont="1" applyFill="1" applyBorder="1" applyAlignment="1">
      <alignment horizontal="center"/>
    </xf>
    <xf numFmtId="170" fontId="19" fillId="12" borderId="10" xfId="0" applyNumberFormat="1" applyFont="1" applyFill="1" applyBorder="1" applyAlignment="1">
      <alignment horizontal="center" vertical="center"/>
    </xf>
    <xf numFmtId="0" fontId="23" fillId="9" borderId="23" xfId="0" applyFont="1" applyFill="1" applyBorder="1" applyAlignment="1">
      <alignment horizontal="center" vertical="center" wrapText="1"/>
    </xf>
    <xf numFmtId="0" fontId="9" fillId="9" borderId="23" xfId="0" applyFont="1" applyFill="1" applyBorder="1" applyAlignment="1">
      <alignment horizontal="center" vertical="center" wrapText="1"/>
    </xf>
    <xf numFmtId="0" fontId="23" fillId="9" borderId="37" xfId="0" applyFont="1" applyFill="1" applyBorder="1" applyAlignment="1">
      <alignment horizontal="center" vertical="center" wrapText="1"/>
    </xf>
    <xf numFmtId="0" fontId="27" fillId="0" borderId="0" xfId="0" applyFont="1" applyFill="1" applyBorder="1"/>
    <xf numFmtId="0" fontId="27" fillId="2" borderId="0" xfId="0" applyFont="1" applyFill="1"/>
    <xf numFmtId="0" fontId="27" fillId="0" borderId="0" xfId="0" applyFont="1" applyFill="1"/>
    <xf numFmtId="0" fontId="27" fillId="2" borderId="0" xfId="0" quotePrefix="1" applyFont="1" applyFill="1"/>
    <xf numFmtId="43" fontId="27" fillId="2" borderId="0" xfId="0" applyNumberFormat="1" applyFont="1" applyFill="1"/>
    <xf numFmtId="1" fontId="27" fillId="2" borderId="0" xfId="0" applyNumberFormat="1" applyFont="1" applyFill="1"/>
    <xf numFmtId="166" fontId="0" fillId="0" borderId="25" xfId="0" applyNumberFormat="1" applyFont="1" applyFill="1" applyBorder="1" applyAlignment="1">
      <alignment horizontal="center" vertical="center"/>
    </xf>
    <xf numFmtId="0" fontId="4" fillId="0" borderId="0" xfId="0" applyFont="1" applyFill="1" applyBorder="1" applyAlignment="1">
      <alignment vertical="center"/>
    </xf>
    <xf numFmtId="0" fontId="22" fillId="0" borderId="0" xfId="0" applyFont="1" applyFill="1" applyAlignment="1">
      <alignment vertical="center"/>
    </xf>
    <xf numFmtId="0" fontId="4" fillId="0" borderId="0" xfId="0" applyFont="1" applyFill="1" applyAlignment="1">
      <alignment vertical="center"/>
    </xf>
    <xf numFmtId="0" fontId="19" fillId="0" borderId="25" xfId="0" applyFont="1" applyFill="1" applyBorder="1" applyAlignment="1">
      <alignment vertical="center"/>
    </xf>
    <xf numFmtId="166" fontId="23" fillId="7" borderId="48" xfId="0" applyNumberFormat="1" applyFont="1" applyFill="1" applyBorder="1" applyAlignment="1">
      <alignment horizontal="center" vertical="center" wrapText="1"/>
    </xf>
    <xf numFmtId="0" fontId="19" fillId="18" borderId="0" xfId="0" applyFont="1" applyFill="1" applyAlignment="1">
      <alignment vertical="center"/>
    </xf>
    <xf numFmtId="164" fontId="29" fillId="0" borderId="0" xfId="0" applyNumberFormat="1" applyFont="1" applyFill="1" applyBorder="1" applyAlignment="1">
      <alignment horizontal="center" vertical="center"/>
    </xf>
    <xf numFmtId="0" fontId="29"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16" fillId="11" borderId="22" xfId="5" applyFont="1" applyFill="1" applyBorder="1" applyAlignment="1">
      <alignment horizontal="right" wrapText="1"/>
    </xf>
    <xf numFmtId="0" fontId="16" fillId="21" borderId="38" xfId="5" applyFont="1" applyFill="1" applyBorder="1" applyAlignment="1">
      <alignment horizontal="right"/>
    </xf>
    <xf numFmtId="0" fontId="16" fillId="11" borderId="38" xfId="5" applyFont="1" applyFill="1" applyBorder="1" applyAlignment="1">
      <alignment horizontal="right" wrapText="1"/>
    </xf>
    <xf numFmtId="0" fontId="9" fillId="7" borderId="25" xfId="0" applyFont="1" applyFill="1" applyBorder="1" applyAlignment="1">
      <alignment horizontal="center" vertical="center" wrapText="1"/>
    </xf>
    <xf numFmtId="166" fontId="23" fillId="7" borderId="25"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0" fontId="19" fillId="20" borderId="0" xfId="0" applyFont="1" applyFill="1" applyAlignment="1">
      <alignment vertical="center"/>
    </xf>
    <xf numFmtId="175" fontId="16" fillId="11" borderId="38" xfId="1" applyNumberFormat="1" applyFont="1" applyFill="1" applyBorder="1" applyAlignment="1">
      <alignment horizontal="center" wrapText="1"/>
    </xf>
    <xf numFmtId="10" fontId="26" fillId="12" borderId="8" xfId="2" applyNumberFormat="1" applyFont="1" applyFill="1" applyBorder="1" applyAlignment="1">
      <alignment horizontal="center"/>
    </xf>
    <xf numFmtId="10" fontId="19" fillId="12" borderId="10" xfId="2" applyNumberFormat="1" applyFont="1" applyFill="1" applyBorder="1" applyAlignment="1">
      <alignment horizontal="center" vertical="center"/>
    </xf>
    <xf numFmtId="166" fontId="9" fillId="14" borderId="25" xfId="0" applyNumberFormat="1" applyFont="1" applyFill="1" applyBorder="1" applyAlignment="1">
      <alignment horizontal="center" vertical="center" wrapText="1"/>
    </xf>
    <xf numFmtId="0" fontId="9" fillId="9" borderId="25" xfId="0" applyFont="1" applyFill="1" applyBorder="1" applyAlignment="1">
      <alignment horizontal="center" vertical="center" wrapText="1"/>
    </xf>
    <xf numFmtId="166" fontId="9" fillId="9" borderId="25" xfId="0" applyNumberFormat="1" applyFont="1" applyFill="1" applyBorder="1" applyAlignment="1">
      <alignment horizontal="center" vertical="center" wrapText="1"/>
    </xf>
    <xf numFmtId="0" fontId="9" fillId="9" borderId="53"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11" fillId="9" borderId="52" xfId="0" applyFont="1" applyFill="1" applyBorder="1" applyAlignment="1">
      <alignment horizontal="center" vertical="center" wrapText="1"/>
    </xf>
    <xf numFmtId="170" fontId="19" fillId="12" borderId="9" xfId="0" applyNumberFormat="1" applyFont="1" applyFill="1" applyBorder="1" applyAlignment="1">
      <alignment horizontal="center" vertical="center"/>
    </xf>
    <xf numFmtId="10" fontId="19" fillId="12" borderId="9" xfId="2" applyNumberFormat="1" applyFont="1" applyFill="1" applyBorder="1" applyAlignment="1">
      <alignment horizontal="center" vertical="center"/>
    </xf>
    <xf numFmtId="173" fontId="26" fillId="2" borderId="25" xfId="2" applyNumberFormat="1" applyFont="1" applyFill="1" applyBorder="1" applyAlignment="1">
      <alignment horizontal="center"/>
    </xf>
    <xf numFmtId="0" fontId="16" fillId="11" borderId="51" xfId="5" applyFont="1" applyFill="1" applyBorder="1" applyAlignment="1">
      <alignment horizontal="right" wrapText="1"/>
    </xf>
    <xf numFmtId="0" fontId="16" fillId="21" borderId="52" xfId="5" applyFont="1" applyFill="1" applyBorder="1" applyAlignment="1">
      <alignment horizontal="right"/>
    </xf>
    <xf numFmtId="0" fontId="16" fillId="11" borderId="52" xfId="5" applyFont="1" applyFill="1" applyBorder="1" applyAlignment="1">
      <alignment horizontal="right" wrapText="1"/>
    </xf>
    <xf numFmtId="175" fontId="16" fillId="11" borderId="52" xfId="1" applyNumberFormat="1" applyFont="1" applyFill="1" applyBorder="1" applyAlignment="1">
      <alignment horizontal="center" wrapText="1"/>
    </xf>
    <xf numFmtId="166" fontId="0" fillId="17" borderId="52" xfId="0" applyNumberFormat="1" applyFont="1" applyFill="1" applyBorder="1" applyAlignment="1">
      <alignment horizontal="center" vertical="center"/>
    </xf>
    <xf numFmtId="170" fontId="19" fillId="0" borderId="52" xfId="0" applyNumberFormat="1" applyFont="1" applyFill="1" applyBorder="1" applyAlignment="1" applyProtection="1">
      <alignment horizontal="center" vertical="center"/>
    </xf>
    <xf numFmtId="0" fontId="0" fillId="18" borderId="52" xfId="0" applyFont="1" applyFill="1" applyBorder="1" applyAlignment="1">
      <alignment horizontal="center" vertical="center"/>
    </xf>
    <xf numFmtId="166" fontId="9" fillId="9" borderId="38" xfId="0" applyNumberFormat="1" applyFont="1" applyFill="1" applyBorder="1" applyAlignment="1">
      <alignment horizontal="center" vertical="center" wrapText="1"/>
    </xf>
    <xf numFmtId="1" fontId="9" fillId="9" borderId="38" xfId="0" applyNumberFormat="1" applyFont="1" applyFill="1" applyBorder="1" applyAlignment="1">
      <alignment horizontal="center" vertical="center" wrapText="1"/>
    </xf>
    <xf numFmtId="173" fontId="9" fillId="9" borderId="38" xfId="2" applyNumberFormat="1" applyFont="1" applyFill="1" applyBorder="1" applyAlignment="1">
      <alignment horizontal="center" vertical="center" wrapText="1"/>
    </xf>
    <xf numFmtId="166" fontId="9" fillId="9" borderId="30" xfId="0" applyNumberFormat="1" applyFont="1" applyFill="1" applyBorder="1" applyAlignment="1">
      <alignment horizontal="center" vertical="center" wrapText="1"/>
    </xf>
    <xf numFmtId="1" fontId="9" fillId="9" borderId="30" xfId="0" applyNumberFormat="1" applyFont="1" applyFill="1" applyBorder="1" applyAlignment="1">
      <alignment horizontal="center" vertical="center" wrapText="1"/>
    </xf>
    <xf numFmtId="173" fontId="9" fillId="9" borderId="30" xfId="2" applyNumberFormat="1" applyFont="1" applyFill="1" applyBorder="1" applyAlignment="1">
      <alignment horizontal="center" vertical="center" wrapText="1"/>
    </xf>
    <xf numFmtId="170" fontId="19" fillId="0" borderId="26" xfId="0" applyNumberFormat="1" applyFont="1" applyFill="1" applyBorder="1" applyAlignment="1" applyProtection="1">
      <alignment horizontal="center" vertical="center"/>
    </xf>
    <xf numFmtId="170" fontId="19" fillId="0" borderId="66" xfId="0" applyNumberFormat="1" applyFont="1" applyFill="1" applyBorder="1" applyAlignment="1" applyProtection="1">
      <alignment horizontal="center" vertical="center"/>
    </xf>
    <xf numFmtId="10" fontId="0" fillId="2" borderId="50" xfId="2" applyNumberFormat="1" applyFont="1" applyFill="1" applyBorder="1" applyAlignment="1">
      <alignment horizontal="center" vertical="center"/>
    </xf>
    <xf numFmtId="10" fontId="0" fillId="2" borderId="47" xfId="2" applyNumberFormat="1" applyFont="1" applyFill="1" applyBorder="1" applyAlignment="1">
      <alignment horizontal="center" vertical="center"/>
    </xf>
    <xf numFmtId="0" fontId="9" fillId="14" borderId="36" xfId="0" applyFont="1" applyFill="1" applyBorder="1" applyAlignment="1">
      <alignment horizontal="center" vertical="center" wrapText="1"/>
    </xf>
    <xf numFmtId="0" fontId="9" fillId="14" borderId="23" xfId="0" applyFont="1" applyFill="1" applyBorder="1" applyAlignment="1">
      <alignment horizontal="center" vertical="center" wrapText="1"/>
    </xf>
    <xf numFmtId="0" fontId="9" fillId="14" borderId="37" xfId="0" applyFont="1" applyFill="1" applyBorder="1" applyAlignment="1">
      <alignment horizontal="center" vertical="center" wrapText="1"/>
    </xf>
    <xf numFmtId="9" fontId="9" fillId="14" borderId="25" xfId="2" applyFont="1" applyFill="1" applyBorder="1" applyAlignment="1">
      <alignment horizontal="center" vertical="center" wrapText="1"/>
    </xf>
    <xf numFmtId="0" fontId="3" fillId="0" borderId="0" xfId="0" applyFont="1" applyFill="1" applyAlignment="1">
      <alignment horizontal="center" vertical="center"/>
    </xf>
    <xf numFmtId="0" fontId="11" fillId="14" borderId="22" xfId="0" applyFont="1" applyFill="1" applyBorder="1" applyAlignment="1">
      <alignment horizontal="center" vertical="center" wrapText="1"/>
    </xf>
    <xf numFmtId="0" fontId="11" fillId="14" borderId="38" xfId="0" applyFont="1" applyFill="1" applyBorder="1" applyAlignment="1">
      <alignment horizontal="center" vertical="center" wrapText="1"/>
    </xf>
    <xf numFmtId="0" fontId="18" fillId="13" borderId="22" xfId="4" applyFont="1" applyFill="1" applyBorder="1" applyAlignment="1">
      <alignment horizontal="center" vertical="center"/>
    </xf>
    <xf numFmtId="0" fontId="18" fillId="13" borderId="38" xfId="4" applyFont="1" applyFill="1" applyBorder="1" applyAlignment="1">
      <alignment horizontal="center" vertical="center" wrapText="1"/>
    </xf>
    <xf numFmtId="0" fontId="11" fillId="9" borderId="38" xfId="0" applyFont="1" applyFill="1" applyBorder="1" applyAlignment="1">
      <alignment horizontal="center" vertical="center" wrapText="1"/>
    </xf>
    <xf numFmtId="0" fontId="11" fillId="9" borderId="70" xfId="0" applyFont="1" applyFill="1" applyBorder="1" applyAlignment="1">
      <alignment horizontal="center" vertical="center" wrapText="1"/>
    </xf>
    <xf numFmtId="0" fontId="19" fillId="4" borderId="24" xfId="0" applyFont="1" applyFill="1" applyBorder="1" applyAlignment="1">
      <alignment horizontal="center"/>
    </xf>
    <xf numFmtId="0" fontId="19" fillId="4" borderId="25" xfId="0" applyFont="1" applyFill="1" applyBorder="1" applyAlignment="1">
      <alignment horizontal="center"/>
    </xf>
    <xf numFmtId="0" fontId="31" fillId="4" borderId="25" xfId="4" applyFont="1" applyFill="1" applyBorder="1" applyAlignment="1">
      <alignment horizontal="right" wrapText="1"/>
    </xf>
    <xf numFmtId="171" fontId="0" fillId="4" borderId="25" xfId="0" applyNumberFormat="1" applyFont="1" applyFill="1" applyBorder="1" applyAlignment="1">
      <alignment horizontal="center" vertical="center"/>
    </xf>
    <xf numFmtId="9" fontId="4" fillId="9" borderId="33" xfId="2" applyFont="1" applyFill="1" applyBorder="1" applyAlignment="1">
      <alignment horizontal="center" vertical="center"/>
    </xf>
    <xf numFmtId="0" fontId="4" fillId="9" borderId="25" xfId="0" applyFont="1" applyFill="1" applyBorder="1" applyAlignment="1">
      <alignment horizontal="center"/>
    </xf>
    <xf numFmtId="0" fontId="4" fillId="9" borderId="25" xfId="0" applyFont="1" applyFill="1" applyBorder="1" applyAlignment="1">
      <alignment horizontal="center" vertical="center"/>
    </xf>
    <xf numFmtId="9" fontId="4" fillId="9" borderId="25" xfId="2" applyFont="1" applyFill="1" applyBorder="1" applyAlignment="1">
      <alignment horizontal="center" vertical="center"/>
    </xf>
    <xf numFmtId="0" fontId="4" fillId="9" borderId="30" xfId="0" applyFont="1" applyFill="1" applyBorder="1" applyAlignment="1">
      <alignment horizontal="center"/>
    </xf>
    <xf numFmtId="0" fontId="4" fillId="9" borderId="30" xfId="0" applyFont="1" applyFill="1" applyBorder="1" applyAlignment="1">
      <alignment horizontal="center" vertical="center"/>
    </xf>
    <xf numFmtId="9" fontId="4" fillId="9" borderId="30" xfId="2" applyFont="1" applyFill="1" applyBorder="1" applyAlignment="1">
      <alignment horizontal="center" vertical="center"/>
    </xf>
    <xf numFmtId="9" fontId="4" fillId="9" borderId="35" xfId="2" applyFont="1" applyFill="1" applyBorder="1" applyAlignment="1">
      <alignment horizontal="center" vertical="center"/>
    </xf>
    <xf numFmtId="0" fontId="3" fillId="4" borderId="22"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5" fillId="5" borderId="25" xfId="0" applyFont="1" applyFill="1" applyBorder="1" applyAlignment="1">
      <alignment horizontal="left" vertical="center" wrapText="1"/>
    </xf>
    <xf numFmtId="165" fontId="5" fillId="2" borderId="25" xfId="0" applyNumberFormat="1" applyFont="1" applyFill="1" applyBorder="1" applyAlignment="1">
      <alignment horizontal="center" vertical="center"/>
    </xf>
    <xf numFmtId="2" fontId="5" fillId="2" borderId="25" xfId="0" applyNumberFormat="1" applyFont="1" applyFill="1" applyBorder="1" applyAlignment="1">
      <alignment horizontal="center" vertical="center"/>
    </xf>
    <xf numFmtId="10" fontId="5" fillId="2" borderId="33" xfId="2" applyNumberFormat="1" applyFont="1" applyFill="1" applyBorder="1" applyAlignment="1">
      <alignment horizontal="center" vertical="center"/>
    </xf>
    <xf numFmtId="0" fontId="5" fillId="11" borderId="25" xfId="0" applyFont="1" applyFill="1" applyBorder="1" applyAlignment="1">
      <alignment horizontal="left" vertical="center" wrapText="1"/>
    </xf>
    <xf numFmtId="165" fontId="5" fillId="11" borderId="25" xfId="0" applyNumberFormat="1" applyFont="1" applyFill="1" applyBorder="1" applyAlignment="1">
      <alignment horizontal="center" vertical="center" wrapText="1"/>
    </xf>
    <xf numFmtId="2" fontId="5" fillId="11" borderId="25" xfId="0" applyNumberFormat="1" applyFont="1" applyFill="1" applyBorder="1" applyAlignment="1">
      <alignment horizontal="center" vertical="center"/>
    </xf>
    <xf numFmtId="10" fontId="5" fillId="11" borderId="33" xfId="2" applyNumberFormat="1" applyFont="1" applyFill="1" applyBorder="1" applyAlignment="1">
      <alignment horizontal="center" vertical="center"/>
    </xf>
    <xf numFmtId="9" fontId="5" fillId="11" borderId="33" xfId="2" applyFont="1" applyFill="1" applyBorder="1" applyAlignment="1">
      <alignment horizontal="center" vertical="center" wrapText="1"/>
    </xf>
    <xf numFmtId="165" fontId="5" fillId="4" borderId="25" xfId="0" applyNumberFormat="1" applyFont="1" applyFill="1" applyBorder="1" applyAlignment="1">
      <alignment horizontal="center" vertical="center" wrapText="1"/>
    </xf>
    <xf numFmtId="165" fontId="5" fillId="4" borderId="33" xfId="0" applyNumberFormat="1" applyFont="1" applyFill="1" applyBorder="1" applyAlignment="1">
      <alignment horizontal="center" vertical="center" wrapText="1"/>
    </xf>
    <xf numFmtId="165" fontId="24" fillId="3" borderId="30" xfId="0" applyNumberFormat="1" applyFont="1" applyFill="1" applyBorder="1" applyAlignment="1">
      <alignment horizontal="center" vertical="center" wrapText="1"/>
    </xf>
    <xf numFmtId="0" fontId="24" fillId="3" borderId="30" xfId="0" applyFont="1" applyFill="1" applyBorder="1" applyAlignment="1">
      <alignment horizontal="center" vertical="center" wrapText="1"/>
    </xf>
    <xf numFmtId="166" fontId="24" fillId="3" borderId="30" xfId="0" applyNumberFormat="1" applyFont="1" applyFill="1" applyBorder="1" applyAlignment="1">
      <alignment horizontal="center" vertical="center" wrapText="1"/>
    </xf>
    <xf numFmtId="9" fontId="24" fillId="3" borderId="35" xfId="2" applyFont="1" applyFill="1" applyBorder="1" applyAlignment="1">
      <alignment horizontal="center" vertical="center" wrapText="1"/>
    </xf>
    <xf numFmtId="0" fontId="10" fillId="0" borderId="0" xfId="0" applyFont="1"/>
    <xf numFmtId="0" fontId="12" fillId="0" borderId="0" xfId="0" applyFont="1" applyFill="1" applyAlignment="1">
      <alignment vertical="center"/>
    </xf>
    <xf numFmtId="0" fontId="10" fillId="0" borderId="0" xfId="0" applyFont="1" applyFill="1" applyBorder="1" applyAlignment="1">
      <alignment horizontal="center" vertical="center"/>
    </xf>
    <xf numFmtId="9" fontId="13" fillId="0" borderId="0" xfId="2" applyFont="1" applyFill="1" applyBorder="1" applyAlignment="1">
      <alignment horizontal="center" vertical="center"/>
    </xf>
    <xf numFmtId="166" fontId="19" fillId="0" borderId="25" xfId="0" applyNumberFormat="1" applyFont="1" applyFill="1" applyBorder="1" applyAlignment="1">
      <alignment horizontal="center" vertical="center"/>
    </xf>
    <xf numFmtId="166" fontId="2" fillId="12" borderId="8" xfId="6" applyNumberFormat="1" applyFont="1" applyFill="1" applyBorder="1" applyAlignment="1">
      <alignment horizontal="center"/>
    </xf>
    <xf numFmtId="0" fontId="19" fillId="2" borderId="0" xfId="0" applyFont="1" applyFill="1" applyAlignment="1">
      <alignment vertical="center"/>
    </xf>
    <xf numFmtId="0" fontId="19" fillId="0" borderId="0" xfId="0" applyFont="1"/>
    <xf numFmtId="0" fontId="19" fillId="5" borderId="20" xfId="0" applyFont="1" applyFill="1" applyBorder="1" applyAlignment="1">
      <alignment horizontal="center" vertical="center"/>
    </xf>
    <xf numFmtId="0" fontId="19" fillId="5" borderId="53" xfId="0" applyFont="1" applyFill="1" applyBorder="1" applyAlignment="1">
      <alignment horizontal="center" vertical="center"/>
    </xf>
    <xf numFmtId="0" fontId="19" fillId="5" borderId="57" xfId="0" applyFont="1" applyFill="1" applyBorder="1" applyAlignment="1">
      <alignment horizontal="center" vertical="center"/>
    </xf>
    <xf numFmtId="0" fontId="22" fillId="19" borderId="25" xfId="0" applyFont="1" applyFill="1" applyBorder="1" applyAlignment="1">
      <alignment horizontal="center" vertical="center" wrapText="1"/>
    </xf>
    <xf numFmtId="165" fontId="22" fillId="19" borderId="25" xfId="0" applyNumberFormat="1" applyFont="1" applyFill="1" applyBorder="1" applyAlignment="1">
      <alignment horizontal="center" vertical="center" wrapText="1"/>
    </xf>
    <xf numFmtId="166" fontId="22" fillId="19" borderId="25" xfId="0" applyNumberFormat="1" applyFont="1" applyFill="1" applyBorder="1" applyAlignment="1">
      <alignment horizontal="center" vertical="center" wrapText="1"/>
    </xf>
    <xf numFmtId="0" fontId="19" fillId="2" borderId="25" xfId="0" applyFont="1" applyFill="1" applyBorder="1" applyAlignment="1">
      <alignment horizontal="center" vertical="center"/>
    </xf>
    <xf numFmtId="166" fontId="0" fillId="12" borderId="25" xfId="0" applyNumberFormat="1" applyFont="1" applyFill="1" applyBorder="1" applyAlignment="1">
      <alignment horizontal="center" vertical="center"/>
    </xf>
    <xf numFmtId="166" fontId="0" fillId="12" borderId="25" xfId="0" applyNumberFormat="1" applyFont="1" applyFill="1" applyBorder="1" applyAlignment="1">
      <alignment vertical="center"/>
    </xf>
    <xf numFmtId="170" fontId="19" fillId="12" borderId="25" xfId="0" applyNumberFormat="1" applyFont="1" applyFill="1" applyBorder="1" applyAlignment="1">
      <alignment horizontal="center" vertical="center"/>
    </xf>
    <xf numFmtId="173" fontId="22" fillId="19" borderId="25" xfId="2" applyNumberFormat="1" applyFont="1" applyFill="1" applyBorder="1" applyAlignment="1">
      <alignment horizontal="center" vertical="center" wrapText="1"/>
    </xf>
    <xf numFmtId="0" fontId="33" fillId="0" borderId="0" xfId="0" applyFont="1"/>
    <xf numFmtId="0" fontId="34" fillId="19" borderId="14" xfId="0" applyFont="1" applyFill="1" applyBorder="1" applyAlignment="1">
      <alignment horizontal="center" vertical="center" wrapText="1"/>
    </xf>
    <xf numFmtId="0" fontId="34" fillId="19" borderId="44" xfId="0" applyFont="1" applyFill="1" applyBorder="1" applyAlignment="1">
      <alignment horizontal="center" vertical="center" wrapText="1"/>
    </xf>
    <xf numFmtId="0" fontId="34" fillId="22" borderId="36" xfId="0" applyFont="1" applyFill="1" applyBorder="1" applyAlignment="1">
      <alignment horizontal="center" vertical="center" wrapText="1"/>
    </xf>
    <xf numFmtId="0" fontId="34" fillId="22" borderId="23" xfId="0" applyFont="1" applyFill="1" applyBorder="1" applyAlignment="1">
      <alignment horizontal="center" vertical="center" wrapText="1"/>
    </xf>
    <xf numFmtId="0" fontId="34" fillId="22" borderId="37" xfId="0" applyFont="1" applyFill="1" applyBorder="1" applyAlignment="1">
      <alignment horizontal="center" vertical="center" wrapText="1"/>
    </xf>
    <xf numFmtId="0" fontId="34" fillId="19" borderId="1" xfId="0" applyFont="1" applyFill="1" applyBorder="1" applyAlignment="1">
      <alignment horizontal="center" vertical="center" wrapText="1"/>
    </xf>
    <xf numFmtId="0" fontId="37" fillId="19" borderId="0" xfId="0" applyFont="1" applyFill="1" applyBorder="1" applyAlignment="1">
      <alignment horizontal="center" vertical="center" wrapText="1"/>
    </xf>
    <xf numFmtId="0" fontId="34" fillId="19" borderId="63" xfId="0" applyFont="1" applyFill="1" applyBorder="1" applyAlignment="1">
      <alignment horizontal="center" vertical="center" wrapText="1"/>
    </xf>
    <xf numFmtId="0" fontId="34" fillId="19" borderId="4" xfId="0" applyFont="1" applyFill="1" applyBorder="1" applyAlignment="1">
      <alignment horizontal="center" vertical="center" wrapText="1"/>
    </xf>
    <xf numFmtId="0" fontId="37" fillId="19" borderId="5" xfId="0" applyFont="1" applyFill="1" applyBorder="1" applyAlignment="1">
      <alignment horizontal="center" vertical="center" wrapText="1"/>
    </xf>
    <xf numFmtId="0" fontId="34" fillId="19" borderId="62" xfId="0" applyFont="1" applyFill="1" applyBorder="1" applyAlignment="1">
      <alignment horizontal="center" vertical="center" wrapText="1"/>
    </xf>
    <xf numFmtId="0" fontId="33" fillId="12" borderId="0" xfId="0" applyFont="1" applyFill="1" applyAlignment="1">
      <alignment vertical="center"/>
    </xf>
    <xf numFmtId="0" fontId="35" fillId="12" borderId="0" xfId="0" applyFont="1" applyFill="1" applyAlignment="1">
      <alignment vertical="center"/>
    </xf>
    <xf numFmtId="0" fontId="34" fillId="19" borderId="17" xfId="0" applyFont="1" applyFill="1" applyBorder="1" applyAlignment="1">
      <alignment horizontal="center" vertical="center" wrapText="1"/>
    </xf>
    <xf numFmtId="0" fontId="37" fillId="19" borderId="14" xfId="0" applyFont="1" applyFill="1" applyBorder="1" applyAlignment="1">
      <alignment horizontal="center" vertical="center" wrapText="1"/>
    </xf>
    <xf numFmtId="0" fontId="34" fillId="19" borderId="23" xfId="0" applyFont="1" applyFill="1" applyBorder="1" applyAlignment="1">
      <alignment horizontal="center" vertical="center" wrapText="1"/>
    </xf>
    <xf numFmtId="0" fontId="33" fillId="2" borderId="0" xfId="0" applyFont="1" applyFill="1" applyAlignment="1">
      <alignment vertical="center"/>
    </xf>
    <xf numFmtId="0" fontId="35" fillId="2" borderId="0" xfId="0" applyFont="1" applyFill="1" applyAlignment="1">
      <alignment vertical="center"/>
    </xf>
    <xf numFmtId="0" fontId="37" fillId="19" borderId="23" xfId="0" applyFont="1" applyFill="1" applyBorder="1" applyAlignment="1">
      <alignment horizontal="center" vertical="center" wrapText="1"/>
    </xf>
    <xf numFmtId="0" fontId="34" fillId="22" borderId="40"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61" xfId="0" applyFont="1" applyFill="1" applyBorder="1" applyAlignment="1">
      <alignment horizontal="center" vertical="center" wrapText="1"/>
    </xf>
    <xf numFmtId="0" fontId="37" fillId="19" borderId="2" xfId="0" applyFont="1" applyFill="1" applyBorder="1" applyAlignment="1">
      <alignment horizontal="center" vertical="center" wrapText="1"/>
    </xf>
    <xf numFmtId="0" fontId="34" fillId="19" borderId="59" xfId="0" applyFont="1" applyFill="1" applyBorder="1" applyAlignment="1">
      <alignment horizontal="center" vertical="center" wrapText="1"/>
    </xf>
    <xf numFmtId="0" fontId="37" fillId="0" borderId="0" xfId="0" applyFont="1" applyFill="1" applyBorder="1" applyAlignment="1">
      <alignment vertical="center" textRotation="90"/>
    </xf>
    <xf numFmtId="0" fontId="35" fillId="0" borderId="0" xfId="0" applyFont="1" applyFill="1" applyAlignment="1">
      <alignment vertical="center"/>
    </xf>
    <xf numFmtId="0" fontId="33" fillId="0" borderId="0" xfId="0" applyFont="1" applyFill="1" applyAlignment="1">
      <alignment vertical="center"/>
    </xf>
    <xf numFmtId="0" fontId="38" fillId="0" borderId="0" xfId="0" applyFont="1" applyFill="1" applyAlignment="1">
      <alignment vertical="center"/>
    </xf>
    <xf numFmtId="0" fontId="34" fillId="19" borderId="36" xfId="0" applyFont="1" applyFill="1" applyBorder="1" applyAlignment="1">
      <alignment horizontal="center" vertical="center" wrapText="1"/>
    </xf>
    <xf numFmtId="0" fontId="34" fillId="19" borderId="37" xfId="0" applyFont="1" applyFill="1" applyBorder="1" applyAlignment="1">
      <alignment horizontal="center" vertical="center" wrapText="1"/>
    </xf>
    <xf numFmtId="0" fontId="39" fillId="19" borderId="44" xfId="0" applyFont="1" applyFill="1" applyBorder="1" applyAlignment="1">
      <alignment horizontal="center" vertical="center" wrapText="1"/>
    </xf>
    <xf numFmtId="0" fontId="39" fillId="22" borderId="36" xfId="0" applyFont="1" applyFill="1" applyBorder="1" applyAlignment="1">
      <alignment horizontal="center" vertical="center" wrapText="1"/>
    </xf>
    <xf numFmtId="0" fontId="39" fillId="22" borderId="23" xfId="0" applyFont="1" applyFill="1" applyBorder="1" applyAlignment="1">
      <alignment horizontal="center" vertical="center" wrapText="1"/>
    </xf>
    <xf numFmtId="0" fontId="40" fillId="0" borderId="0" xfId="0" applyFont="1"/>
    <xf numFmtId="0" fontId="39" fillId="19" borderId="23" xfId="0" applyFont="1" applyFill="1" applyBorder="1" applyAlignment="1">
      <alignment horizontal="center" vertical="center" wrapText="1"/>
    </xf>
    <xf numFmtId="0" fontId="39" fillId="22" borderId="37" xfId="0" applyFont="1" applyFill="1" applyBorder="1" applyAlignment="1">
      <alignment horizontal="center" vertical="center" wrapText="1"/>
    </xf>
    <xf numFmtId="166" fontId="30" fillId="0" borderId="25" xfId="0" applyNumberFormat="1" applyFont="1" applyFill="1" applyBorder="1" applyAlignment="1">
      <alignment horizontal="center" vertical="center" wrapText="1"/>
    </xf>
    <xf numFmtId="0" fontId="39" fillId="19" borderId="59" xfId="0" applyFont="1" applyFill="1" applyBorder="1" applyAlignment="1">
      <alignment horizontal="center" vertical="center" wrapText="1"/>
    </xf>
    <xf numFmtId="0" fontId="2" fillId="0" borderId="0" xfId="0" applyFont="1" applyFill="1" applyAlignment="1">
      <alignment vertical="center"/>
    </xf>
    <xf numFmtId="0" fontId="30" fillId="2" borderId="25" xfId="0" applyFont="1" applyFill="1" applyBorder="1" applyAlignment="1">
      <alignment horizontal="center" vertical="center" wrapText="1"/>
    </xf>
    <xf numFmtId="0" fontId="39" fillId="19" borderId="14" xfId="0" applyFont="1" applyFill="1" applyBorder="1" applyAlignment="1">
      <alignment horizontal="center" vertical="center" wrapText="1"/>
    </xf>
    <xf numFmtId="0" fontId="29" fillId="19" borderId="44" xfId="0" applyFont="1" applyFill="1" applyBorder="1" applyAlignment="1">
      <alignment horizontal="center" vertical="center" wrapText="1"/>
    </xf>
    <xf numFmtId="166" fontId="39" fillId="19" borderId="23" xfId="0" applyNumberFormat="1" applyFont="1" applyFill="1" applyBorder="1" applyAlignment="1">
      <alignment horizontal="center" vertical="center" wrapText="1"/>
    </xf>
    <xf numFmtId="0" fontId="39" fillId="19" borderId="49" xfId="0" applyFont="1" applyFill="1" applyBorder="1" applyAlignment="1">
      <alignment horizontal="center" vertical="center" wrapText="1"/>
    </xf>
    <xf numFmtId="0" fontId="39" fillId="19" borderId="60" xfId="0" applyFont="1" applyFill="1" applyBorder="1" applyAlignment="1">
      <alignment horizontal="center" vertical="center" wrapText="1"/>
    </xf>
    <xf numFmtId="0" fontId="30" fillId="5" borderId="20" xfId="0" applyFont="1" applyFill="1" applyBorder="1" applyAlignment="1">
      <alignment horizontal="center" vertical="center"/>
    </xf>
    <xf numFmtId="170" fontId="30" fillId="5" borderId="20" xfId="0" applyNumberFormat="1" applyFont="1" applyFill="1" applyBorder="1" applyAlignment="1" applyProtection="1">
      <alignment horizontal="center" vertical="center"/>
    </xf>
    <xf numFmtId="166" fontId="30" fillId="2" borderId="10" xfId="0" applyNumberFormat="1" applyFont="1" applyFill="1" applyBorder="1" applyAlignment="1">
      <alignment horizontal="center" vertical="center"/>
    </xf>
    <xf numFmtId="170" fontId="30" fillId="0" borderId="10" xfId="0" applyNumberFormat="1" applyFont="1" applyFill="1" applyBorder="1" applyAlignment="1">
      <alignment horizontal="center" vertical="center"/>
    </xf>
    <xf numFmtId="166" fontId="40" fillId="2" borderId="10" xfId="0" applyNumberFormat="1" applyFont="1" applyFill="1" applyBorder="1" applyAlignment="1">
      <alignment horizontal="center" vertical="center"/>
    </xf>
    <xf numFmtId="10" fontId="30" fillId="5" borderId="18" xfId="2" applyNumberFormat="1" applyFont="1" applyFill="1" applyBorder="1" applyAlignment="1">
      <alignment horizontal="center" vertical="center"/>
    </xf>
    <xf numFmtId="0" fontId="39" fillId="19" borderId="25" xfId="0" applyFont="1" applyFill="1" applyBorder="1" applyAlignment="1">
      <alignment horizontal="center" vertical="center" wrapText="1"/>
    </xf>
    <xf numFmtId="0" fontId="30" fillId="5" borderId="53" xfId="0" applyFont="1" applyFill="1" applyBorder="1" applyAlignment="1">
      <alignment horizontal="center" vertical="center"/>
    </xf>
    <xf numFmtId="170" fontId="30" fillId="5" borderId="53" xfId="0" applyNumberFormat="1" applyFont="1" applyFill="1" applyBorder="1" applyAlignment="1" applyProtection="1">
      <alignment horizontal="center" vertical="center"/>
    </xf>
    <xf numFmtId="166" fontId="30" fillId="2" borderId="25" xfId="0" applyNumberFormat="1" applyFont="1" applyFill="1" applyBorder="1" applyAlignment="1">
      <alignment horizontal="center" vertical="center"/>
    </xf>
    <xf numFmtId="170" fontId="30" fillId="0" borderId="25" xfId="0" applyNumberFormat="1" applyFont="1" applyFill="1" applyBorder="1" applyAlignment="1">
      <alignment horizontal="center" vertical="center"/>
    </xf>
    <xf numFmtId="0" fontId="30" fillId="20" borderId="25" xfId="0" applyFont="1" applyFill="1" applyBorder="1" applyAlignment="1">
      <alignment horizontal="center" vertical="center"/>
    </xf>
    <xf numFmtId="10" fontId="30" fillId="5" borderId="27" xfId="2" applyNumberFormat="1" applyFont="1" applyFill="1" applyBorder="1" applyAlignment="1">
      <alignment horizontal="center" vertical="center"/>
    </xf>
    <xf numFmtId="166" fontId="40" fillId="2" borderId="25" xfId="0" applyNumberFormat="1" applyFont="1" applyFill="1" applyBorder="1" applyAlignment="1">
      <alignment horizontal="center" vertical="center"/>
    </xf>
    <xf numFmtId="0" fontId="30" fillId="5" borderId="57" xfId="0" applyFont="1" applyFill="1" applyBorder="1" applyAlignment="1">
      <alignment horizontal="center" vertical="center"/>
    </xf>
    <xf numFmtId="170" fontId="30" fillId="5" borderId="57" xfId="0" applyNumberFormat="1" applyFont="1" applyFill="1" applyBorder="1" applyAlignment="1" applyProtection="1">
      <alignment horizontal="center" vertical="center"/>
    </xf>
    <xf numFmtId="166" fontId="30" fillId="2" borderId="8" xfId="0" applyNumberFormat="1" applyFont="1" applyFill="1" applyBorder="1" applyAlignment="1">
      <alignment horizontal="center" vertical="center"/>
    </xf>
    <xf numFmtId="170" fontId="30" fillId="0" borderId="8" xfId="0" applyNumberFormat="1" applyFont="1" applyFill="1" applyBorder="1" applyAlignment="1">
      <alignment horizontal="center" vertical="center"/>
    </xf>
    <xf numFmtId="170" fontId="30" fillId="0" borderId="52" xfId="0" applyNumberFormat="1" applyFont="1" applyFill="1" applyBorder="1" applyAlignment="1">
      <alignment horizontal="center" vertical="center"/>
    </xf>
    <xf numFmtId="10" fontId="30" fillId="15" borderId="66" xfId="2" applyNumberFormat="1" applyFont="1" applyFill="1" applyBorder="1" applyAlignment="1">
      <alignment horizontal="center" vertical="center"/>
    </xf>
    <xf numFmtId="10" fontId="30" fillId="15" borderId="27" xfId="2" applyNumberFormat="1" applyFont="1" applyFill="1" applyBorder="1" applyAlignment="1">
      <alignment horizontal="center" vertical="center"/>
    </xf>
    <xf numFmtId="166" fontId="30" fillId="2" borderId="52" xfId="0" applyNumberFormat="1" applyFont="1" applyFill="1" applyBorder="1" applyAlignment="1">
      <alignment horizontal="center" vertical="center"/>
    </xf>
    <xf numFmtId="0" fontId="30" fillId="20" borderId="52" xfId="0" applyFont="1" applyFill="1" applyBorder="1" applyAlignment="1">
      <alignment horizontal="center" vertical="center"/>
    </xf>
    <xf numFmtId="10" fontId="30" fillId="5" borderId="66" xfId="2" applyNumberFormat="1" applyFont="1" applyFill="1" applyBorder="1" applyAlignment="1">
      <alignment horizontal="center" vertical="center"/>
    </xf>
    <xf numFmtId="0" fontId="30" fillId="5" borderId="25" xfId="0" applyFont="1" applyFill="1" applyBorder="1" applyAlignment="1">
      <alignment horizontal="center" vertical="center"/>
    </xf>
    <xf numFmtId="0" fontId="30" fillId="5" borderId="52" xfId="0" applyFont="1" applyFill="1" applyBorder="1" applyAlignment="1">
      <alignment horizontal="center" vertical="center"/>
    </xf>
    <xf numFmtId="166" fontId="41" fillId="25" borderId="25" xfId="0" applyNumberFormat="1" applyFont="1" applyFill="1" applyBorder="1" applyAlignment="1">
      <alignment horizontal="center" vertical="center"/>
    </xf>
    <xf numFmtId="172" fontId="39" fillId="9" borderId="27" xfId="0" applyNumberFormat="1" applyFont="1" applyFill="1" applyBorder="1" applyAlignment="1">
      <alignment horizontal="center" vertical="center" wrapText="1"/>
    </xf>
    <xf numFmtId="0" fontId="30" fillId="2" borderId="25" xfId="0" applyFont="1" applyFill="1" applyBorder="1" applyAlignment="1">
      <alignment horizontal="center" vertical="center"/>
    </xf>
    <xf numFmtId="170" fontId="30" fillId="2" borderId="53" xfId="0" applyNumberFormat="1" applyFont="1" applyFill="1" applyBorder="1" applyAlignment="1" applyProtection="1">
      <alignment horizontal="center" vertical="center"/>
    </xf>
    <xf numFmtId="166" fontId="41" fillId="2" borderId="25" xfId="0" applyNumberFormat="1" applyFont="1" applyFill="1" applyBorder="1" applyAlignment="1">
      <alignment horizontal="center" vertical="center"/>
    </xf>
    <xf numFmtId="170" fontId="30" fillId="2" borderId="25" xfId="0" applyNumberFormat="1" applyFont="1" applyFill="1" applyBorder="1" applyAlignment="1">
      <alignment horizontal="center" vertical="center"/>
    </xf>
    <xf numFmtId="10" fontId="30" fillId="2" borderId="27" xfId="2" applyNumberFormat="1" applyFont="1" applyFill="1" applyBorder="1" applyAlignment="1">
      <alignment horizontal="center" vertical="center"/>
    </xf>
    <xf numFmtId="0" fontId="39" fillId="2" borderId="25" xfId="0" applyFont="1" applyFill="1" applyBorder="1" applyAlignment="1">
      <alignment horizontal="center" vertical="center" wrapText="1"/>
    </xf>
    <xf numFmtId="0" fontId="30" fillId="5" borderId="10" xfId="0" applyFont="1" applyFill="1" applyBorder="1" applyAlignment="1">
      <alignment horizontal="center" vertical="center"/>
    </xf>
    <xf numFmtId="166" fontId="41" fillId="25" borderId="10" xfId="0" applyNumberFormat="1" applyFont="1" applyFill="1" applyBorder="1" applyAlignment="1">
      <alignment horizontal="center" vertical="center"/>
    </xf>
    <xf numFmtId="170" fontId="43" fillId="0" borderId="10" xfId="0" applyNumberFormat="1" applyFont="1" applyFill="1" applyBorder="1" applyAlignment="1">
      <alignment horizontal="center" vertical="center"/>
    </xf>
    <xf numFmtId="170" fontId="43" fillId="0" borderId="25" xfId="0" applyNumberFormat="1" applyFont="1" applyFill="1" applyBorder="1" applyAlignment="1">
      <alignment horizontal="center" vertical="center"/>
    </xf>
    <xf numFmtId="166" fontId="30" fillId="26" borderId="25" xfId="0" applyNumberFormat="1" applyFont="1" applyFill="1" applyBorder="1" applyAlignment="1">
      <alignment horizontal="center" vertical="center"/>
    </xf>
    <xf numFmtId="10" fontId="30" fillId="16" borderId="18" xfId="2" applyNumberFormat="1" applyFont="1" applyFill="1" applyBorder="1" applyAlignment="1">
      <alignment horizontal="center" vertical="center"/>
    </xf>
    <xf numFmtId="172" fontId="39" fillId="31" borderId="27" xfId="0" applyNumberFormat="1" applyFont="1" applyFill="1" applyBorder="1" applyAlignment="1">
      <alignment horizontal="center" vertical="center" wrapText="1"/>
    </xf>
    <xf numFmtId="0" fontId="39" fillId="19" borderId="27" xfId="0" applyFont="1" applyFill="1" applyBorder="1" applyAlignment="1">
      <alignment horizontal="center" vertical="center" wrapText="1"/>
    </xf>
    <xf numFmtId="166" fontId="30" fillId="5" borderId="25" xfId="0" applyNumberFormat="1" applyFont="1" applyFill="1" applyBorder="1" applyAlignment="1">
      <alignment horizontal="center" vertical="center"/>
    </xf>
    <xf numFmtId="0" fontId="44" fillId="15" borderId="27" xfId="0" applyFont="1" applyFill="1" applyBorder="1" applyAlignment="1">
      <alignment horizontal="center" vertical="center" wrapText="1"/>
    </xf>
    <xf numFmtId="166" fontId="41" fillId="28" borderId="25" xfId="0" applyNumberFormat="1" applyFont="1" applyFill="1" applyBorder="1" applyAlignment="1">
      <alignment horizontal="center" vertical="center"/>
    </xf>
    <xf numFmtId="0" fontId="39" fillId="19" borderId="66" xfId="0" applyFont="1" applyFill="1" applyBorder="1" applyAlignment="1">
      <alignment horizontal="center" vertical="center" wrapText="1"/>
    </xf>
    <xf numFmtId="170" fontId="30" fillId="5" borderId="10" xfId="0" applyNumberFormat="1" applyFont="1" applyFill="1" applyBorder="1" applyAlignment="1">
      <alignment horizontal="center" vertical="center"/>
    </xf>
    <xf numFmtId="170" fontId="30" fillId="5" borderId="25" xfId="0" applyNumberFormat="1" applyFont="1" applyFill="1" applyBorder="1" applyAlignment="1">
      <alignment horizontal="center" vertical="center"/>
    </xf>
    <xf numFmtId="0" fontId="30" fillId="5" borderId="25" xfId="0" applyFont="1" applyFill="1" applyBorder="1" applyAlignment="1">
      <alignment horizontal="center" vertical="center" wrapText="1"/>
    </xf>
    <xf numFmtId="170" fontId="30" fillId="5" borderId="25" xfId="0" applyNumberFormat="1" applyFont="1" applyFill="1" applyBorder="1" applyAlignment="1">
      <alignment horizontal="center" vertical="center" wrapText="1"/>
    </xf>
    <xf numFmtId="166" fontId="30" fillId="29" borderId="25" xfId="0" applyNumberFormat="1" applyFont="1" applyFill="1" applyBorder="1" applyAlignment="1">
      <alignment horizontal="center" vertical="center"/>
    </xf>
    <xf numFmtId="43" fontId="30" fillId="5" borderId="25" xfId="1" applyFont="1" applyFill="1" applyBorder="1" applyAlignment="1">
      <alignment vertical="center"/>
    </xf>
    <xf numFmtId="0" fontId="30" fillId="5" borderId="25" xfId="0" applyFont="1" applyFill="1" applyBorder="1" applyAlignment="1">
      <alignment vertical="center"/>
    </xf>
    <xf numFmtId="0" fontId="30" fillId="5" borderId="52" xfId="0" applyFont="1" applyFill="1" applyBorder="1" applyAlignment="1">
      <alignment vertical="center"/>
    </xf>
    <xf numFmtId="170" fontId="30" fillId="5" borderId="52" xfId="0" applyNumberFormat="1" applyFont="1" applyFill="1" applyBorder="1" applyAlignment="1">
      <alignment horizontal="center" vertical="center"/>
    </xf>
    <xf numFmtId="170" fontId="30" fillId="0" borderId="10" xfId="0" applyNumberFormat="1" applyFont="1" applyFill="1" applyBorder="1" applyAlignment="1" applyProtection="1">
      <alignment horizontal="center" vertical="center"/>
    </xf>
    <xf numFmtId="10" fontId="30" fillId="5" borderId="10" xfId="2" applyNumberFormat="1" applyFont="1" applyFill="1" applyBorder="1" applyAlignment="1">
      <alignment horizontal="center" vertical="center"/>
    </xf>
    <xf numFmtId="0" fontId="39" fillId="19" borderId="18" xfId="0" applyFont="1" applyFill="1" applyBorder="1" applyAlignment="1">
      <alignment horizontal="center" vertical="center" wrapText="1"/>
    </xf>
    <xf numFmtId="170" fontId="30" fillId="0" borderId="25" xfId="0" applyNumberFormat="1" applyFont="1" applyFill="1" applyBorder="1" applyAlignment="1" applyProtection="1">
      <alignment horizontal="center" vertical="center"/>
    </xf>
    <xf numFmtId="10" fontId="30" fillId="5" borderId="25" xfId="2" applyNumberFormat="1" applyFont="1" applyFill="1" applyBorder="1" applyAlignment="1">
      <alignment horizontal="center" vertical="center"/>
    </xf>
    <xf numFmtId="0" fontId="30" fillId="5" borderId="8" xfId="0" applyFont="1" applyFill="1" applyBorder="1" applyAlignment="1">
      <alignment horizontal="center" vertical="center"/>
    </xf>
    <xf numFmtId="170" fontId="30" fillId="0" borderId="8" xfId="0" applyNumberFormat="1" applyFont="1" applyFill="1" applyBorder="1" applyAlignment="1" applyProtection="1">
      <alignment horizontal="center" vertical="center"/>
    </xf>
    <xf numFmtId="170" fontId="30" fillId="5" borderId="8" xfId="0" applyNumberFormat="1" applyFont="1" applyFill="1" applyBorder="1" applyAlignment="1">
      <alignment horizontal="center" vertical="center"/>
    </xf>
    <xf numFmtId="10" fontId="30" fillId="5" borderId="8" xfId="2" applyNumberFormat="1" applyFont="1" applyFill="1" applyBorder="1" applyAlignment="1">
      <alignment horizontal="center" vertical="center"/>
    </xf>
    <xf numFmtId="0" fontId="9" fillId="22" borderId="25" xfId="0" applyFont="1" applyFill="1" applyBorder="1" applyAlignment="1">
      <alignment horizontal="center" vertical="center" wrapText="1"/>
    </xf>
    <xf numFmtId="166" fontId="0" fillId="0" borderId="0" xfId="0" applyNumberFormat="1" applyFont="1" applyFill="1" applyAlignment="1">
      <alignment vertical="center"/>
    </xf>
    <xf numFmtId="165" fontId="6" fillId="2" borderId="25" xfId="0" applyNumberFormat="1" applyFont="1" applyFill="1" applyBorder="1" applyAlignment="1">
      <alignment horizontal="center" vertical="center"/>
    </xf>
    <xf numFmtId="165" fontId="6" fillId="11" borderId="25" xfId="0" applyNumberFormat="1" applyFont="1" applyFill="1" applyBorder="1" applyAlignment="1">
      <alignment horizontal="center" vertical="center" wrapText="1"/>
    </xf>
    <xf numFmtId="165" fontId="6" fillId="4" borderId="25" xfId="0" applyNumberFormat="1" applyFont="1" applyFill="1" applyBorder="1" applyAlignment="1">
      <alignment horizontal="center" vertical="center" wrapText="1"/>
    </xf>
    <xf numFmtId="2" fontId="6" fillId="2" borderId="25" xfId="0" applyNumberFormat="1" applyFont="1" applyFill="1" applyBorder="1" applyAlignment="1">
      <alignment horizontal="center" vertical="center"/>
    </xf>
    <xf numFmtId="166" fontId="6" fillId="2" borderId="25" xfId="0" applyNumberFormat="1" applyFont="1" applyFill="1" applyBorder="1" applyAlignment="1">
      <alignment horizontal="center" vertical="center"/>
    </xf>
    <xf numFmtId="166" fontId="6" fillId="11" borderId="25" xfId="0" applyNumberFormat="1" applyFont="1" applyFill="1" applyBorder="1" applyAlignment="1">
      <alignment horizontal="center" vertical="center"/>
    </xf>
    <xf numFmtId="0" fontId="0" fillId="11" borderId="57" xfId="0" applyFill="1" applyBorder="1"/>
    <xf numFmtId="0" fontId="0" fillId="11" borderId="52" xfId="0" applyFill="1" applyBorder="1"/>
    <xf numFmtId="0" fontId="0" fillId="11" borderId="10" xfId="0" applyFill="1" applyBorder="1"/>
    <xf numFmtId="0" fontId="0" fillId="11" borderId="20" xfId="0" applyFill="1" applyBorder="1"/>
    <xf numFmtId="0" fontId="0" fillId="17" borderId="0" xfId="0" applyFill="1"/>
    <xf numFmtId="0" fontId="2" fillId="17" borderId="0" xfId="0" applyFont="1" applyFill="1"/>
    <xf numFmtId="166" fontId="2" fillId="15" borderId="38" xfId="0" applyNumberFormat="1" applyFont="1" applyFill="1" applyBorder="1" applyAlignment="1">
      <alignment horizontal="center" vertical="center"/>
    </xf>
    <xf numFmtId="166" fontId="2" fillId="30" borderId="38" xfId="0" applyNumberFormat="1" applyFont="1" applyFill="1" applyBorder="1" applyAlignment="1">
      <alignment horizontal="center" vertical="center"/>
    </xf>
    <xf numFmtId="166" fontId="9" fillId="9" borderId="44" xfId="0" applyNumberFormat="1" applyFont="1" applyFill="1" applyBorder="1" applyAlignment="1">
      <alignment horizontal="center" vertical="center" wrapText="1"/>
    </xf>
    <xf numFmtId="166" fontId="3" fillId="30" borderId="0" xfId="0" applyNumberFormat="1" applyFont="1" applyFill="1" applyAlignment="1">
      <alignment horizontal="center" vertical="center"/>
    </xf>
    <xf numFmtId="166" fontId="42" fillId="15" borderId="38" xfId="0" applyNumberFormat="1" applyFont="1" applyFill="1" applyBorder="1" applyAlignment="1">
      <alignment horizontal="center" vertical="center"/>
    </xf>
    <xf numFmtId="173" fontId="0" fillId="0" borderId="0" xfId="2" applyNumberFormat="1" applyFont="1" applyFill="1" applyAlignment="1">
      <alignment horizontal="center" vertical="center"/>
    </xf>
    <xf numFmtId="173" fontId="0" fillId="0" borderId="0" xfId="0" applyNumberFormat="1" applyFont="1" applyFill="1" applyAlignment="1">
      <alignment horizontal="center" vertical="center"/>
    </xf>
    <xf numFmtId="9" fontId="0" fillId="0" borderId="0" xfId="2" applyFont="1" applyFill="1" applyAlignment="1">
      <alignment vertical="center"/>
    </xf>
    <xf numFmtId="173" fontId="0" fillId="0" borderId="0" xfId="2" applyNumberFormat="1" applyFont="1" applyFill="1" applyAlignment="1">
      <alignment vertical="center"/>
    </xf>
    <xf numFmtId="10" fontId="0" fillId="0" borderId="25" xfId="2" applyNumberFormat="1" applyFont="1" applyFill="1" applyBorder="1" applyAlignment="1">
      <alignment horizontal="center" vertical="center"/>
    </xf>
    <xf numFmtId="173" fontId="0" fillId="0" borderId="25" xfId="2" applyNumberFormat="1" applyFont="1" applyFill="1" applyBorder="1" applyAlignment="1">
      <alignment horizontal="center" vertical="center"/>
    </xf>
    <xf numFmtId="0" fontId="0" fillId="0" borderId="0" xfId="0" applyFill="1" applyAlignment="1">
      <alignment horizontal="center"/>
    </xf>
    <xf numFmtId="0" fontId="0" fillId="2" borderId="0" xfId="0" applyFill="1" applyAlignment="1">
      <alignment horizontal="center"/>
    </xf>
    <xf numFmtId="0" fontId="0" fillId="12" borderId="0" xfId="0" applyFill="1" applyAlignment="1">
      <alignment horizontal="center"/>
    </xf>
    <xf numFmtId="164" fontId="9" fillId="0" borderId="0" xfId="0" applyNumberFormat="1" applyFont="1" applyFill="1" applyBorder="1" applyAlignment="1">
      <alignment horizontal="center"/>
    </xf>
    <xf numFmtId="164" fontId="9" fillId="2" borderId="0" xfId="0" applyNumberFormat="1" applyFont="1" applyFill="1" applyBorder="1" applyAlignment="1">
      <alignment horizontal="center"/>
    </xf>
    <xf numFmtId="0" fontId="9" fillId="9" borderId="7" xfId="0" applyFont="1" applyFill="1" applyBorder="1" applyAlignment="1">
      <alignment horizontal="center" wrapText="1"/>
    </xf>
    <xf numFmtId="2" fontId="11" fillId="9" borderId="7" xfId="0" applyNumberFormat="1" applyFont="1" applyFill="1" applyBorder="1" applyAlignment="1">
      <alignment horizontal="center"/>
    </xf>
    <xf numFmtId="0" fontId="10" fillId="2" borderId="0" xfId="0" applyFont="1" applyFill="1" applyAlignment="1">
      <alignment horizontal="center"/>
    </xf>
    <xf numFmtId="1" fontId="9" fillId="7" borderId="7" xfId="0" applyNumberFormat="1" applyFont="1" applyFill="1" applyBorder="1" applyAlignment="1">
      <alignment horizontal="center" wrapText="1"/>
    </xf>
    <xf numFmtId="0" fontId="10" fillId="2" borderId="0" xfId="0" applyFont="1" applyFill="1" applyBorder="1" applyAlignment="1">
      <alignment horizontal="center"/>
    </xf>
    <xf numFmtId="0" fontId="0" fillId="2" borderId="0" xfId="0" applyFill="1" applyBorder="1" applyAlignment="1">
      <alignment horizontal="center"/>
    </xf>
    <xf numFmtId="0" fontId="9" fillId="9" borderId="8" xfId="0" applyFont="1" applyFill="1" applyBorder="1" applyAlignment="1">
      <alignment horizontal="center" wrapText="1"/>
    </xf>
    <xf numFmtId="0" fontId="0" fillId="10" borderId="7" xfId="0" applyFill="1" applyBorder="1" applyAlignment="1">
      <alignment horizontal="center"/>
    </xf>
    <xf numFmtId="1" fontId="9" fillId="7" borderId="17" xfId="0" applyNumberFormat="1" applyFont="1" applyFill="1" applyBorder="1" applyAlignment="1">
      <alignment horizontal="center" wrapText="1"/>
    </xf>
    <xf numFmtId="0" fontId="16" fillId="16" borderId="25" xfId="4" applyFont="1" applyFill="1" applyBorder="1" applyAlignment="1">
      <alignment horizontal="center" vertical="center" wrapText="1"/>
    </xf>
    <xf numFmtId="0" fontId="16" fillId="16" borderId="22" xfId="5" applyFont="1" applyFill="1" applyBorder="1" applyAlignment="1">
      <alignment horizontal="right" wrapText="1"/>
    </xf>
    <xf numFmtId="0" fontId="16" fillId="16" borderId="51" xfId="5" applyFont="1" applyFill="1" applyBorder="1" applyAlignment="1">
      <alignment horizontal="right" wrapText="1"/>
    </xf>
    <xf numFmtId="0" fontId="16" fillId="33" borderId="38" xfId="5" applyFont="1" applyFill="1" applyBorder="1" applyAlignment="1">
      <alignment horizontal="right"/>
    </xf>
    <xf numFmtId="0" fontId="16" fillId="16" borderId="38" xfId="5" applyFont="1" applyFill="1" applyBorder="1" applyAlignment="1">
      <alignment horizontal="right" wrapText="1"/>
    </xf>
    <xf numFmtId="175" fontId="16" fillId="16" borderId="38" xfId="1" applyNumberFormat="1" applyFont="1" applyFill="1" applyBorder="1" applyAlignment="1">
      <alignment horizontal="center" wrapText="1"/>
    </xf>
    <xf numFmtId="0" fontId="16" fillId="33" borderId="52" xfId="5" applyFont="1" applyFill="1" applyBorder="1" applyAlignment="1">
      <alignment horizontal="right"/>
    </xf>
    <xf numFmtId="0" fontId="16" fillId="16" borderId="52" xfId="5" applyFont="1" applyFill="1" applyBorder="1" applyAlignment="1">
      <alignment horizontal="right" wrapText="1"/>
    </xf>
    <xf numFmtId="175" fontId="16" fillId="16" borderId="52" xfId="1" applyNumberFormat="1" applyFont="1" applyFill="1" applyBorder="1" applyAlignment="1">
      <alignment horizontal="center" wrapText="1"/>
    </xf>
    <xf numFmtId="0" fontId="0" fillId="11" borderId="25" xfId="0" applyNumberFormat="1" applyFill="1" applyBorder="1"/>
    <xf numFmtId="0" fontId="0" fillId="0" borderId="25" xfId="0" applyBorder="1" applyAlignment="1">
      <alignment horizontal="left"/>
    </xf>
    <xf numFmtId="0" fontId="0" fillId="0" borderId="25" xfId="0" applyNumberFormat="1" applyBorder="1"/>
    <xf numFmtId="0" fontId="3" fillId="34" borderId="25" xfId="0" applyFont="1" applyFill="1" applyBorder="1" applyAlignment="1">
      <alignment horizontal="left"/>
    </xf>
    <xf numFmtId="0" fontId="3" fillId="34" borderId="25" xfId="0" applyNumberFormat="1" applyFont="1" applyFill="1" applyBorder="1"/>
    <xf numFmtId="0" fontId="9" fillId="19" borderId="25" xfId="0" applyFont="1" applyFill="1" applyBorder="1" applyAlignment="1">
      <alignment horizontal="center" vertical="center" wrapText="1"/>
    </xf>
    <xf numFmtId="170" fontId="19" fillId="15" borderId="25" xfId="0" applyNumberFormat="1" applyFont="1" applyFill="1" applyBorder="1" applyAlignment="1">
      <alignment horizontal="center" vertical="center"/>
    </xf>
    <xf numFmtId="170" fontId="19" fillId="35" borderId="25" xfId="0" applyNumberFormat="1" applyFont="1" applyFill="1" applyBorder="1" applyAlignment="1">
      <alignment horizontal="center" vertical="center"/>
    </xf>
    <xf numFmtId="166" fontId="47" fillId="15" borderId="38" xfId="0" applyNumberFormat="1" applyFont="1" applyFill="1" applyBorder="1" applyAlignment="1">
      <alignment horizontal="center" vertical="center"/>
    </xf>
    <xf numFmtId="166" fontId="48" fillId="15" borderId="38" xfId="0" applyNumberFormat="1" applyFont="1" applyFill="1" applyBorder="1" applyAlignment="1">
      <alignment horizontal="center" vertical="center"/>
    </xf>
    <xf numFmtId="0" fontId="46" fillId="24" borderId="25" xfId="8" applyFont="1" applyFill="1" applyBorder="1" applyAlignment="1">
      <alignment horizontal="center"/>
    </xf>
    <xf numFmtId="0" fontId="46" fillId="0" borderId="25" xfId="8" applyFont="1" applyFill="1" applyBorder="1" applyAlignment="1">
      <alignment horizontal="right" wrapText="1"/>
    </xf>
    <xf numFmtId="0" fontId="46" fillId="0" borderId="25" xfId="8" applyFont="1" applyFill="1" applyBorder="1" applyAlignment="1">
      <alignment wrapText="1"/>
    </xf>
    <xf numFmtId="0" fontId="19" fillId="0" borderId="52" xfId="0" applyFont="1" applyFill="1" applyBorder="1" applyAlignment="1">
      <alignment horizontal="center" vertical="center"/>
    </xf>
    <xf numFmtId="10" fontId="0" fillId="0" borderId="0" xfId="0" applyNumberFormat="1" applyFont="1" applyFill="1" applyAlignment="1">
      <alignment horizontal="center" vertical="center"/>
    </xf>
    <xf numFmtId="0" fontId="0" fillId="10" borderId="0" xfId="0" applyFont="1" applyFill="1" applyAlignment="1">
      <alignment vertical="center"/>
    </xf>
    <xf numFmtId="0" fontId="0" fillId="10" borderId="0" xfId="0" applyFill="1" applyBorder="1"/>
    <xf numFmtId="0" fontId="0" fillId="10" borderId="0" xfId="0" applyFont="1" applyFill="1" applyBorder="1" applyAlignment="1">
      <alignment vertical="center"/>
    </xf>
    <xf numFmtId="14" fontId="8" fillId="0" borderId="0" xfId="0" applyNumberFormat="1" applyFont="1" applyFill="1" applyBorder="1" applyAlignment="1">
      <alignment horizontal="center" vertical="center"/>
    </xf>
    <xf numFmtId="14" fontId="29" fillId="0" borderId="0" xfId="0" applyNumberFormat="1" applyFont="1" applyFill="1" applyBorder="1" applyAlignment="1">
      <alignment horizontal="center" vertical="center"/>
    </xf>
    <xf numFmtId="14" fontId="30" fillId="0" borderId="0" xfId="0" applyNumberFormat="1" applyFont="1" applyFill="1" applyAlignment="1">
      <alignment vertical="center"/>
    </xf>
    <xf numFmtId="14" fontId="23" fillId="9" borderId="16" xfId="0" applyNumberFormat="1" applyFont="1" applyFill="1" applyBorder="1" applyAlignment="1">
      <alignment horizontal="center" vertical="center" wrapText="1"/>
    </xf>
    <xf numFmtId="14" fontId="9" fillId="9" borderId="70" xfId="2" applyNumberFormat="1" applyFont="1" applyFill="1" applyBorder="1" applyAlignment="1">
      <alignment horizontal="center" vertical="center" wrapText="1"/>
    </xf>
    <xf numFmtId="14" fontId="9" fillId="9" borderId="35" xfId="2" applyNumberFormat="1" applyFont="1" applyFill="1" applyBorder="1" applyAlignment="1">
      <alignment horizontal="center" vertical="center" wrapText="1"/>
    </xf>
    <xf numFmtId="0" fontId="33" fillId="0" borderId="0" xfId="0" applyFont="1" applyFill="1" applyAlignment="1">
      <alignment horizontal="center" vertical="center"/>
    </xf>
    <xf numFmtId="0" fontId="0" fillId="10" borderId="7" xfId="0" applyFill="1" applyBorder="1" applyAlignment="1">
      <alignment horizontal="center" vertical="center"/>
    </xf>
    <xf numFmtId="10" fontId="0" fillId="10" borderId="7" xfId="2" applyNumberFormat="1" applyFont="1" applyFill="1" applyBorder="1" applyAlignment="1">
      <alignment horizontal="center" vertical="center"/>
    </xf>
    <xf numFmtId="0" fontId="11" fillId="9" borderId="7" xfId="0" applyFont="1" applyFill="1" applyBorder="1" applyAlignment="1">
      <alignment horizontal="center" vertical="center"/>
    </xf>
    <xf numFmtId="0" fontId="0" fillId="0" borderId="0" xfId="0" applyNumberFormat="1"/>
    <xf numFmtId="0" fontId="16" fillId="28" borderId="25" xfId="4" applyFont="1" applyFill="1" applyBorder="1" applyAlignment="1">
      <alignment horizontal="center" vertical="center" wrapText="1"/>
    </xf>
    <xf numFmtId="0" fontId="49" fillId="37" borderId="25" xfId="0" applyFont="1" applyFill="1" applyBorder="1" applyAlignment="1">
      <alignment horizontal="left" vertical="top" wrapText="1"/>
    </xf>
    <xf numFmtId="0" fontId="50" fillId="0" borderId="0" xfId="0" applyFont="1"/>
    <xf numFmtId="0" fontId="50" fillId="0" borderId="25" xfId="0" applyFont="1" applyBorder="1"/>
    <xf numFmtId="0" fontId="50" fillId="0" borderId="0" xfId="0" applyFont="1" applyAlignment="1">
      <alignment horizontal="right"/>
    </xf>
    <xf numFmtId="0" fontId="49" fillId="2" borderId="25" xfId="0" applyFont="1" applyFill="1" applyBorder="1" applyAlignment="1">
      <alignment horizontal="left" vertical="top" wrapText="1"/>
    </xf>
    <xf numFmtId="0" fontId="0" fillId="2" borderId="7" xfId="0" applyFill="1" applyBorder="1" applyAlignment="1">
      <alignment horizontal="center" vertical="center"/>
    </xf>
    <xf numFmtId="166" fontId="50" fillId="2" borderId="25" xfId="0" applyNumberFormat="1" applyFont="1" applyFill="1" applyBorder="1"/>
    <xf numFmtId="0" fontId="50" fillId="2" borderId="25" xfId="0" applyFont="1" applyFill="1" applyBorder="1"/>
    <xf numFmtId="0" fontId="11" fillId="8" borderId="7" xfId="0" applyFont="1" applyFill="1" applyBorder="1" applyAlignment="1">
      <alignment horizontal="center" vertical="center"/>
    </xf>
    <xf numFmtId="0" fontId="34" fillId="19" borderId="25" xfId="0" applyFont="1" applyFill="1" applyBorder="1" applyAlignment="1">
      <alignment horizontal="center" vertical="center" wrapText="1"/>
    </xf>
    <xf numFmtId="166" fontId="9" fillId="19" borderId="25" xfId="0" applyNumberFormat="1" applyFont="1" applyFill="1" applyBorder="1" applyAlignment="1">
      <alignment horizontal="center" vertical="center" wrapText="1"/>
    </xf>
    <xf numFmtId="172" fontId="4" fillId="39" borderId="33" xfId="2" applyNumberFormat="1" applyFont="1" applyFill="1" applyBorder="1" applyAlignment="1">
      <alignment horizontal="center" vertical="center"/>
    </xf>
    <xf numFmtId="0" fontId="19" fillId="19" borderId="25" xfId="0" applyFont="1" applyFill="1" applyBorder="1" applyAlignment="1">
      <alignment horizontal="center" vertical="center" wrapText="1"/>
    </xf>
    <xf numFmtId="2" fontId="16" fillId="28" borderId="25" xfId="4" applyNumberFormat="1" applyFont="1" applyFill="1" applyBorder="1" applyAlignment="1">
      <alignment horizontal="center" vertical="center" wrapText="1"/>
    </xf>
    <xf numFmtId="0" fontId="0" fillId="38" borderId="38" xfId="0" applyFont="1" applyFill="1" applyBorder="1" applyAlignment="1">
      <alignment horizontal="center" vertical="center"/>
    </xf>
    <xf numFmtId="170" fontId="19" fillId="11" borderId="26" xfId="0" applyNumberFormat="1" applyFont="1" applyFill="1" applyBorder="1" applyAlignment="1" applyProtection="1">
      <alignment horizontal="center" vertical="center"/>
    </xf>
    <xf numFmtId="0" fontId="49" fillId="5" borderId="25" xfId="0" applyFont="1" applyFill="1" applyBorder="1" applyAlignment="1">
      <alignment horizontal="left" vertical="top" wrapText="1"/>
    </xf>
    <xf numFmtId="0" fontId="10" fillId="10" borderId="7" xfId="0" applyFont="1" applyFill="1" applyBorder="1" applyAlignment="1">
      <alignment horizontal="center" vertical="center"/>
    </xf>
    <xf numFmtId="166" fontId="11" fillId="2" borderId="7" xfId="0" applyNumberFormat="1" applyFont="1" applyFill="1" applyBorder="1" applyAlignment="1">
      <alignment horizontal="center" vertical="center"/>
    </xf>
    <xf numFmtId="0" fontId="49" fillId="28" borderId="25" xfId="0" applyFont="1" applyFill="1" applyBorder="1" applyAlignment="1">
      <alignment horizontal="left" vertical="top" wrapText="1"/>
    </xf>
    <xf numFmtId="0" fontId="50" fillId="28" borderId="25" xfId="0" applyFont="1" applyFill="1" applyBorder="1" applyAlignment="1">
      <alignment horizontal="center"/>
    </xf>
    <xf numFmtId="0" fontId="50" fillId="28" borderId="0" xfId="0" applyFont="1" applyFill="1" applyAlignment="1">
      <alignment horizontal="center"/>
    </xf>
    <xf numFmtId="0" fontId="50" fillId="28" borderId="10" xfId="0" applyFont="1" applyFill="1" applyBorder="1" applyAlignment="1">
      <alignment horizontal="right"/>
    </xf>
    <xf numFmtId="170" fontId="3" fillId="2" borderId="40" xfId="0" applyNumberFormat="1" applyFont="1" applyFill="1" applyBorder="1" applyAlignment="1">
      <alignment horizontal="center" vertical="center"/>
    </xf>
    <xf numFmtId="0" fontId="3" fillId="2" borderId="41" xfId="0" applyFont="1" applyFill="1" applyBorder="1" applyAlignment="1">
      <alignment horizontal="center" vertical="center"/>
    </xf>
    <xf numFmtId="172" fontId="9" fillId="9" borderId="50" xfId="2" applyNumberFormat="1" applyFont="1" applyFill="1" applyBorder="1" applyAlignment="1">
      <alignment horizontal="center" vertical="center" wrapText="1"/>
    </xf>
    <xf numFmtId="172" fontId="9" fillId="0" borderId="58" xfId="2" applyNumberFormat="1" applyFont="1" applyFill="1" applyBorder="1" applyAlignment="1">
      <alignment horizontal="center" vertical="center" wrapText="1"/>
    </xf>
    <xf numFmtId="172" fontId="32" fillId="5" borderId="50" xfId="2" applyNumberFormat="1" applyFont="1" applyFill="1" applyBorder="1" applyAlignment="1">
      <alignment horizontal="center" vertical="center" wrapText="1"/>
    </xf>
    <xf numFmtId="172" fontId="9" fillId="16" borderId="50" xfId="2" applyNumberFormat="1" applyFont="1" applyFill="1" applyBorder="1" applyAlignment="1">
      <alignment horizontal="center" vertical="center" wrapText="1"/>
    </xf>
    <xf numFmtId="172" fontId="9" fillId="16" borderId="58" xfId="2" applyNumberFormat="1" applyFont="1" applyFill="1" applyBorder="1" applyAlignment="1">
      <alignment horizontal="center" vertical="center" wrapText="1"/>
    </xf>
    <xf numFmtId="172" fontId="32" fillId="6" borderId="50" xfId="2" applyNumberFormat="1" applyFont="1" applyFill="1" applyBorder="1" applyAlignment="1">
      <alignment horizontal="center" vertical="center" wrapText="1"/>
    </xf>
    <xf numFmtId="172" fontId="32" fillId="25" borderId="50" xfId="2" applyNumberFormat="1" applyFont="1" applyFill="1" applyBorder="1" applyAlignment="1">
      <alignment horizontal="center" vertical="center" wrapText="1"/>
    </xf>
    <xf numFmtId="172" fontId="32" fillId="25" borderId="58" xfId="2" applyNumberFormat="1" applyFont="1" applyFill="1" applyBorder="1" applyAlignment="1">
      <alignment horizontal="center" vertical="center" wrapText="1"/>
    </xf>
    <xf numFmtId="172" fontId="9" fillId="38" borderId="58" xfId="2" applyNumberFormat="1" applyFont="1" applyFill="1" applyBorder="1" applyAlignment="1">
      <alignment horizontal="center" vertical="center" wrapText="1"/>
    </xf>
    <xf numFmtId="0" fontId="19" fillId="5" borderId="9" xfId="0" applyFont="1" applyFill="1" applyBorder="1" applyAlignment="1">
      <alignment horizontal="center" vertical="center" wrapText="1"/>
    </xf>
    <xf numFmtId="0" fontId="3" fillId="0" borderId="25" xfId="0" applyFont="1" applyBorder="1" applyAlignment="1">
      <alignment horizontal="center"/>
    </xf>
    <xf numFmtId="166" fontId="50" fillId="28" borderId="10" xfId="0" applyNumberFormat="1" applyFont="1" applyFill="1" applyBorder="1" applyAlignment="1">
      <alignment horizontal="right"/>
    </xf>
    <xf numFmtId="0" fontId="49" fillId="25" borderId="25" xfId="0" applyNumberFormat="1" applyFont="1" applyFill="1" applyBorder="1" applyAlignment="1">
      <alignment vertical="top" wrapText="1"/>
    </xf>
    <xf numFmtId="166" fontId="50" fillId="25" borderId="25" xfId="0" applyNumberFormat="1" applyFont="1" applyFill="1" applyBorder="1"/>
    <xf numFmtId="0" fontId="49" fillId="25" borderId="25" xfId="0" applyFont="1" applyFill="1" applyBorder="1" applyAlignment="1">
      <alignment vertical="top" wrapText="1"/>
    </xf>
    <xf numFmtId="0" fontId="49" fillId="25" borderId="25" xfId="0" applyNumberFormat="1" applyFont="1" applyFill="1" applyBorder="1" applyAlignment="1">
      <alignment horizontal="right" vertical="top" wrapText="1"/>
    </xf>
    <xf numFmtId="0" fontId="49" fillId="5" borderId="25" xfId="0" applyNumberFormat="1" applyFont="1" applyFill="1" applyBorder="1" applyAlignment="1">
      <alignment vertical="top" wrapText="1"/>
    </xf>
    <xf numFmtId="0" fontId="49" fillId="25" borderId="25" xfId="0" applyFont="1" applyFill="1" applyBorder="1" applyAlignment="1">
      <alignment horizontal="left" vertical="top" wrapText="1"/>
    </xf>
    <xf numFmtId="0" fontId="49" fillId="20" borderId="25" xfId="0" applyFont="1" applyFill="1" applyBorder="1" applyAlignment="1">
      <alignment horizontal="left" vertical="top" wrapText="1"/>
    </xf>
    <xf numFmtId="0" fontId="50" fillId="20" borderId="25" xfId="0" applyFont="1" applyFill="1" applyBorder="1" applyAlignment="1">
      <alignment horizontal="center"/>
    </xf>
    <xf numFmtId="0" fontId="49" fillId="37" borderId="0" xfId="0" applyFont="1" applyFill="1" applyBorder="1" applyAlignment="1">
      <alignment horizontal="left" vertical="top" wrapText="1"/>
    </xf>
    <xf numFmtId="0" fontId="50" fillId="28" borderId="27" xfId="0" applyFont="1" applyFill="1" applyBorder="1" applyAlignment="1">
      <alignment horizontal="center"/>
    </xf>
    <xf numFmtId="166" fontId="50" fillId="2" borderId="25" xfId="0" applyNumberFormat="1" applyFont="1" applyFill="1" applyBorder="1" applyAlignment="1"/>
    <xf numFmtId="166" fontId="51" fillId="2" borderId="25" xfId="0" applyNumberFormat="1" applyFont="1" applyFill="1" applyBorder="1" applyAlignment="1"/>
    <xf numFmtId="14" fontId="50" fillId="2" borderId="25" xfId="0" applyNumberFormat="1" applyFont="1" applyFill="1" applyBorder="1"/>
    <xf numFmtId="166" fontId="49" fillId="2" borderId="25" xfId="0" applyNumberFormat="1" applyFont="1" applyFill="1" applyBorder="1" applyAlignment="1"/>
    <xf numFmtId="0" fontId="49" fillId="28" borderId="25" xfId="0" applyFont="1" applyFill="1" applyBorder="1" applyAlignment="1">
      <alignment horizontal="center" vertical="top" wrapText="1"/>
    </xf>
    <xf numFmtId="0" fontId="49" fillId="28" borderId="25" xfId="0" applyFont="1" applyFill="1" applyBorder="1" applyAlignment="1">
      <alignment horizontal="center"/>
    </xf>
    <xf numFmtId="0" fontId="49" fillId="20" borderId="25" xfId="0" applyFont="1" applyFill="1" applyBorder="1" applyAlignment="1">
      <alignment horizontal="center" vertical="top" wrapText="1"/>
    </xf>
    <xf numFmtId="0" fontId="50" fillId="20" borderId="0" xfId="0" applyFont="1" applyFill="1"/>
    <xf numFmtId="178" fontId="50" fillId="0" borderId="0" xfId="0" applyNumberFormat="1" applyFont="1"/>
    <xf numFmtId="166" fontId="0" fillId="27" borderId="25" xfId="0" applyNumberFormat="1" applyFont="1" applyFill="1" applyBorder="1" applyAlignment="1">
      <alignment horizontal="center" vertical="center"/>
    </xf>
    <xf numFmtId="0" fontId="22" fillId="19" borderId="25" xfId="0" applyFont="1" applyFill="1" applyBorder="1" applyAlignment="1">
      <alignment horizontal="center" vertical="center" wrapText="1"/>
    </xf>
    <xf numFmtId="166" fontId="19" fillId="0" borderId="25" xfId="0" applyNumberFormat="1" applyFont="1" applyFill="1" applyBorder="1" applyAlignment="1">
      <alignment horizontal="center" vertical="center"/>
    </xf>
    <xf numFmtId="0" fontId="19" fillId="5" borderId="10" xfId="0" applyFont="1" applyFill="1" applyBorder="1" applyAlignment="1">
      <alignment horizontal="center" vertical="center" wrapText="1"/>
    </xf>
    <xf numFmtId="0" fontId="19" fillId="5" borderId="25" xfId="0" applyFont="1" applyFill="1" applyBorder="1" applyAlignment="1">
      <alignment horizontal="center" vertical="center"/>
    </xf>
    <xf numFmtId="0" fontId="19" fillId="5" borderId="52" xfId="0" applyFont="1" applyFill="1" applyBorder="1" applyAlignment="1">
      <alignment horizontal="center" vertical="center" wrapText="1"/>
    </xf>
    <xf numFmtId="166" fontId="19" fillId="0" borderId="25" xfId="0" applyNumberFormat="1" applyFont="1" applyFill="1" applyBorder="1" applyAlignment="1">
      <alignment horizontal="center" vertical="center" wrapText="1"/>
    </xf>
    <xf numFmtId="166" fontId="50" fillId="28" borderId="25" xfId="0" applyNumberFormat="1" applyFont="1" applyFill="1" applyBorder="1"/>
    <xf numFmtId="166" fontId="50" fillId="0" borderId="0" xfId="0" applyNumberFormat="1" applyFont="1"/>
    <xf numFmtId="166" fontId="49" fillId="28" borderId="25" xfId="0" applyNumberFormat="1" applyFont="1" applyFill="1" applyBorder="1" applyAlignment="1"/>
    <xf numFmtId="0" fontId="19" fillId="27" borderId="24" xfId="0" applyFont="1" applyFill="1" applyBorder="1" applyAlignment="1">
      <alignment horizontal="center"/>
    </xf>
    <xf numFmtId="0" fontId="19" fillId="27" borderId="25" xfId="0" applyFont="1" applyFill="1" applyBorder="1" applyAlignment="1">
      <alignment horizontal="center"/>
    </xf>
    <xf numFmtId="0" fontId="31" fillId="27" borderId="25" xfId="4" applyFont="1" applyFill="1" applyBorder="1" applyAlignment="1">
      <alignment horizontal="right" wrapText="1"/>
    </xf>
    <xf numFmtId="0" fontId="50" fillId="30" borderId="25" xfId="0" applyFont="1" applyFill="1" applyBorder="1" applyAlignment="1">
      <alignment horizontal="center"/>
    </xf>
    <xf numFmtId="0" fontId="50" fillId="30" borderId="27" xfId="0" applyFont="1" applyFill="1" applyBorder="1" applyAlignment="1">
      <alignment horizontal="center"/>
    </xf>
    <xf numFmtId="164" fontId="32" fillId="2" borderId="0" xfId="0" applyNumberFormat="1" applyFont="1" applyFill="1" applyBorder="1" applyAlignment="1">
      <alignment horizontal="center" vertical="center"/>
    </xf>
    <xf numFmtId="0" fontId="32" fillId="2" borderId="0" xfId="0" applyNumberFormat="1" applyFont="1" applyFill="1" applyBorder="1" applyAlignment="1">
      <alignment horizontal="center" vertical="center"/>
    </xf>
    <xf numFmtId="0" fontId="50" fillId="0" borderId="25" xfId="0" applyFont="1" applyBorder="1" applyAlignment="1">
      <alignment horizontal="right"/>
    </xf>
    <xf numFmtId="14" fontId="50" fillId="0" borderId="25" xfId="0" applyNumberFormat="1" applyFont="1" applyBorder="1"/>
    <xf numFmtId="166" fontId="50" fillId="20" borderId="25" xfId="0" applyNumberFormat="1" applyFont="1" applyFill="1" applyBorder="1"/>
    <xf numFmtId="166" fontId="50" fillId="6" borderId="25" xfId="0" applyNumberFormat="1" applyFont="1" applyFill="1" applyBorder="1"/>
    <xf numFmtId="0" fontId="50" fillId="0" borderId="25" xfId="0" applyFont="1" applyBorder="1" applyAlignment="1">
      <alignment horizontal="center" vertical="center"/>
    </xf>
    <xf numFmtId="0" fontId="50" fillId="15" borderId="25" xfId="0" applyFont="1" applyFill="1" applyBorder="1" applyAlignment="1">
      <alignment horizontal="center"/>
    </xf>
    <xf numFmtId="0" fontId="50" fillId="29" borderId="25" xfId="0" applyFont="1" applyFill="1" applyBorder="1" applyAlignment="1">
      <alignment horizontal="center"/>
    </xf>
    <xf numFmtId="0" fontId="49" fillId="40" borderId="25" xfId="0" applyFont="1" applyFill="1" applyBorder="1" applyAlignment="1">
      <alignment horizontal="center"/>
    </xf>
    <xf numFmtId="0" fontId="49" fillId="15" borderId="25" xfId="0" applyFont="1" applyFill="1" applyBorder="1" applyAlignment="1">
      <alignment horizontal="center"/>
    </xf>
    <xf numFmtId="166" fontId="49" fillId="20" borderId="25" xfId="0" applyNumberFormat="1" applyFont="1" applyFill="1" applyBorder="1" applyAlignment="1">
      <alignment horizontal="center" vertical="top" wrapText="1"/>
    </xf>
    <xf numFmtId="166" fontId="50" fillId="2" borderId="25" xfId="0" applyNumberFormat="1" applyFont="1" applyFill="1" applyBorder="1" applyAlignment="1">
      <alignment horizontal="center"/>
    </xf>
    <xf numFmtId="0" fontId="50" fillId="40" borderId="25" xfId="0" applyFont="1" applyFill="1" applyBorder="1"/>
    <xf numFmtId="166" fontId="49" fillId="40" borderId="25" xfId="0" applyNumberFormat="1" applyFont="1" applyFill="1" applyBorder="1"/>
    <xf numFmtId="166" fontId="51" fillId="15" borderId="25" xfId="0" applyNumberFormat="1" applyFont="1" applyFill="1" applyBorder="1"/>
    <xf numFmtId="166" fontId="51" fillId="15" borderId="25" xfId="0" applyNumberFormat="1" applyFont="1" applyFill="1" applyBorder="1" applyAlignment="1"/>
    <xf numFmtId="176" fontId="51" fillId="15" borderId="25" xfId="0" applyNumberFormat="1" applyFont="1" applyFill="1" applyBorder="1" applyAlignment="1"/>
    <xf numFmtId="14" fontId="49" fillId="2" borderId="25" xfId="0" applyNumberFormat="1" applyFont="1" applyFill="1" applyBorder="1"/>
    <xf numFmtId="0" fontId="49" fillId="2" borderId="25" xfId="0" applyFont="1" applyFill="1" applyBorder="1"/>
    <xf numFmtId="179" fontId="49" fillId="2" borderId="27" xfId="1" applyNumberFormat="1" applyFont="1" applyFill="1" applyBorder="1" applyAlignment="1">
      <alignment horizontal="left" vertical="top" wrapText="1"/>
    </xf>
    <xf numFmtId="0" fontId="50" fillId="6" borderId="25" xfId="0" applyFont="1" applyFill="1" applyBorder="1" applyAlignment="1">
      <alignment horizontal="center"/>
    </xf>
    <xf numFmtId="0" fontId="50" fillId="28" borderId="0" xfId="0" applyFont="1" applyFill="1"/>
    <xf numFmtId="0" fontId="50" fillId="2" borderId="25" xfId="0" applyFont="1" applyFill="1" applyBorder="1" applyAlignment="1">
      <alignment horizontal="center"/>
    </xf>
    <xf numFmtId="0" fontId="51" fillId="0" borderId="25" xfId="0" applyFont="1" applyBorder="1"/>
    <xf numFmtId="166" fontId="0" fillId="32" borderId="7" xfId="0" applyNumberFormat="1" applyFill="1" applyBorder="1" applyAlignment="1">
      <alignment horizontal="center" vertical="center"/>
    </xf>
    <xf numFmtId="0" fontId="0" fillId="32" borderId="7" xfId="0" applyFill="1" applyBorder="1" applyAlignment="1">
      <alignment horizontal="center" vertical="center"/>
    </xf>
    <xf numFmtId="0" fontId="0" fillId="32" borderId="7" xfId="0" applyFill="1" applyBorder="1" applyAlignment="1">
      <alignment horizontal="center"/>
    </xf>
    <xf numFmtId="0" fontId="10" fillId="32" borderId="7" xfId="0" applyFont="1" applyFill="1" applyBorder="1" applyAlignment="1">
      <alignment horizontal="center" vertical="center"/>
    </xf>
    <xf numFmtId="10" fontId="0" fillId="32" borderId="7" xfId="2" applyNumberFormat="1" applyFont="1" applyFill="1" applyBorder="1" applyAlignment="1">
      <alignment horizontal="center" vertical="center"/>
    </xf>
    <xf numFmtId="0" fontId="53" fillId="0" borderId="0" xfId="0" applyFont="1" applyAlignment="1">
      <alignment horizontal="right" vertical="center"/>
    </xf>
    <xf numFmtId="0" fontId="50" fillId="0" borderId="0" xfId="0" applyFont="1" applyAlignment="1">
      <alignment horizontal="right" vertical="center"/>
    </xf>
    <xf numFmtId="0" fontId="52" fillId="28" borderId="25" xfId="0" applyFont="1" applyFill="1" applyBorder="1" applyAlignment="1">
      <alignment horizontal="center" vertical="center"/>
    </xf>
    <xf numFmtId="0" fontId="28" fillId="28" borderId="25" xfId="0" applyFont="1" applyFill="1" applyBorder="1" applyAlignment="1">
      <alignment horizontal="center" vertical="center"/>
    </xf>
    <xf numFmtId="172" fontId="19" fillId="27" borderId="27" xfId="0" applyNumberFormat="1" applyFont="1" applyFill="1" applyBorder="1" applyAlignment="1">
      <alignment horizontal="center" vertical="center" wrapText="1"/>
    </xf>
    <xf numFmtId="172" fontId="19" fillId="27" borderId="25" xfId="0" applyNumberFormat="1" applyFont="1" applyFill="1" applyBorder="1" applyAlignment="1">
      <alignment horizontal="center" vertical="center" wrapText="1"/>
    </xf>
    <xf numFmtId="0" fontId="22" fillId="19" borderId="52" xfId="0" applyFont="1" applyFill="1" applyBorder="1" applyAlignment="1">
      <alignment horizontal="center" vertical="center" wrapText="1"/>
    </xf>
    <xf numFmtId="0" fontId="22" fillId="19" borderId="27" xfId="0" applyFont="1" applyFill="1" applyBorder="1" applyAlignment="1">
      <alignment horizontal="center" vertical="center" wrapText="1"/>
    </xf>
    <xf numFmtId="170" fontId="19" fillId="27" borderId="25" xfId="0" applyNumberFormat="1" applyFont="1" applyFill="1" applyBorder="1" applyAlignment="1">
      <alignment horizontal="center" vertical="center"/>
    </xf>
    <xf numFmtId="0" fontId="16" fillId="27" borderId="25" xfId="4" applyFont="1" applyFill="1" applyBorder="1" applyAlignment="1">
      <alignment horizontal="center" vertical="center" wrapText="1"/>
    </xf>
    <xf numFmtId="171" fontId="0" fillId="27" borderId="25" xfId="0" applyNumberFormat="1" applyFont="1" applyFill="1" applyBorder="1" applyAlignment="1">
      <alignment horizontal="center" vertical="center"/>
    </xf>
    <xf numFmtId="168" fontId="19" fillId="16" borderId="25" xfId="7" applyNumberFormat="1" applyFont="1" applyFill="1" applyBorder="1" applyAlignment="1" applyProtection="1">
      <alignment horizontal="center"/>
    </xf>
    <xf numFmtId="170" fontId="19" fillId="5" borderId="20" xfId="0" applyNumberFormat="1" applyFont="1" applyFill="1" applyBorder="1" applyAlignment="1" applyProtection="1">
      <alignment horizontal="center" vertical="center"/>
    </xf>
    <xf numFmtId="170" fontId="19" fillId="5" borderId="53" xfId="0" applyNumberFormat="1" applyFont="1" applyFill="1" applyBorder="1" applyAlignment="1" applyProtection="1">
      <alignment horizontal="center" vertical="center"/>
    </xf>
    <xf numFmtId="170" fontId="19" fillId="5" borderId="57" xfId="0" applyNumberFormat="1" applyFont="1" applyFill="1" applyBorder="1" applyAlignment="1" applyProtection="1">
      <alignment horizontal="center" vertical="center"/>
    </xf>
    <xf numFmtId="166" fontId="22" fillId="10" borderId="0" xfId="0" applyNumberFormat="1" applyFont="1" applyFill="1" applyBorder="1" applyAlignment="1">
      <alignment horizontal="center" vertical="center" wrapText="1"/>
    </xf>
    <xf numFmtId="170" fontId="19" fillId="5" borderId="25" xfId="0" applyNumberFormat="1" applyFont="1" applyFill="1" applyBorder="1" applyAlignment="1" applyProtection="1">
      <alignment horizontal="center" vertical="center"/>
    </xf>
    <xf numFmtId="170" fontId="19" fillId="0" borderId="10" xfId="0" applyNumberFormat="1" applyFont="1" applyFill="1" applyBorder="1" applyAlignment="1" applyProtection="1">
      <alignment horizontal="center" vertical="center"/>
    </xf>
    <xf numFmtId="170" fontId="19" fillId="0" borderId="25" xfId="0" applyNumberFormat="1" applyFont="1" applyFill="1" applyBorder="1" applyAlignment="1" applyProtection="1">
      <alignment horizontal="center" vertical="center"/>
    </xf>
    <xf numFmtId="166" fontId="22" fillId="22" borderId="25" xfId="0" applyNumberFormat="1" applyFont="1" applyFill="1" applyBorder="1" applyAlignment="1">
      <alignment horizontal="center" vertical="center" wrapText="1"/>
    </xf>
    <xf numFmtId="0" fontId="0" fillId="0" borderId="0" xfId="0" applyFont="1"/>
    <xf numFmtId="0" fontId="3" fillId="0" borderId="0" xfId="0" applyFont="1"/>
    <xf numFmtId="0" fontId="4" fillId="19" borderId="25" xfId="0" applyFont="1" applyFill="1" applyBorder="1" applyAlignment="1">
      <alignment horizontal="center" vertical="center" wrapText="1"/>
    </xf>
    <xf numFmtId="166" fontId="4" fillId="19" borderId="25" xfId="0" applyNumberFormat="1" applyFont="1" applyFill="1" applyBorder="1" applyAlignment="1">
      <alignment horizontal="center" vertical="center" wrapText="1"/>
    </xf>
    <xf numFmtId="166" fontId="4" fillId="10" borderId="0" xfId="0" applyNumberFormat="1" applyFont="1" applyFill="1" applyBorder="1" applyAlignment="1">
      <alignment horizontal="center" vertical="center" wrapText="1"/>
    </xf>
    <xf numFmtId="166" fontId="4" fillId="22" borderId="25" xfId="0" applyNumberFormat="1" applyFont="1" applyFill="1" applyBorder="1" applyAlignment="1">
      <alignment horizontal="center" vertical="center" wrapText="1"/>
    </xf>
    <xf numFmtId="0" fontId="22" fillId="19" borderId="10" xfId="0" applyFont="1" applyFill="1" applyBorder="1" applyAlignment="1">
      <alignment horizontal="center" vertical="center" wrapText="1"/>
    </xf>
    <xf numFmtId="0" fontId="22" fillId="19" borderId="66" xfId="0" applyFont="1" applyFill="1" applyBorder="1" applyAlignment="1">
      <alignment horizontal="center" vertical="center" wrapText="1"/>
    </xf>
    <xf numFmtId="0" fontId="19" fillId="19" borderId="57"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19" fillId="19" borderId="20" xfId="0" applyFont="1" applyFill="1" applyBorder="1" applyAlignment="1">
      <alignment horizontal="center" vertical="center" wrapText="1"/>
    </xf>
    <xf numFmtId="0" fontId="4" fillId="19" borderId="66" xfId="0" applyFont="1" applyFill="1" applyBorder="1" applyAlignment="1">
      <alignment horizontal="center" vertical="center" wrapText="1"/>
    </xf>
    <xf numFmtId="0" fontId="22" fillId="19" borderId="57" xfId="0" applyFont="1" applyFill="1" applyBorder="1" applyAlignment="1">
      <alignment horizontal="center" vertical="center" wrapText="1"/>
    </xf>
    <xf numFmtId="166" fontId="22" fillId="19" borderId="52" xfId="0" applyNumberFormat="1" applyFont="1" applyFill="1" applyBorder="1" applyAlignment="1">
      <alignment horizontal="center" vertical="center" wrapText="1"/>
    </xf>
    <xf numFmtId="0" fontId="22" fillId="22" borderId="25" xfId="0" applyFont="1" applyFill="1" applyBorder="1" applyAlignment="1">
      <alignment horizontal="center" vertical="center" wrapText="1"/>
    </xf>
    <xf numFmtId="10" fontId="22" fillId="19" borderId="27" xfId="2" applyNumberFormat="1" applyFont="1" applyFill="1" applyBorder="1" applyAlignment="1">
      <alignment horizontal="center" vertical="center" wrapText="1"/>
    </xf>
    <xf numFmtId="1" fontId="22" fillId="19" borderId="52" xfId="0" applyNumberFormat="1" applyFont="1" applyFill="1" applyBorder="1" applyAlignment="1">
      <alignment horizontal="center" vertical="center" wrapText="1"/>
    </xf>
    <xf numFmtId="0" fontId="4" fillId="19" borderId="18" xfId="0" applyFont="1" applyFill="1" applyBorder="1" applyAlignment="1">
      <alignment horizontal="center" vertical="center" wrapText="1"/>
    </xf>
    <xf numFmtId="0" fontId="22" fillId="19" borderId="20" xfId="0" applyFont="1" applyFill="1" applyBorder="1" applyAlignment="1">
      <alignment horizontal="center" vertical="center" wrapText="1"/>
    </xf>
    <xf numFmtId="1" fontId="22" fillId="19" borderId="10" xfId="0" applyNumberFormat="1"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0" xfId="0" applyFont="1" applyFill="1" applyBorder="1" applyAlignment="1">
      <alignment horizontal="center" vertical="center" wrapText="1"/>
    </xf>
    <xf numFmtId="10" fontId="22" fillId="10" borderId="0" xfId="2" applyNumberFormat="1" applyFont="1" applyFill="1" applyBorder="1" applyAlignment="1">
      <alignment horizontal="center" vertical="center" wrapText="1"/>
    </xf>
    <xf numFmtId="1" fontId="22" fillId="10" borderId="0" xfId="0" applyNumberFormat="1" applyFont="1" applyFill="1" applyBorder="1" applyAlignment="1">
      <alignment horizontal="center" vertical="center" wrapText="1"/>
    </xf>
    <xf numFmtId="0" fontId="0" fillId="10" borderId="0" xfId="0" applyFont="1" applyFill="1"/>
    <xf numFmtId="0" fontId="22" fillId="22" borderId="37" xfId="0" applyFont="1" applyFill="1" applyBorder="1" applyAlignment="1">
      <alignment horizontal="center" vertical="center" wrapText="1"/>
    </xf>
    <xf numFmtId="0" fontId="22" fillId="22" borderId="61" xfId="0" applyFont="1" applyFill="1" applyBorder="1" applyAlignment="1">
      <alignment horizontal="center" vertical="center" wrapText="1"/>
    </xf>
    <xf numFmtId="0" fontId="4" fillId="19" borderId="67" xfId="0" applyFont="1" applyFill="1" applyBorder="1" applyAlignment="1">
      <alignment horizontal="center" vertical="center" wrapText="1"/>
    </xf>
    <xf numFmtId="170" fontId="4" fillId="19" borderId="25" xfId="0" applyNumberFormat="1" applyFont="1" applyFill="1" applyBorder="1" applyAlignment="1">
      <alignment horizontal="center" vertical="center"/>
    </xf>
    <xf numFmtId="0" fontId="4" fillId="19" borderId="19" xfId="0" applyFont="1" applyFill="1" applyBorder="1" applyAlignment="1">
      <alignment horizontal="center" vertical="center" wrapText="1"/>
    </xf>
    <xf numFmtId="0" fontId="28" fillId="0" borderId="0" xfId="0" applyFont="1" applyFill="1" applyBorder="1" applyAlignment="1">
      <alignment vertical="center" textRotation="90"/>
    </xf>
    <xf numFmtId="0" fontId="0" fillId="10" borderId="0" xfId="0" applyFont="1" applyFill="1" applyBorder="1"/>
    <xf numFmtId="0" fontId="22" fillId="19" borderId="8" xfId="0" applyFont="1" applyFill="1" applyBorder="1" applyAlignment="1">
      <alignment horizontal="center" vertical="center" wrapText="1"/>
    </xf>
    <xf numFmtId="0" fontId="22" fillId="22" borderId="27" xfId="0" applyFont="1" applyFill="1" applyBorder="1" applyAlignment="1">
      <alignment horizontal="center" vertical="center" wrapText="1"/>
    </xf>
    <xf numFmtId="0" fontId="19" fillId="22" borderId="68" xfId="0" applyFont="1" applyFill="1" applyBorder="1" applyAlignment="1">
      <alignment horizontal="center" vertical="center" wrapText="1"/>
    </xf>
    <xf numFmtId="0" fontId="22" fillId="22" borderId="68" xfId="0" applyFont="1" applyFill="1" applyBorder="1" applyAlignment="1">
      <alignment horizontal="center" vertical="center" wrapText="1"/>
    </xf>
    <xf numFmtId="0" fontId="22" fillId="22" borderId="53" xfId="0" applyFont="1" applyFill="1" applyBorder="1" applyAlignment="1">
      <alignment horizontal="center" vertical="center" wrapText="1"/>
    </xf>
    <xf numFmtId="166" fontId="0" fillId="0" borderId="0" xfId="0" applyNumberFormat="1" applyFont="1"/>
    <xf numFmtId="0" fontId="2" fillId="2" borderId="25" xfId="0" applyFont="1" applyFill="1" applyBorder="1" applyAlignment="1">
      <alignment horizontal="center" vertical="center" wrapText="1"/>
    </xf>
    <xf numFmtId="166" fontId="2" fillId="2" borderId="10" xfId="0" applyNumberFormat="1" applyFont="1" applyFill="1" applyBorder="1" applyAlignment="1">
      <alignment horizontal="center" vertical="center"/>
    </xf>
    <xf numFmtId="3" fontId="5" fillId="5" borderId="25" xfId="0" applyNumberFormat="1" applyFont="1" applyFill="1" applyBorder="1" applyAlignment="1">
      <alignment horizontal="center" vertical="center"/>
    </xf>
    <xf numFmtId="0" fontId="22" fillId="19" borderId="25" xfId="0" applyFont="1" applyFill="1" applyBorder="1" applyAlignment="1">
      <alignment horizontal="center" vertical="center" wrapText="1"/>
    </xf>
    <xf numFmtId="166" fontId="22" fillId="19" borderId="25" xfId="0" applyNumberFormat="1" applyFont="1" applyFill="1" applyBorder="1" applyAlignment="1">
      <alignment horizontal="center" vertical="center" wrapText="1"/>
    </xf>
    <xf numFmtId="0" fontId="0" fillId="0" borderId="0" xfId="0" applyAlignment="1">
      <alignment horizontal="left" indent="1"/>
    </xf>
    <xf numFmtId="3" fontId="5" fillId="5" borderId="30" xfId="0" applyNumberFormat="1" applyFont="1" applyFill="1" applyBorder="1" applyAlignment="1">
      <alignment horizontal="center" vertical="center"/>
    </xf>
    <xf numFmtId="173" fontId="5" fillId="5" borderId="35" xfId="2" applyNumberFormat="1" applyFont="1" applyFill="1" applyBorder="1" applyAlignment="1">
      <alignment horizontal="center" vertical="center"/>
    </xf>
    <xf numFmtId="0" fontId="0" fillId="2" borderId="0" xfId="0" applyFill="1" applyBorder="1" applyAlignment="1">
      <alignment horizontal="left" indent="1"/>
    </xf>
    <xf numFmtId="10" fontId="22" fillId="22" borderId="27" xfId="2" applyNumberFormat="1" applyFont="1" applyFill="1" applyBorder="1" applyAlignment="1">
      <alignment horizontal="center" vertical="center" wrapText="1"/>
    </xf>
    <xf numFmtId="0" fontId="4" fillId="10" borderId="0" xfId="0" applyFont="1" applyFill="1" applyBorder="1" applyAlignment="1">
      <alignment vertical="center"/>
    </xf>
    <xf numFmtId="0" fontId="4" fillId="0" borderId="0" xfId="0" applyFont="1" applyBorder="1"/>
    <xf numFmtId="0" fontId="4" fillId="19" borderId="27" xfId="0" applyFont="1" applyFill="1" applyBorder="1" applyAlignment="1">
      <alignment horizontal="center" vertical="center" wrapText="1"/>
    </xf>
    <xf numFmtId="0" fontId="0" fillId="0" borderId="25" xfId="0" applyFont="1" applyFill="1" applyBorder="1" applyAlignment="1">
      <alignment vertical="center"/>
    </xf>
    <xf numFmtId="0" fontId="0" fillId="0" borderId="25" xfId="0" applyFont="1" applyFill="1" applyBorder="1" applyAlignment="1">
      <alignment horizontal="center" vertical="center"/>
    </xf>
    <xf numFmtId="166" fontId="26" fillId="12" borderId="25" xfId="6" applyNumberFormat="1" applyFont="1" applyFill="1" applyBorder="1" applyAlignment="1">
      <alignment horizontal="center"/>
    </xf>
    <xf numFmtId="166" fontId="26" fillId="2" borderId="25" xfId="6" applyNumberFormat="1" applyFont="1" applyFill="1" applyBorder="1" applyAlignment="1">
      <alignment horizontal="center"/>
    </xf>
    <xf numFmtId="166" fontId="26" fillId="4" borderId="25" xfId="6" applyNumberFormat="1" applyFont="1" applyFill="1" applyBorder="1" applyAlignment="1">
      <alignment horizontal="center"/>
    </xf>
    <xf numFmtId="1" fontId="0" fillId="12" borderId="25" xfId="0" applyNumberFormat="1" applyFont="1" applyFill="1" applyBorder="1" applyAlignment="1">
      <alignment horizontal="center" vertical="center"/>
    </xf>
    <xf numFmtId="166" fontId="26" fillId="10" borderId="25" xfId="6" applyNumberFormat="1" applyFont="1" applyFill="1" applyBorder="1" applyAlignment="1">
      <alignment horizontal="center"/>
    </xf>
    <xf numFmtId="166" fontId="9" fillId="7" borderId="17" xfId="0" applyNumberFormat="1" applyFont="1" applyFill="1" applyBorder="1" applyAlignment="1">
      <alignment horizontal="center" vertical="center" wrapText="1"/>
    </xf>
    <xf numFmtId="14" fontId="54" fillId="25" borderId="25" xfId="0" applyNumberFormat="1" applyFont="1" applyFill="1" applyBorder="1"/>
    <xf numFmtId="0" fontId="54" fillId="25" borderId="25" xfId="0" applyFont="1" applyFill="1" applyBorder="1" applyAlignment="1">
      <alignment horizontal="left" vertical="top" wrapText="1"/>
    </xf>
    <xf numFmtId="179" fontId="54" fillId="25" borderId="27" xfId="1" applyNumberFormat="1" applyFont="1" applyFill="1" applyBorder="1" applyAlignment="1">
      <alignment horizontal="left" vertical="top" wrapText="1"/>
    </xf>
    <xf numFmtId="0" fontId="54" fillId="25" borderId="25" xfId="0" applyFont="1" applyFill="1" applyBorder="1"/>
    <xf numFmtId="176" fontId="55" fillId="15" borderId="25" xfId="0" applyNumberFormat="1" applyFont="1" applyFill="1" applyBorder="1" applyAlignment="1">
      <alignment horizontal="center" vertical="center"/>
    </xf>
    <xf numFmtId="166" fontId="12" fillId="2" borderId="7" xfId="0" applyNumberFormat="1" applyFont="1" applyFill="1" applyBorder="1" applyAlignment="1">
      <alignment horizontal="center" vertical="center"/>
    </xf>
    <xf numFmtId="0" fontId="33" fillId="2" borderId="7" xfId="0" applyFont="1" applyFill="1" applyBorder="1" applyAlignment="1">
      <alignment horizontal="center" vertical="center"/>
    </xf>
    <xf numFmtId="167" fontId="6" fillId="17" borderId="25" xfId="0" applyNumberFormat="1" applyFont="1" applyFill="1" applyBorder="1" applyAlignment="1">
      <alignment horizontal="center" vertical="center"/>
    </xf>
    <xf numFmtId="168" fontId="6" fillId="17" borderId="10" xfId="0" applyNumberFormat="1" applyFont="1" applyFill="1" applyBorder="1" applyAlignment="1">
      <alignment horizontal="center" vertical="center"/>
    </xf>
    <xf numFmtId="168" fontId="6" fillId="17" borderId="25" xfId="0" applyNumberFormat="1" applyFont="1" applyFill="1" applyBorder="1" applyAlignment="1">
      <alignment horizontal="center" vertical="center" wrapText="1"/>
    </xf>
    <xf numFmtId="10" fontId="6" fillId="17" borderId="33" xfId="2" applyNumberFormat="1" applyFont="1" applyFill="1" applyBorder="1" applyAlignment="1">
      <alignment horizontal="center" vertical="center"/>
    </xf>
    <xf numFmtId="14" fontId="3" fillId="17" borderId="12" xfId="0" applyNumberFormat="1" applyFont="1" applyFill="1" applyBorder="1" applyAlignment="1">
      <alignment horizontal="center"/>
    </xf>
    <xf numFmtId="0" fontId="5" fillId="17" borderId="25" xfId="0" applyFont="1" applyFill="1" applyBorder="1" applyAlignment="1">
      <alignment horizontal="center" vertical="center" wrapText="1"/>
    </xf>
    <xf numFmtId="164" fontId="59" fillId="2" borderId="0" xfId="0" applyNumberFormat="1" applyFont="1" applyFill="1" applyBorder="1" applyAlignment="1">
      <alignment horizontal="center" vertical="center"/>
    </xf>
    <xf numFmtId="166" fontId="50" fillId="41" borderId="25" xfId="0" applyNumberFormat="1" applyFont="1" applyFill="1" applyBorder="1"/>
    <xf numFmtId="164" fontId="59" fillId="0" borderId="0" xfId="0" applyNumberFormat="1" applyFont="1" applyFill="1" applyBorder="1" applyAlignment="1">
      <alignment horizontal="center" vertical="center"/>
    </xf>
    <xf numFmtId="166" fontId="57" fillId="15" borderId="25" xfId="0" applyNumberFormat="1" applyFont="1" applyFill="1" applyBorder="1" applyAlignment="1">
      <alignment horizontal="center" vertical="center"/>
    </xf>
    <xf numFmtId="14" fontId="49" fillId="32" borderId="25" xfId="0" applyNumberFormat="1" applyFont="1" applyFill="1" applyBorder="1"/>
    <xf numFmtId="0" fontId="49" fillId="32" borderId="25" xfId="0" applyFont="1" applyFill="1" applyBorder="1" applyAlignment="1">
      <alignment horizontal="left" vertical="top" wrapText="1"/>
    </xf>
    <xf numFmtId="14" fontId="50" fillId="32" borderId="25" xfId="0" applyNumberFormat="1" applyFont="1" applyFill="1" applyBorder="1"/>
    <xf numFmtId="179" fontId="49" fillId="32" borderId="27" xfId="1" applyNumberFormat="1" applyFont="1" applyFill="1" applyBorder="1" applyAlignment="1">
      <alignment horizontal="left" vertical="top" wrapText="1"/>
    </xf>
    <xf numFmtId="0" fontId="49" fillId="32" borderId="25" xfId="0" applyFont="1" applyFill="1" applyBorder="1"/>
    <xf numFmtId="0" fontId="0" fillId="18" borderId="25" xfId="0" applyFill="1" applyBorder="1"/>
    <xf numFmtId="0" fontId="0" fillId="0" borderId="25" xfId="0" applyBorder="1"/>
    <xf numFmtId="182" fontId="0" fillId="0" borderId="0" xfId="0" applyNumberFormat="1" applyFill="1" applyBorder="1"/>
    <xf numFmtId="182" fontId="0" fillId="0" borderId="0" xfId="9" applyNumberFormat="1" applyFont="1" applyFill="1" applyBorder="1"/>
    <xf numFmtId="0" fontId="58" fillId="0" borderId="25" xfId="0" applyFont="1" applyBorder="1"/>
    <xf numFmtId="183" fontId="58" fillId="36" borderId="25" xfId="9" applyNumberFormat="1" applyFont="1" applyFill="1" applyBorder="1"/>
    <xf numFmtId="181" fontId="0" fillId="0" borderId="25" xfId="9" applyNumberFormat="1" applyFont="1" applyFill="1" applyBorder="1"/>
    <xf numFmtId="181" fontId="0" fillId="0" borderId="25" xfId="9" applyNumberFormat="1" applyFont="1" applyBorder="1"/>
    <xf numFmtId="183" fontId="0" fillId="0" borderId="25" xfId="9" applyNumberFormat="1" applyFont="1" applyFill="1" applyBorder="1"/>
    <xf numFmtId="184" fontId="0" fillId="0" borderId="0" xfId="0" applyNumberFormat="1"/>
    <xf numFmtId="174" fontId="0" fillId="0" borderId="25" xfId="0" applyNumberFormat="1" applyBorder="1"/>
    <xf numFmtId="181" fontId="0" fillId="0" borderId="0" xfId="9" applyNumberFormat="1" applyFont="1"/>
    <xf numFmtId="0" fontId="0" fillId="2" borderId="25" xfId="0" applyFill="1" applyBorder="1"/>
    <xf numFmtId="180" fontId="0" fillId="2" borderId="25" xfId="0" applyNumberFormat="1" applyFill="1" applyBorder="1"/>
    <xf numFmtId="181" fontId="0" fillId="2" borderId="25" xfId="9" applyNumberFormat="1" applyFont="1" applyFill="1" applyBorder="1"/>
    <xf numFmtId="185" fontId="0" fillId="0" borderId="0" xfId="0" applyNumberFormat="1"/>
    <xf numFmtId="0" fontId="19" fillId="27" borderId="25" xfId="0" applyFont="1" applyFill="1" applyBorder="1" applyAlignment="1">
      <alignment horizontal="center" vertical="center"/>
    </xf>
    <xf numFmtId="0" fontId="19" fillId="12" borderId="25" xfId="0" applyFont="1" applyFill="1" applyBorder="1" applyAlignment="1">
      <alignment horizontal="center"/>
    </xf>
    <xf numFmtId="0" fontId="31" fillId="12" borderId="25" xfId="4" applyFont="1" applyFill="1" applyBorder="1" applyAlignment="1">
      <alignment horizontal="right" wrapText="1"/>
    </xf>
    <xf numFmtId="2" fontId="16" fillId="12" borderId="25" xfId="4" applyNumberFormat="1" applyFont="1" applyFill="1" applyBorder="1" applyAlignment="1">
      <alignment horizontal="center" vertical="center" wrapText="1"/>
    </xf>
    <xf numFmtId="171" fontId="0" fillId="12" borderId="25" xfId="0" applyNumberFormat="1" applyFont="1" applyFill="1" applyBorder="1" applyAlignment="1">
      <alignment horizontal="center" vertical="center"/>
    </xf>
    <xf numFmtId="166" fontId="19" fillId="25" borderId="25" xfId="0" applyNumberFormat="1" applyFont="1" applyFill="1" applyBorder="1" applyAlignment="1">
      <alignment horizontal="center" vertical="center"/>
    </xf>
    <xf numFmtId="0" fontId="11" fillId="2" borderId="0" xfId="0" applyFont="1" applyFill="1" applyBorder="1" applyAlignment="1">
      <alignment horizontal="center" vertical="center"/>
    </xf>
    <xf numFmtId="14" fontId="54" fillId="2" borderId="25" xfId="0" applyNumberFormat="1" applyFont="1" applyFill="1" applyBorder="1"/>
    <xf numFmtId="2" fontId="54" fillId="2" borderId="25" xfId="0" applyNumberFormat="1" applyFont="1" applyFill="1" applyBorder="1" applyAlignment="1">
      <alignment horizontal="center" vertical="center" wrapText="1"/>
    </xf>
    <xf numFmtId="166" fontId="50" fillId="0" borderId="0" xfId="0" applyNumberFormat="1" applyFont="1" applyAlignment="1">
      <alignment horizontal="right"/>
    </xf>
    <xf numFmtId="0" fontId="49" fillId="0" borderId="25" xfId="0" applyFont="1" applyBorder="1" applyAlignment="1">
      <alignment horizontal="right" vertical="center"/>
    </xf>
    <xf numFmtId="14" fontId="49" fillId="2" borderId="25" xfId="0" applyNumberFormat="1" applyFont="1" applyFill="1" applyBorder="1" applyAlignment="1">
      <alignment vertical="center"/>
    </xf>
    <xf numFmtId="2" fontId="49" fillId="2" borderId="25" xfId="0" applyNumberFormat="1" applyFont="1" applyFill="1" applyBorder="1" applyAlignment="1">
      <alignment horizontal="right" vertical="center" wrapText="1"/>
    </xf>
    <xf numFmtId="0" fontId="19" fillId="25" borderId="25" xfId="0" applyFont="1" applyFill="1" applyBorder="1" applyAlignment="1">
      <alignment horizontal="center" vertical="center"/>
    </xf>
    <xf numFmtId="0" fontId="50" fillId="12" borderId="25" xfId="0" applyFont="1" applyFill="1" applyBorder="1" applyAlignment="1">
      <alignment horizontal="center"/>
    </xf>
    <xf numFmtId="0" fontId="50" fillId="12" borderId="25" xfId="0" applyFont="1" applyFill="1" applyBorder="1"/>
    <xf numFmtId="0" fontId="52" fillId="12" borderId="25" xfId="0" applyFont="1" applyFill="1" applyBorder="1" applyAlignment="1">
      <alignment horizontal="center" vertical="center"/>
    </xf>
    <xf numFmtId="0" fontId="28" fillId="12" borderId="25" xfId="0" applyFont="1" applyFill="1" applyBorder="1" applyAlignment="1">
      <alignment horizontal="center" vertical="center"/>
    </xf>
    <xf numFmtId="166" fontId="53" fillId="0" borderId="0" xfId="0" applyNumberFormat="1" applyFont="1" applyAlignment="1">
      <alignment horizontal="right" vertical="center"/>
    </xf>
    <xf numFmtId="0" fontId="54" fillId="2" borderId="25" xfId="0" applyFont="1" applyFill="1" applyBorder="1" applyAlignment="1">
      <alignment vertical="top" wrapText="1"/>
    </xf>
    <xf numFmtId="0" fontId="54" fillId="2" borderId="25" xfId="0" applyFont="1" applyFill="1" applyBorder="1" applyAlignment="1">
      <alignment horizontal="left" vertical="top" wrapText="1"/>
    </xf>
    <xf numFmtId="0" fontId="54" fillId="2" borderId="25" xfId="0" applyFont="1" applyFill="1" applyBorder="1" applyAlignment="1">
      <alignment horizontal="right"/>
    </xf>
    <xf numFmtId="0" fontId="49" fillId="27" borderId="25" xfId="0" applyFont="1" applyFill="1" applyBorder="1"/>
    <xf numFmtId="2" fontId="62" fillId="38" borderId="25" xfId="0" applyNumberFormat="1" applyFont="1" applyFill="1" applyBorder="1" applyAlignment="1">
      <alignment horizontal="center" vertical="center"/>
    </xf>
    <xf numFmtId="166" fontId="49" fillId="6" borderId="25" xfId="0" applyNumberFormat="1" applyFont="1" applyFill="1" applyBorder="1" applyAlignment="1">
      <alignment horizontal="center" vertical="top" wrapText="1"/>
    </xf>
    <xf numFmtId="0" fontId="19" fillId="42" borderId="25" xfId="0" applyFont="1" applyFill="1" applyBorder="1" applyAlignment="1">
      <alignment horizontal="center" vertical="center"/>
    </xf>
    <xf numFmtId="0" fontId="0" fillId="0" borderId="27" xfId="0" applyNumberFormat="1" applyBorder="1"/>
    <xf numFmtId="0" fontId="9" fillId="7" borderId="7" xfId="0" applyFont="1" applyFill="1" applyBorder="1" applyAlignment="1">
      <alignment horizontal="center" vertical="center" wrapText="1"/>
    </xf>
    <xf numFmtId="166" fontId="10" fillId="2" borderId="7" xfId="0" applyNumberFormat="1" applyFont="1" applyFill="1" applyBorder="1" applyAlignment="1">
      <alignment horizontal="center" vertical="center"/>
    </xf>
    <xf numFmtId="168" fontId="64" fillId="0" borderId="74" xfId="7" applyNumberFormat="1" applyFont="1" applyFill="1" applyBorder="1" applyAlignment="1" applyProtection="1">
      <alignment horizontal="center"/>
    </xf>
    <xf numFmtId="0" fontId="9" fillId="19" borderId="75" xfId="0" applyFont="1" applyFill="1" applyBorder="1" applyAlignment="1">
      <alignment horizontal="center" vertical="center" wrapText="1"/>
    </xf>
    <xf numFmtId="164" fontId="22" fillId="3" borderId="76" xfId="0" applyNumberFormat="1" applyFont="1" applyFill="1" applyBorder="1" applyAlignment="1">
      <alignment vertical="center"/>
    </xf>
    <xf numFmtId="164" fontId="22" fillId="3" borderId="77" xfId="0" applyNumberFormat="1" applyFont="1" applyFill="1" applyBorder="1" applyAlignment="1">
      <alignment vertical="center"/>
    </xf>
    <xf numFmtId="0" fontId="5" fillId="6" borderId="52" xfId="0" applyFont="1" applyFill="1" applyBorder="1" applyAlignment="1">
      <alignment horizontal="center" vertical="center"/>
    </xf>
    <xf numFmtId="167" fontId="6" fillId="6" borderId="52" xfId="0" applyNumberFormat="1" applyFont="1" applyFill="1" applyBorder="1" applyAlignment="1">
      <alignment horizontal="center" vertical="center"/>
    </xf>
    <xf numFmtId="168" fontId="6" fillId="6" borderId="10" xfId="0" applyNumberFormat="1" applyFont="1" applyFill="1" applyBorder="1" applyAlignment="1">
      <alignment horizontal="center" vertical="center"/>
    </xf>
    <xf numFmtId="169" fontId="6" fillId="6" borderId="52" xfId="0" applyNumberFormat="1" applyFont="1" applyFill="1" applyBorder="1" applyAlignment="1">
      <alignment horizontal="center" vertical="center"/>
    </xf>
    <xf numFmtId="10" fontId="6" fillId="6" borderId="56" xfId="3" applyNumberFormat="1" applyFont="1" applyFill="1" applyBorder="1" applyAlignment="1">
      <alignment horizontal="center"/>
    </xf>
    <xf numFmtId="14" fontId="3" fillId="6" borderId="13" xfId="0" applyNumberFormat="1" applyFont="1" applyFill="1" applyBorder="1" applyAlignment="1">
      <alignment horizontal="center"/>
    </xf>
    <xf numFmtId="0" fontId="65" fillId="5" borderId="25" xfId="10" applyFill="1" applyBorder="1" applyAlignment="1" applyProtection="1">
      <alignment horizontal="left" vertical="center" wrapText="1"/>
    </xf>
    <xf numFmtId="0" fontId="0" fillId="2" borderId="0" xfId="0" applyFont="1" applyFill="1" applyAlignment="1">
      <alignment horizontal="center" vertical="center"/>
    </xf>
    <xf numFmtId="166" fontId="66" fillId="2" borderId="25" xfId="0" applyNumberFormat="1" applyFont="1" applyFill="1" applyBorder="1" applyAlignment="1">
      <alignment horizontal="center" vertical="center"/>
    </xf>
    <xf numFmtId="166" fontId="55" fillId="2" borderId="25" xfId="0" applyNumberFormat="1" applyFont="1" applyFill="1" applyBorder="1" applyAlignment="1">
      <alignment horizontal="center" vertical="center"/>
    </xf>
    <xf numFmtId="0" fontId="65" fillId="20" borderId="25" xfId="10" applyFill="1" applyBorder="1" applyAlignment="1" applyProtection="1">
      <alignment horizontal="left" vertical="center" wrapText="1"/>
    </xf>
    <xf numFmtId="0" fontId="0" fillId="0" borderId="74" xfId="0" applyBorder="1" applyAlignment="1">
      <alignment horizontal="left"/>
    </xf>
    <xf numFmtId="0" fontId="0" fillId="0" borderId="75" xfId="0" applyBorder="1" applyAlignment="1">
      <alignment horizontal="left"/>
    </xf>
    <xf numFmtId="0" fontId="0" fillId="0" borderId="75" xfId="0" applyNumberFormat="1" applyBorder="1"/>
    <xf numFmtId="0" fontId="3" fillId="34" borderId="74" xfId="0" applyFont="1" applyFill="1" applyBorder="1" applyAlignment="1">
      <alignment horizontal="left"/>
    </xf>
    <xf numFmtId="0" fontId="3" fillId="34" borderId="74" xfId="0" applyNumberFormat="1" applyFont="1" applyFill="1" applyBorder="1"/>
    <xf numFmtId="0" fontId="3" fillId="12" borderId="74" xfId="0" applyFont="1" applyFill="1" applyBorder="1"/>
    <xf numFmtId="2" fontId="0" fillId="0" borderId="74" xfId="0" applyNumberFormat="1" applyBorder="1" applyAlignment="1">
      <alignment horizontal="center" vertical="center"/>
    </xf>
    <xf numFmtId="170" fontId="19" fillId="18" borderId="25" xfId="0" applyNumberFormat="1" applyFont="1" applyFill="1" applyBorder="1" applyAlignment="1" applyProtection="1">
      <alignment horizontal="center" vertical="center"/>
    </xf>
    <xf numFmtId="0" fontId="67" fillId="11" borderId="38" xfId="5" applyFont="1" applyFill="1" applyBorder="1" applyAlignment="1">
      <alignment horizontal="right" wrapText="1"/>
    </xf>
    <xf numFmtId="166" fontId="2" fillId="17" borderId="38" xfId="0" applyNumberFormat="1" applyFont="1" applyFill="1" applyBorder="1" applyAlignment="1">
      <alignment horizontal="center" vertical="center"/>
    </xf>
    <xf numFmtId="166" fontId="6" fillId="11" borderId="25" xfId="0" applyNumberFormat="1" applyFont="1" applyFill="1" applyBorder="1" applyAlignment="1">
      <alignment horizontal="center" vertical="center" wrapText="1"/>
    </xf>
    <xf numFmtId="170" fontId="4" fillId="9" borderId="25" xfId="0" applyNumberFormat="1" applyFont="1" applyFill="1" applyBorder="1" applyAlignment="1">
      <alignment horizontal="center" vertical="center"/>
    </xf>
    <xf numFmtId="165" fontId="69" fillId="11" borderId="25" xfId="0" applyNumberFormat="1" applyFont="1" applyFill="1" applyBorder="1" applyAlignment="1">
      <alignment horizontal="center" vertical="center" wrapText="1"/>
    </xf>
    <xf numFmtId="165" fontId="68" fillId="11" borderId="25" xfId="0" applyNumberFormat="1" applyFont="1" applyFill="1" applyBorder="1" applyAlignment="1">
      <alignment horizontal="center" vertical="center" wrapText="1"/>
    </xf>
    <xf numFmtId="165" fontId="69" fillId="2" borderId="25" xfId="0" applyNumberFormat="1" applyFont="1" applyFill="1" applyBorder="1" applyAlignment="1">
      <alignment horizontal="center" vertical="center"/>
    </xf>
    <xf numFmtId="0" fontId="19" fillId="0" borderId="74" xfId="0" applyFont="1" applyFill="1" applyBorder="1" applyAlignment="1">
      <alignment horizontal="center" vertical="center"/>
    </xf>
    <xf numFmtId="168" fontId="70" fillId="0" borderId="74" xfId="7" applyNumberFormat="1" applyFont="1" applyFill="1" applyBorder="1" applyAlignment="1" applyProtection="1">
      <alignment horizontal="center"/>
    </xf>
    <xf numFmtId="0" fontId="71" fillId="2" borderId="25" xfId="8" applyFont="1" applyFill="1" applyBorder="1" applyAlignment="1">
      <alignment horizontal="right" wrapText="1"/>
    </xf>
    <xf numFmtId="0" fontId="4" fillId="2" borderId="0" xfId="0" applyFont="1" applyFill="1" applyAlignment="1">
      <alignment vertical="center"/>
    </xf>
    <xf numFmtId="172" fontId="9" fillId="36" borderId="50" xfId="2" applyNumberFormat="1" applyFont="1" applyFill="1" applyBorder="1" applyAlignment="1">
      <alignment horizontal="center" vertical="center" wrapText="1"/>
    </xf>
    <xf numFmtId="10" fontId="2" fillId="5" borderId="27" xfId="2" applyNumberFormat="1" applyFont="1" applyFill="1" applyBorder="1" applyAlignment="1">
      <alignment horizontal="center" vertical="center"/>
    </xf>
    <xf numFmtId="10" fontId="2" fillId="5" borderId="25" xfId="2" applyNumberFormat="1" applyFont="1" applyFill="1" applyBorder="1" applyAlignment="1">
      <alignment horizontal="center" vertical="center"/>
    </xf>
    <xf numFmtId="0" fontId="19" fillId="5" borderId="10" xfId="0" applyFont="1" applyFill="1" applyBorder="1" applyAlignment="1">
      <alignment horizontal="center" vertical="center" wrapText="1"/>
    </xf>
    <xf numFmtId="0" fontId="22" fillId="19" borderId="66"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22" fillId="19" borderId="25" xfId="0" applyFont="1" applyFill="1" applyBorder="1" applyAlignment="1">
      <alignment horizontal="center" vertical="center" wrapText="1"/>
    </xf>
    <xf numFmtId="0" fontId="19" fillId="5" borderId="52" xfId="0" applyFont="1" applyFill="1" applyBorder="1" applyAlignment="1">
      <alignment horizontal="center" vertical="center" wrapText="1"/>
    </xf>
    <xf numFmtId="0" fontId="19" fillId="5" borderId="25" xfId="0" applyFont="1" applyFill="1" applyBorder="1" applyAlignment="1">
      <alignment horizontal="center" vertical="center"/>
    </xf>
    <xf numFmtId="0" fontId="22" fillId="19" borderId="57" xfId="0" applyFont="1" applyFill="1" applyBorder="1" applyAlignment="1">
      <alignment horizontal="center" vertical="center" wrapText="1"/>
    </xf>
    <xf numFmtId="0" fontId="22" fillId="19" borderId="20" xfId="0" applyFont="1" applyFill="1" applyBorder="1" applyAlignment="1">
      <alignment horizontal="center" vertical="center" wrapText="1"/>
    </xf>
    <xf numFmtId="0" fontId="19" fillId="0" borderId="75" xfId="0" applyFont="1" applyFill="1" applyBorder="1" applyAlignment="1">
      <alignment horizontal="center" vertical="center"/>
    </xf>
    <xf numFmtId="0" fontId="22" fillId="19" borderId="74" xfId="0" applyFont="1" applyFill="1" applyBorder="1" applyAlignment="1">
      <alignment horizontal="center" vertical="center" wrapText="1"/>
    </xf>
    <xf numFmtId="0" fontId="19" fillId="5" borderId="75" xfId="0" applyFont="1" applyFill="1" applyBorder="1" applyAlignment="1">
      <alignment horizontal="center" vertical="center"/>
    </xf>
    <xf numFmtId="0" fontId="19" fillId="12" borderId="52" xfId="0" applyFont="1" applyFill="1" applyBorder="1" applyAlignment="1">
      <alignment horizontal="center" vertical="center" wrapText="1"/>
    </xf>
    <xf numFmtId="0" fontId="19" fillId="12" borderId="25" xfId="0" applyFont="1" applyFill="1" applyBorder="1" applyAlignment="1">
      <alignment horizontal="center" vertical="center"/>
    </xf>
    <xf numFmtId="170" fontId="19" fillId="12" borderId="53" xfId="0" applyNumberFormat="1" applyFont="1" applyFill="1" applyBorder="1" applyAlignment="1" applyProtection="1">
      <alignment horizontal="center" vertical="center"/>
    </xf>
    <xf numFmtId="166" fontId="2" fillId="12" borderId="25" xfId="0" applyNumberFormat="1" applyFont="1" applyFill="1" applyBorder="1" applyAlignment="1">
      <alignment horizontal="center" vertical="center"/>
    </xf>
    <xf numFmtId="168" fontId="19" fillId="12" borderId="25" xfId="7" applyNumberFormat="1" applyFont="1" applyFill="1" applyBorder="1" applyAlignment="1" applyProtection="1">
      <alignment horizontal="center"/>
    </xf>
    <xf numFmtId="10" fontId="19" fillId="12" borderId="27" xfId="2" applyNumberFormat="1" applyFont="1" applyFill="1" applyBorder="1" applyAlignment="1">
      <alignment horizontal="center" vertical="center"/>
    </xf>
    <xf numFmtId="172" fontId="19" fillId="12" borderId="27" xfId="0" applyNumberFormat="1"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19" fillId="12" borderId="52" xfId="0" applyFont="1" applyFill="1" applyBorder="1" applyAlignment="1">
      <alignment horizontal="center" vertical="center"/>
    </xf>
    <xf numFmtId="170" fontId="19" fillId="12" borderId="57" xfId="0" applyNumberFormat="1" applyFont="1" applyFill="1" applyBorder="1" applyAlignment="1" applyProtection="1">
      <alignment horizontal="center" vertical="center"/>
    </xf>
    <xf numFmtId="170" fontId="19" fillId="12" borderId="52" xfId="0" applyNumberFormat="1" applyFont="1" applyFill="1" applyBorder="1" applyAlignment="1">
      <alignment horizontal="center" vertical="center"/>
    </xf>
    <xf numFmtId="10" fontId="19" fillId="12" borderId="66" xfId="2" applyNumberFormat="1" applyFont="1" applyFill="1" applyBorder="1" applyAlignment="1">
      <alignment horizontal="center" vertical="center"/>
    </xf>
    <xf numFmtId="0" fontId="22" fillId="43" borderId="25" xfId="0" applyFont="1" applyFill="1" applyBorder="1" applyAlignment="1">
      <alignment horizontal="center" vertical="center" wrapText="1"/>
    </xf>
    <xf numFmtId="0" fontId="22" fillId="43" borderId="27" xfId="0" applyFont="1" applyFill="1" applyBorder="1" applyAlignment="1">
      <alignment horizontal="center" vertical="center" wrapText="1"/>
    </xf>
    <xf numFmtId="172" fontId="22" fillId="19" borderId="27" xfId="0" applyNumberFormat="1" applyFont="1" applyFill="1" applyBorder="1" applyAlignment="1">
      <alignment horizontal="center" vertical="center" wrapText="1"/>
    </xf>
    <xf numFmtId="170" fontId="19" fillId="0" borderId="75" xfId="0" applyNumberFormat="1" applyFont="1" applyFill="1" applyBorder="1" applyAlignment="1" applyProtection="1">
      <alignment horizontal="center" vertical="center"/>
    </xf>
    <xf numFmtId="166" fontId="2" fillId="2" borderId="75" xfId="0" applyNumberFormat="1" applyFont="1" applyFill="1" applyBorder="1" applyAlignment="1">
      <alignment horizontal="center" vertical="center"/>
    </xf>
    <xf numFmtId="170" fontId="19" fillId="0" borderId="75" xfId="0" applyNumberFormat="1" applyFont="1" applyFill="1" applyBorder="1" applyAlignment="1">
      <alignment horizontal="center" vertical="center"/>
    </xf>
    <xf numFmtId="170" fontId="19" fillId="5" borderId="75" xfId="0" applyNumberFormat="1" applyFont="1" applyFill="1" applyBorder="1" applyAlignment="1">
      <alignment horizontal="center" vertical="center"/>
    </xf>
    <xf numFmtId="10" fontId="19" fillId="5" borderId="75" xfId="2" applyNumberFormat="1" applyFont="1" applyFill="1" applyBorder="1" applyAlignment="1">
      <alignment horizontal="center" vertical="center"/>
    </xf>
    <xf numFmtId="0" fontId="19" fillId="19" borderId="67" xfId="0" applyFont="1" applyFill="1" applyBorder="1" applyAlignment="1">
      <alignment horizontal="center" vertical="center" wrapText="1"/>
    </xf>
    <xf numFmtId="166" fontId="4" fillId="19" borderId="74" xfId="0" applyNumberFormat="1" applyFont="1" applyFill="1" applyBorder="1" applyAlignment="1">
      <alignment horizontal="center" vertical="center" wrapText="1"/>
    </xf>
    <xf numFmtId="166" fontId="22" fillId="19" borderId="75" xfId="0" applyNumberFormat="1" applyFont="1" applyFill="1" applyBorder="1" applyAlignment="1">
      <alignment horizontal="center" vertical="center" wrapText="1"/>
    </xf>
    <xf numFmtId="166" fontId="22" fillId="19" borderId="74" xfId="0" applyNumberFormat="1" applyFont="1" applyFill="1" applyBorder="1" applyAlignment="1">
      <alignment horizontal="center" vertical="center" wrapText="1"/>
    </xf>
    <xf numFmtId="166" fontId="22" fillId="19" borderId="27" xfId="0" applyNumberFormat="1" applyFont="1" applyFill="1" applyBorder="1" applyAlignment="1">
      <alignment horizontal="center" vertical="center" wrapText="1"/>
    </xf>
    <xf numFmtId="0" fontId="19" fillId="19" borderId="19" xfId="0" applyFont="1" applyFill="1" applyBorder="1" applyAlignment="1">
      <alignment horizontal="center" vertical="center" wrapText="1"/>
    </xf>
    <xf numFmtId="168" fontId="19" fillId="16" borderId="10" xfId="7" applyNumberFormat="1" applyFont="1" applyFill="1" applyBorder="1" applyAlignment="1" applyProtection="1">
      <alignment horizontal="center"/>
    </xf>
    <xf numFmtId="0" fontId="19" fillId="19" borderId="74" xfId="0" applyFont="1" applyFill="1" applyBorder="1" applyAlignment="1">
      <alignment horizontal="center" vertical="center" wrapText="1"/>
    </xf>
    <xf numFmtId="0" fontId="22" fillId="19" borderId="53" xfId="0" applyFont="1" applyFill="1" applyBorder="1" applyAlignment="1">
      <alignment horizontal="center" vertical="center" wrapText="1"/>
    </xf>
    <xf numFmtId="0" fontId="4" fillId="19" borderId="74" xfId="0" applyFont="1" applyFill="1" applyBorder="1" applyAlignment="1">
      <alignment horizontal="center" vertical="center" wrapText="1"/>
    </xf>
    <xf numFmtId="0" fontId="22" fillId="22" borderId="33" xfId="0" applyFont="1" applyFill="1" applyBorder="1" applyAlignment="1">
      <alignment horizontal="center" vertical="center" wrapText="1"/>
    </xf>
    <xf numFmtId="0" fontId="22" fillId="22" borderId="74" xfId="0" applyFont="1" applyFill="1" applyBorder="1" applyAlignment="1">
      <alignment horizontal="center" vertical="center" wrapText="1"/>
    </xf>
    <xf numFmtId="172" fontId="19" fillId="27" borderId="18" xfId="0" applyNumberFormat="1" applyFont="1" applyFill="1" applyBorder="1" applyAlignment="1">
      <alignment horizontal="center" vertical="center" wrapText="1"/>
    </xf>
    <xf numFmtId="0" fontId="19" fillId="5" borderId="10" xfId="0" applyFont="1" applyFill="1" applyBorder="1" applyAlignment="1">
      <alignment horizontal="center" wrapText="1"/>
    </xf>
    <xf numFmtId="0" fontId="19" fillId="5" borderId="52" xfId="0" applyFont="1" applyFill="1" applyBorder="1" applyAlignment="1">
      <alignment horizontal="center" vertical="center" wrapText="1"/>
    </xf>
    <xf numFmtId="170" fontId="19" fillId="4" borderId="25" xfId="0" applyNumberFormat="1" applyFont="1" applyFill="1" applyBorder="1" applyAlignment="1">
      <alignment horizontal="center" vertical="center"/>
    </xf>
    <xf numFmtId="0" fontId="42" fillId="12" borderId="25" xfId="0" applyFont="1" applyFill="1" applyBorder="1" applyAlignment="1">
      <alignment horizontal="center" vertical="center"/>
    </xf>
    <xf numFmtId="2" fontId="0" fillId="0" borderId="0" xfId="0" applyNumberFormat="1" applyFont="1"/>
    <xf numFmtId="4" fontId="5" fillId="5" borderId="30" xfId="0" applyNumberFormat="1" applyFont="1" applyFill="1" applyBorder="1" applyAlignment="1">
      <alignment horizontal="center" vertical="center"/>
    </xf>
    <xf numFmtId="169" fontId="6" fillId="17" borderId="25" xfId="0" applyNumberFormat="1" applyFont="1" applyFill="1" applyBorder="1" applyAlignment="1">
      <alignment horizontal="center" vertical="center"/>
    </xf>
    <xf numFmtId="0" fontId="19" fillId="5" borderId="52" xfId="0" applyFont="1" applyFill="1" applyBorder="1" applyAlignment="1">
      <alignment horizontal="center" wrapText="1"/>
    </xf>
    <xf numFmtId="0" fontId="19" fillId="5" borderId="52" xfId="0" applyFont="1" applyFill="1" applyBorder="1" applyAlignment="1">
      <alignment horizontal="center" vertical="center" wrapText="1"/>
    </xf>
    <xf numFmtId="14" fontId="22" fillId="22" borderId="27" xfId="0" applyNumberFormat="1" applyFont="1" applyFill="1" applyBorder="1" applyAlignment="1">
      <alignment horizontal="center" vertical="center" wrapText="1"/>
    </xf>
    <xf numFmtId="166" fontId="2" fillId="2" borderId="25" xfId="6" applyNumberFormat="1" applyFont="1" applyFill="1" applyBorder="1" applyAlignment="1">
      <alignment horizontal="center"/>
    </xf>
    <xf numFmtId="0" fontId="0" fillId="0" borderId="74" xfId="0" applyFont="1" applyBorder="1"/>
    <xf numFmtId="172" fontId="22" fillId="22" borderId="27" xfId="0" applyNumberFormat="1" applyFont="1" applyFill="1" applyBorder="1" applyAlignment="1">
      <alignment horizontal="center" vertical="center" wrapText="1"/>
    </xf>
    <xf numFmtId="14" fontId="4" fillId="38" borderId="33" xfId="2" applyNumberFormat="1" applyFont="1" applyFill="1" applyBorder="1" applyAlignment="1">
      <alignment horizontal="center" vertical="center"/>
    </xf>
    <xf numFmtId="2" fontId="72" fillId="0" borderId="25" xfId="8" applyNumberFormat="1" applyFont="1" applyFill="1" applyBorder="1" applyAlignment="1">
      <alignment horizontal="center" wrapText="1"/>
    </xf>
    <xf numFmtId="10" fontId="2" fillId="2" borderId="50" xfId="2" applyNumberFormat="1" applyFont="1" applyFill="1" applyBorder="1" applyAlignment="1">
      <alignment horizontal="center" vertical="center"/>
    </xf>
    <xf numFmtId="172" fontId="59" fillId="0" borderId="58" xfId="2" applyNumberFormat="1" applyFont="1" applyFill="1" applyBorder="1" applyAlignment="1">
      <alignment horizontal="center" vertical="center" wrapText="1"/>
    </xf>
    <xf numFmtId="166" fontId="22" fillId="19" borderId="25" xfId="0" applyNumberFormat="1" applyFont="1" applyFill="1" applyBorder="1" applyAlignment="1">
      <alignment horizontal="center" vertical="center" wrapText="1"/>
    </xf>
    <xf numFmtId="166" fontId="50" fillId="36" borderId="0" xfId="0" applyNumberFormat="1" applyFont="1" applyFill="1"/>
    <xf numFmtId="0" fontId="54" fillId="25" borderId="74" xfId="0" applyFont="1" applyFill="1" applyBorder="1"/>
    <xf numFmtId="0" fontId="49" fillId="2" borderId="27" xfId="0" applyFont="1" applyFill="1" applyBorder="1" applyAlignment="1">
      <alignment horizontal="center" vertical="top" wrapText="1"/>
    </xf>
    <xf numFmtId="0" fontId="49" fillId="32" borderId="27" xfId="0" applyFont="1" applyFill="1" applyBorder="1" applyAlignment="1">
      <alignment horizontal="center" vertical="top" wrapText="1"/>
    </xf>
    <xf numFmtId="0" fontId="54" fillId="25" borderId="27" xfId="0" applyFont="1" applyFill="1" applyBorder="1" applyAlignment="1">
      <alignment horizontal="center" vertical="top" wrapText="1"/>
    </xf>
    <xf numFmtId="0" fontId="50" fillId="0" borderId="0" xfId="0" applyFont="1" applyBorder="1" applyAlignment="1">
      <alignment horizontal="center"/>
    </xf>
    <xf numFmtId="14" fontId="50" fillId="0" borderId="0" xfId="0" applyNumberFormat="1" applyFont="1" applyBorder="1"/>
    <xf numFmtId="0" fontId="54" fillId="25" borderId="0" xfId="0" applyFont="1" applyFill="1" applyBorder="1" applyAlignment="1">
      <alignment horizontal="left" vertical="top" wrapText="1"/>
    </xf>
    <xf numFmtId="0" fontId="50" fillId="0" borderId="0" xfId="0" applyFont="1" applyBorder="1" applyAlignment="1">
      <alignment horizontal="right"/>
    </xf>
    <xf numFmtId="0" fontId="54" fillId="25" borderId="0" xfId="0" applyFont="1" applyFill="1" applyBorder="1"/>
    <xf numFmtId="0" fontId="19" fillId="25" borderId="0" xfId="0" applyFont="1" applyFill="1" applyBorder="1" applyAlignment="1">
      <alignment horizontal="center" vertical="center"/>
    </xf>
    <xf numFmtId="14" fontId="54" fillId="25" borderId="74" xfId="0" applyNumberFormat="1" applyFont="1" applyFill="1" applyBorder="1"/>
    <xf numFmtId="0" fontId="54" fillId="25" borderId="74" xfId="0" applyFont="1" applyFill="1" applyBorder="1" applyAlignment="1">
      <alignment horizontal="left" vertical="top" wrapText="1"/>
    </xf>
    <xf numFmtId="0" fontId="19" fillId="25" borderId="74" xfId="0" applyFont="1" applyFill="1" applyBorder="1" applyAlignment="1">
      <alignment horizontal="center" vertical="center"/>
    </xf>
    <xf numFmtId="0" fontId="0" fillId="0" borderId="74" xfId="0" applyNumberFormat="1" applyBorder="1"/>
    <xf numFmtId="166" fontId="58" fillId="10" borderId="7" xfId="0" applyNumberFormat="1" applyFont="1" applyFill="1" applyBorder="1" applyAlignment="1">
      <alignment horizontal="center" vertical="center"/>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164" fontId="22" fillId="3" borderId="4" xfId="0" applyNumberFormat="1" applyFont="1" applyFill="1" applyBorder="1" applyAlignment="1">
      <alignment horizontal="center" vertical="center"/>
    </xf>
    <xf numFmtId="164" fontId="22" fillId="3" borderId="5" xfId="0" applyNumberFormat="1" applyFont="1" applyFill="1" applyBorder="1" applyAlignment="1">
      <alignment horizontal="center" vertical="center"/>
    </xf>
    <xf numFmtId="164" fontId="22" fillId="3" borderId="6" xfId="0" applyNumberFormat="1" applyFont="1" applyFill="1" applyBorder="1" applyAlignment="1">
      <alignment horizontal="center" vertical="center"/>
    </xf>
    <xf numFmtId="165" fontId="5" fillId="11" borderId="51" xfId="0" applyNumberFormat="1" applyFont="1" applyFill="1" applyBorder="1" applyAlignment="1">
      <alignment horizontal="center" vertical="center" wrapText="1"/>
    </xf>
    <xf numFmtId="165" fontId="5" fillId="11" borderId="55" xfId="0" applyNumberFormat="1" applyFont="1" applyFill="1" applyBorder="1" applyAlignment="1">
      <alignment horizontal="center" vertical="center" wrapText="1"/>
    </xf>
    <xf numFmtId="165" fontId="5" fillId="11" borderId="41" xfId="0" applyNumberFormat="1" applyFont="1" applyFill="1" applyBorder="1" applyAlignment="1">
      <alignment horizontal="center" vertical="center" wrapText="1"/>
    </xf>
    <xf numFmtId="165" fontId="5" fillId="20" borderId="51" xfId="0" applyNumberFormat="1" applyFont="1" applyFill="1" applyBorder="1" applyAlignment="1">
      <alignment horizontal="center" vertical="center" wrapText="1"/>
    </xf>
    <xf numFmtId="165" fontId="5" fillId="20" borderId="55" xfId="0" applyNumberFormat="1" applyFont="1" applyFill="1" applyBorder="1" applyAlignment="1">
      <alignment horizontal="center" vertical="center" wrapText="1"/>
    </xf>
    <xf numFmtId="165" fontId="5" fillId="20" borderId="41" xfId="0" applyNumberFormat="1" applyFont="1" applyFill="1" applyBorder="1" applyAlignment="1">
      <alignment horizontal="center" vertical="center" wrapText="1"/>
    </xf>
    <xf numFmtId="165" fontId="5" fillId="5" borderId="72" xfId="0" applyNumberFormat="1" applyFont="1" applyFill="1" applyBorder="1" applyAlignment="1">
      <alignment horizontal="left" vertical="center" wrapText="1"/>
    </xf>
    <xf numFmtId="165" fontId="5" fillId="5" borderId="53" xfId="0" applyNumberFormat="1" applyFont="1" applyFill="1" applyBorder="1" applyAlignment="1">
      <alignment horizontal="left" vertical="center" wrapText="1"/>
    </xf>
    <xf numFmtId="165" fontId="5" fillId="5" borderId="29" xfId="0" applyNumberFormat="1" applyFont="1" applyFill="1" applyBorder="1" applyAlignment="1">
      <alignment horizontal="center" vertical="center" wrapText="1"/>
    </xf>
    <xf numFmtId="165" fontId="5" fillId="5" borderId="30"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51" xfId="0" applyFont="1" applyFill="1" applyBorder="1" applyAlignment="1">
      <alignment horizontal="center" vertical="center" wrapText="1"/>
    </xf>
    <xf numFmtId="164" fontId="3" fillId="6" borderId="1" xfId="0" applyNumberFormat="1" applyFont="1" applyFill="1" applyBorder="1" applyAlignment="1">
      <alignment horizontal="center" vertical="center"/>
    </xf>
    <xf numFmtId="164" fontId="3" fillId="6" borderId="2" xfId="0" applyNumberFormat="1" applyFont="1" applyFill="1" applyBorder="1" applyAlignment="1">
      <alignment horizontal="center" vertical="center"/>
    </xf>
    <xf numFmtId="164" fontId="3" fillId="6" borderId="3" xfId="0" applyNumberFormat="1" applyFont="1" applyFill="1" applyBorder="1" applyAlignment="1">
      <alignment horizontal="center" vertical="center"/>
    </xf>
    <xf numFmtId="164" fontId="3" fillId="6" borderId="4" xfId="0" applyNumberFormat="1" applyFont="1" applyFill="1" applyBorder="1" applyAlignment="1">
      <alignment horizontal="center" vertical="center"/>
    </xf>
    <xf numFmtId="164" fontId="3" fillId="6" borderId="5" xfId="0" applyNumberFormat="1" applyFont="1" applyFill="1" applyBorder="1" applyAlignment="1">
      <alignment horizontal="center" vertical="center"/>
    </xf>
    <xf numFmtId="164" fontId="3" fillId="6" borderId="6" xfId="0" applyNumberFormat="1" applyFont="1" applyFill="1" applyBorder="1" applyAlignment="1">
      <alignment horizontal="center" vertical="center"/>
    </xf>
    <xf numFmtId="3" fontId="5" fillId="5" borderId="22" xfId="0" applyNumberFormat="1" applyFont="1" applyFill="1" applyBorder="1" applyAlignment="1">
      <alignment horizontal="center" vertical="center" wrapText="1"/>
    </xf>
    <xf numFmtId="3" fontId="5" fillId="5" borderId="24" xfId="0" applyNumberFormat="1" applyFont="1" applyFill="1" applyBorder="1" applyAlignment="1">
      <alignment horizontal="center" vertical="center" wrapText="1"/>
    </xf>
    <xf numFmtId="3" fontId="5" fillId="5" borderId="38" xfId="0" applyNumberFormat="1" applyFont="1" applyFill="1" applyBorder="1" applyAlignment="1">
      <alignment horizontal="center" vertical="center" wrapText="1"/>
    </xf>
    <xf numFmtId="3" fontId="5" fillId="5" borderId="25" xfId="0" applyNumberFormat="1" applyFont="1" applyFill="1" applyBorder="1" applyAlignment="1">
      <alignment horizontal="center" vertical="center" wrapText="1"/>
    </xf>
    <xf numFmtId="0" fontId="5" fillId="5" borderId="38" xfId="0" applyFont="1" applyFill="1" applyBorder="1" applyAlignment="1">
      <alignment horizontal="center"/>
    </xf>
    <xf numFmtId="0" fontId="5" fillId="5" borderId="38" xfId="0" applyFont="1" applyFill="1" applyBorder="1" applyAlignment="1">
      <alignment horizontal="center" vertical="center" wrapText="1"/>
    </xf>
    <xf numFmtId="0" fontId="5" fillId="5" borderId="25" xfId="0" applyFont="1" applyFill="1" applyBorder="1" applyAlignment="1">
      <alignment horizontal="center" vertical="center" wrapText="1"/>
    </xf>
    <xf numFmtId="3" fontId="5" fillId="5" borderId="38" xfId="0" applyNumberFormat="1" applyFont="1" applyFill="1" applyBorder="1" applyAlignment="1">
      <alignment horizontal="center" vertical="center"/>
    </xf>
    <xf numFmtId="3" fontId="5" fillId="5" borderId="25" xfId="0" applyNumberFormat="1" applyFont="1" applyFill="1" applyBorder="1" applyAlignment="1">
      <alignment horizontal="center" vertical="center"/>
    </xf>
    <xf numFmtId="3" fontId="5" fillId="5" borderId="70" xfId="0" applyNumberFormat="1" applyFont="1" applyFill="1" applyBorder="1" applyAlignment="1">
      <alignment horizontal="center" vertical="center" wrapText="1"/>
    </xf>
    <xf numFmtId="3" fontId="5" fillId="5" borderId="33" xfId="0" applyNumberFormat="1" applyFont="1" applyFill="1" applyBorder="1" applyAlignment="1">
      <alignment horizontal="center" vertical="center" wrapText="1"/>
    </xf>
    <xf numFmtId="0" fontId="11" fillId="7" borderId="75" xfId="0" applyFont="1" applyFill="1" applyBorder="1" applyAlignment="1">
      <alignment horizontal="center" vertical="center" wrapText="1"/>
    </xf>
    <xf numFmtId="0" fontId="11" fillId="7" borderId="10" xfId="0" applyFont="1" applyFill="1" applyBorder="1" applyAlignment="1">
      <alignment horizontal="center" vertical="center" wrapText="1"/>
    </xf>
    <xf numFmtId="2" fontId="8" fillId="7" borderId="1" xfId="0" applyNumberFormat="1" applyFont="1" applyFill="1" applyBorder="1" applyAlignment="1">
      <alignment horizontal="center" vertical="center"/>
    </xf>
    <xf numFmtId="2" fontId="8" fillId="7" borderId="2" xfId="0" applyNumberFormat="1" applyFont="1" applyFill="1" applyBorder="1" applyAlignment="1">
      <alignment horizontal="center" vertical="center"/>
    </xf>
    <xf numFmtId="2" fontId="8" fillId="7" borderId="3" xfId="0" applyNumberFormat="1" applyFont="1" applyFill="1" applyBorder="1" applyAlignment="1">
      <alignment horizontal="center" vertical="center"/>
    </xf>
    <xf numFmtId="164" fontId="9" fillId="7" borderId="4" xfId="0" applyNumberFormat="1" applyFont="1" applyFill="1" applyBorder="1" applyAlignment="1">
      <alignment horizontal="center" vertical="center"/>
    </xf>
    <xf numFmtId="164" fontId="9" fillId="7" borderId="5" xfId="0" applyNumberFormat="1" applyFont="1" applyFill="1" applyBorder="1" applyAlignment="1">
      <alignment horizontal="center" vertical="center"/>
    </xf>
    <xf numFmtId="164" fontId="9" fillId="7" borderId="6" xfId="0" applyNumberFormat="1" applyFont="1" applyFill="1" applyBorder="1" applyAlignment="1">
      <alignment horizontal="center" vertical="center"/>
    </xf>
    <xf numFmtId="0" fontId="11" fillId="8"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166" fontId="10" fillId="2" borderId="7" xfId="0" applyNumberFormat="1" applyFont="1" applyFill="1" applyBorder="1" applyAlignment="1">
      <alignment horizontal="center" vertical="center"/>
    </xf>
    <xf numFmtId="166" fontId="10" fillId="12" borderId="7" xfId="0" applyNumberFormat="1" applyFont="1" applyFill="1" applyBorder="1" applyAlignment="1">
      <alignment horizontal="center" vertical="center"/>
    </xf>
    <xf numFmtId="9" fontId="10" fillId="12" borderId="7" xfId="2" applyFont="1" applyFill="1" applyBorder="1" applyAlignment="1">
      <alignment horizontal="center" vertical="center"/>
    </xf>
    <xf numFmtId="0" fontId="11" fillId="7" borderId="52" xfId="0" applyFont="1" applyFill="1" applyBorder="1" applyAlignment="1">
      <alignment horizontal="center" vertical="center" wrapText="1"/>
    </xf>
    <xf numFmtId="0" fontId="11" fillId="7" borderId="9" xfId="0" applyFont="1" applyFill="1" applyBorder="1" applyAlignment="1">
      <alignment horizontal="center" vertical="center" wrapText="1"/>
    </xf>
    <xf numFmtId="166" fontId="10" fillId="32" borderId="7" xfId="0" applyNumberFormat="1" applyFont="1" applyFill="1" applyBorder="1" applyAlignment="1">
      <alignment horizontal="center" vertical="center"/>
    </xf>
    <xf numFmtId="0" fontId="11" fillId="9" borderId="7" xfId="0" applyFont="1" applyFill="1" applyBorder="1" applyAlignment="1">
      <alignment horizontal="center" vertical="center"/>
    </xf>
    <xf numFmtId="2" fontId="9" fillId="7" borderId="7" xfId="0" applyNumberFormat="1" applyFont="1" applyFill="1" applyBorder="1" applyAlignment="1">
      <alignment horizontal="center" vertical="center" wrapText="1"/>
    </xf>
    <xf numFmtId="0" fontId="9" fillId="7" borderId="7" xfId="0" applyFont="1" applyFill="1" applyBorder="1" applyAlignment="1">
      <alignment horizontal="center" vertical="center" wrapText="1"/>
    </xf>
    <xf numFmtId="9" fontId="9" fillId="7" borderId="7" xfId="2" applyFont="1" applyFill="1" applyBorder="1" applyAlignment="1">
      <alignment horizontal="center" vertical="center" wrapText="1"/>
    </xf>
    <xf numFmtId="166" fontId="10" fillId="32" borderId="52" xfId="0" applyNumberFormat="1" applyFont="1" applyFill="1" applyBorder="1" applyAlignment="1">
      <alignment horizontal="center" vertical="center"/>
    </xf>
    <xf numFmtId="166" fontId="10" fillId="32" borderId="10" xfId="0" applyNumberFormat="1" applyFont="1" applyFill="1" applyBorder="1" applyAlignment="1">
      <alignment horizontal="center" vertical="center"/>
    </xf>
    <xf numFmtId="9" fontId="10" fillId="32" borderId="52" xfId="2" applyFont="1" applyFill="1" applyBorder="1" applyAlignment="1">
      <alignment horizontal="center" vertical="center"/>
    </xf>
    <xf numFmtId="9" fontId="10" fillId="32" borderId="10" xfId="2" applyFont="1" applyFill="1" applyBorder="1" applyAlignment="1">
      <alignment horizontal="center" vertical="center"/>
    </xf>
    <xf numFmtId="0" fontId="9" fillId="8" borderId="7" xfId="0" applyFont="1" applyFill="1" applyBorder="1" applyAlignment="1">
      <alignment horizontal="center" vertical="center" wrapText="1"/>
    </xf>
    <xf numFmtId="166" fontId="0" fillId="10" borderId="7" xfId="0" applyNumberFormat="1" applyFill="1" applyBorder="1" applyAlignment="1">
      <alignment horizontal="center" vertical="center"/>
    </xf>
    <xf numFmtId="0" fontId="0" fillId="10" borderId="7" xfId="0" applyFill="1" applyBorder="1" applyAlignment="1">
      <alignment horizontal="center" vertical="center"/>
    </xf>
    <xf numFmtId="170" fontId="0" fillId="10" borderId="7" xfId="0" applyNumberFormat="1" applyFill="1" applyBorder="1" applyAlignment="1">
      <alignment horizontal="center" vertical="center"/>
    </xf>
    <xf numFmtId="9" fontId="0" fillId="12" borderId="7" xfId="2" applyNumberFormat="1" applyFont="1" applyFill="1" applyBorder="1" applyAlignment="1">
      <alignment horizontal="center" vertical="center"/>
    </xf>
    <xf numFmtId="2" fontId="0" fillId="12" borderId="7" xfId="0" applyNumberFormat="1" applyFill="1" applyBorder="1" applyAlignment="1">
      <alignment horizontal="center" vertical="center"/>
    </xf>
    <xf numFmtId="9" fontId="10" fillId="12" borderId="7" xfId="2" applyNumberFormat="1" applyFont="1" applyFill="1" applyBorder="1" applyAlignment="1">
      <alignment horizontal="center" vertical="center"/>
    </xf>
    <xf numFmtId="0" fontId="4" fillId="23" borderId="74" xfId="0" applyFont="1" applyFill="1" applyBorder="1" applyAlignment="1">
      <alignment horizontal="center"/>
    </xf>
    <xf numFmtId="0" fontId="0" fillId="11" borderId="25" xfId="0" applyFill="1" applyBorder="1" applyAlignment="1">
      <alignment horizontal="center" vertical="center"/>
    </xf>
    <xf numFmtId="0" fontId="4" fillId="23" borderId="66" xfId="0" applyFont="1" applyFill="1" applyBorder="1" applyAlignment="1">
      <alignment horizontal="center"/>
    </xf>
    <xf numFmtId="0" fontId="4" fillId="23" borderId="67" xfId="0" applyFont="1" applyFill="1" applyBorder="1" applyAlignment="1">
      <alignment horizontal="center"/>
    </xf>
    <xf numFmtId="0" fontId="4" fillId="23" borderId="57" xfId="0" applyFont="1" applyFill="1" applyBorder="1" applyAlignment="1">
      <alignment horizontal="center"/>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0" fillId="32" borderId="7" xfId="0" applyFill="1" applyBorder="1" applyAlignment="1">
      <alignment horizontal="center" vertical="center"/>
    </xf>
    <xf numFmtId="170" fontId="0" fillId="32" borderId="7" xfId="0" applyNumberFormat="1" applyFill="1" applyBorder="1" applyAlignment="1">
      <alignment horizontal="center" vertical="center"/>
    </xf>
    <xf numFmtId="10" fontId="0" fillId="12" borderId="7" xfId="2" applyNumberFormat="1" applyFont="1" applyFill="1" applyBorder="1" applyAlignment="1">
      <alignment horizontal="center" vertical="center"/>
    </xf>
    <xf numFmtId="166" fontId="0" fillId="32" borderId="7" xfId="0" applyNumberFormat="1" applyFill="1" applyBorder="1" applyAlignment="1">
      <alignment horizontal="center" vertical="center"/>
    </xf>
    <xf numFmtId="9" fontId="2" fillId="27" borderId="25" xfId="2" applyFont="1" applyFill="1" applyBorder="1" applyAlignment="1">
      <alignment horizontal="center" vertical="center"/>
    </xf>
    <xf numFmtId="2" fontId="0" fillId="12" borderId="7" xfId="0" applyNumberFormat="1" applyFont="1" applyFill="1" applyBorder="1" applyAlignment="1">
      <alignment horizontal="center" vertical="center"/>
    </xf>
    <xf numFmtId="9" fontId="19" fillId="27" borderId="25" xfId="2" applyFont="1" applyFill="1" applyBorder="1" applyAlignment="1">
      <alignment horizontal="center" vertical="center"/>
    </xf>
    <xf numFmtId="9" fontId="9" fillId="7" borderId="75" xfId="2" applyFont="1" applyFill="1" applyBorder="1" applyAlignment="1">
      <alignment horizontal="center" vertical="center" wrapText="1"/>
    </xf>
    <xf numFmtId="9" fontId="9" fillId="7" borderId="10" xfId="2" applyFont="1" applyFill="1" applyBorder="1" applyAlignment="1">
      <alignment horizontal="center" vertical="center" wrapText="1"/>
    </xf>
    <xf numFmtId="164" fontId="8" fillId="9" borderId="1" xfId="0" applyNumberFormat="1" applyFont="1" applyFill="1" applyBorder="1" applyAlignment="1">
      <alignment horizontal="center" vertical="center"/>
    </xf>
    <xf numFmtId="164" fontId="8" fillId="9" borderId="2" xfId="0" applyNumberFormat="1" applyFont="1" applyFill="1" applyBorder="1" applyAlignment="1">
      <alignment horizontal="center" vertical="center"/>
    </xf>
    <xf numFmtId="164" fontId="8" fillId="9" borderId="3" xfId="0" applyNumberFormat="1" applyFont="1" applyFill="1" applyBorder="1" applyAlignment="1">
      <alignment horizontal="center" vertical="center"/>
    </xf>
    <xf numFmtId="164" fontId="17" fillId="9" borderId="4" xfId="0" applyNumberFormat="1" applyFont="1" applyFill="1" applyBorder="1" applyAlignment="1">
      <alignment horizontal="center" vertical="center"/>
    </xf>
    <xf numFmtId="164" fontId="17" fillId="9" borderId="5" xfId="0" applyNumberFormat="1" applyFont="1" applyFill="1" applyBorder="1" applyAlignment="1">
      <alignment horizontal="center" vertical="center"/>
    </xf>
    <xf numFmtId="164" fontId="17" fillId="9" borderId="6" xfId="0" applyNumberFormat="1" applyFont="1" applyFill="1" applyBorder="1" applyAlignment="1">
      <alignment horizontal="center" vertical="center"/>
    </xf>
    <xf numFmtId="0" fontId="19" fillId="4" borderId="25" xfId="0" applyFont="1" applyFill="1" applyBorder="1" applyAlignment="1">
      <alignment horizontal="center" vertical="center"/>
    </xf>
    <xf numFmtId="0" fontId="0" fillId="16" borderId="24" xfId="0" applyFont="1" applyFill="1" applyBorder="1" applyAlignment="1">
      <alignment horizontal="center" vertical="center"/>
    </xf>
    <xf numFmtId="0" fontId="0" fillId="16" borderId="25" xfId="0" applyFont="1" applyFill="1" applyBorder="1" applyAlignment="1">
      <alignment horizontal="center" vertical="center"/>
    </xf>
    <xf numFmtId="4" fontId="0" fillId="16" borderId="25" xfId="0" applyNumberFormat="1" applyFont="1" applyFill="1" applyBorder="1" applyAlignment="1">
      <alignment horizontal="center" vertical="center"/>
    </xf>
    <xf numFmtId="9" fontId="1" fillId="11" borderId="33" xfId="2" applyFont="1" applyFill="1" applyBorder="1" applyAlignment="1">
      <alignment horizontal="center" vertical="center"/>
    </xf>
    <xf numFmtId="9" fontId="1" fillId="32" borderId="33" xfId="2" applyFont="1" applyFill="1" applyBorder="1" applyAlignment="1">
      <alignment horizontal="center" vertical="center"/>
    </xf>
    <xf numFmtId="0" fontId="19" fillId="27" borderId="25" xfId="0" applyFont="1" applyFill="1" applyBorder="1" applyAlignment="1">
      <alignment horizontal="center" vertical="center"/>
    </xf>
    <xf numFmtId="0" fontId="0" fillId="32" borderId="24" xfId="0" applyFont="1" applyFill="1" applyBorder="1" applyAlignment="1">
      <alignment horizontal="center" vertical="center"/>
    </xf>
    <xf numFmtId="166" fontId="0" fillId="32" borderId="25" xfId="0" applyNumberFormat="1" applyFont="1" applyFill="1" applyBorder="1" applyAlignment="1">
      <alignment horizontal="center" vertical="center"/>
    </xf>
    <xf numFmtId="0" fontId="0" fillId="32" borderId="25" xfId="0" applyFont="1" applyFill="1" applyBorder="1" applyAlignment="1">
      <alignment horizontal="center" vertical="center"/>
    </xf>
    <xf numFmtId="4" fontId="0" fillId="32" borderId="25" xfId="0" applyNumberFormat="1" applyFont="1" applyFill="1" applyBorder="1" applyAlignment="1">
      <alignment horizontal="center" vertical="center"/>
    </xf>
    <xf numFmtId="0" fontId="0" fillId="30" borderId="25" xfId="0" applyFill="1" applyBorder="1" applyAlignment="1">
      <alignment horizontal="center"/>
    </xf>
    <xf numFmtId="176" fontId="11" fillId="14" borderId="56" xfId="2" applyNumberFormat="1" applyFont="1" applyFill="1" applyBorder="1" applyAlignment="1">
      <alignment horizontal="center" vertical="center" wrapText="1"/>
    </xf>
    <xf numFmtId="176" fontId="11" fillId="14" borderId="43" xfId="2" applyNumberFormat="1" applyFont="1" applyFill="1" applyBorder="1" applyAlignment="1">
      <alignment horizontal="center" vertical="center" wrapText="1"/>
    </xf>
    <xf numFmtId="0" fontId="4" fillId="9" borderId="71" xfId="0" applyFont="1" applyFill="1" applyBorder="1" applyAlignment="1">
      <alignment horizontal="center" vertical="center"/>
    </xf>
    <xf numFmtId="0" fontId="4" fillId="9" borderId="57"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62" xfId="0" applyFont="1" applyFill="1" applyBorder="1" applyAlignment="1">
      <alignment horizontal="center" vertical="center"/>
    </xf>
    <xf numFmtId="176" fontId="4" fillId="14" borderId="51" xfId="0" applyNumberFormat="1" applyFont="1" applyFill="1" applyBorder="1" applyAlignment="1">
      <alignment horizontal="center" vertical="center"/>
    </xf>
    <xf numFmtId="176" fontId="4" fillId="14" borderId="45" xfId="0" applyNumberFormat="1" applyFont="1" applyFill="1" applyBorder="1" applyAlignment="1">
      <alignment horizontal="center" vertical="center"/>
    </xf>
    <xf numFmtId="176" fontId="4" fillId="14" borderId="52" xfId="0" applyNumberFormat="1" applyFont="1" applyFill="1" applyBorder="1" applyAlignment="1">
      <alignment horizontal="center" vertical="center"/>
    </xf>
    <xf numFmtId="176" fontId="4" fillId="14" borderId="46" xfId="0" applyNumberFormat="1" applyFont="1" applyFill="1" applyBorder="1" applyAlignment="1">
      <alignment horizontal="center" vertical="center"/>
    </xf>
    <xf numFmtId="4" fontId="2" fillId="32" borderId="25" xfId="0" applyNumberFormat="1" applyFont="1" applyFill="1" applyBorder="1" applyAlignment="1">
      <alignment horizontal="center" vertical="center"/>
    </xf>
    <xf numFmtId="0" fontId="2" fillId="32" borderId="25" xfId="0" applyFont="1" applyFill="1" applyBorder="1" applyAlignment="1">
      <alignment horizontal="center" vertical="center"/>
    </xf>
    <xf numFmtId="9" fontId="2" fillId="32" borderId="33" xfId="2" applyFont="1" applyFill="1" applyBorder="1" applyAlignment="1">
      <alignment horizontal="center" vertical="center"/>
    </xf>
    <xf numFmtId="171" fontId="0" fillId="32" borderId="25" xfId="2" applyNumberFormat="1" applyFont="1" applyFill="1" applyBorder="1" applyAlignment="1">
      <alignment horizontal="center" vertical="center"/>
    </xf>
    <xf numFmtId="171" fontId="0" fillId="0" borderId="25" xfId="2" applyNumberFormat="1" applyFont="1" applyFill="1" applyBorder="1" applyAlignment="1">
      <alignment horizontal="center" vertical="center"/>
    </xf>
    <xf numFmtId="9" fontId="0" fillId="0" borderId="25" xfId="2" applyFont="1" applyFill="1" applyBorder="1" applyAlignment="1">
      <alignment horizontal="center" vertical="center"/>
    </xf>
    <xf numFmtId="0" fontId="19" fillId="5" borderId="75"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75" xfId="0" applyFont="1" applyFill="1" applyBorder="1" applyAlignment="1">
      <alignment horizontal="center" wrapText="1"/>
    </xf>
    <xf numFmtId="0" fontId="19" fillId="5" borderId="10" xfId="0" applyFont="1" applyFill="1" applyBorder="1" applyAlignment="1">
      <alignment horizontal="center" wrapText="1"/>
    </xf>
    <xf numFmtId="0" fontId="19" fillId="5" borderId="75"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2" fillId="5" borderId="75" xfId="0" applyFont="1" applyFill="1" applyBorder="1" applyAlignment="1">
      <alignment horizontal="center" vertical="center" wrapText="1"/>
    </xf>
    <xf numFmtId="0" fontId="2" fillId="5" borderId="10" xfId="0" applyFont="1" applyFill="1" applyBorder="1" applyAlignment="1">
      <alignment horizontal="center" vertical="center" wrapText="1"/>
    </xf>
    <xf numFmtId="166" fontId="19" fillId="27" borderId="75" xfId="0" applyNumberFormat="1" applyFont="1" applyFill="1" applyBorder="1" applyAlignment="1">
      <alignment horizontal="center" vertical="center"/>
    </xf>
    <xf numFmtId="166" fontId="19" fillId="27" borderId="10" xfId="0" applyNumberFormat="1" applyFont="1" applyFill="1" applyBorder="1" applyAlignment="1">
      <alignment horizontal="center" vertical="center"/>
    </xf>
    <xf numFmtId="0" fontId="0" fillId="5" borderId="25" xfId="0" applyFont="1" applyFill="1" applyBorder="1" applyAlignment="1">
      <alignment horizontal="center" vertical="center"/>
    </xf>
    <xf numFmtId="0" fontId="0" fillId="5" borderId="75" xfId="0" applyFont="1" applyFill="1" applyBorder="1" applyAlignment="1">
      <alignment horizontal="center" vertical="center"/>
    </xf>
    <xf numFmtId="166" fontId="19" fillId="0" borderId="74" xfId="0" applyNumberFormat="1" applyFont="1" applyFill="1" applyBorder="1" applyAlignment="1">
      <alignment horizontal="center" vertical="center"/>
    </xf>
    <xf numFmtId="166" fontId="19" fillId="0" borderId="75" xfId="0" applyNumberFormat="1" applyFont="1" applyFill="1" applyBorder="1" applyAlignment="1">
      <alignment horizontal="center" vertical="center"/>
    </xf>
    <xf numFmtId="166" fontId="0" fillId="0" borderId="25" xfId="0" applyNumberFormat="1" applyFont="1" applyFill="1" applyBorder="1" applyAlignment="1">
      <alignment horizontal="center" vertical="center"/>
    </xf>
    <xf numFmtId="0" fontId="0" fillId="5" borderId="25" xfId="0" applyFont="1" applyFill="1" applyBorder="1" applyAlignment="1">
      <alignment horizontal="center" vertical="center" wrapText="1"/>
    </xf>
    <xf numFmtId="177" fontId="19" fillId="5" borderId="25" xfId="0" applyNumberFormat="1" applyFont="1" applyFill="1" applyBorder="1" applyAlignment="1">
      <alignment horizontal="center" vertical="center"/>
    </xf>
    <xf numFmtId="166" fontId="19" fillId="27" borderId="25" xfId="0" applyNumberFormat="1" applyFont="1" applyFill="1" applyBorder="1" applyAlignment="1">
      <alignment horizontal="center" vertical="center"/>
    </xf>
    <xf numFmtId="166" fontId="0" fillId="0" borderId="25" xfId="2" applyNumberFormat="1" applyFont="1" applyFill="1" applyBorder="1" applyAlignment="1">
      <alignment horizontal="center" vertical="center"/>
    </xf>
    <xf numFmtId="170" fontId="19" fillId="27" borderId="25" xfId="0" applyNumberFormat="1" applyFont="1" applyFill="1" applyBorder="1" applyAlignment="1">
      <alignment horizontal="center" vertical="center" wrapText="1"/>
    </xf>
    <xf numFmtId="0" fontId="19" fillId="27" borderId="25" xfId="0" applyFont="1" applyFill="1" applyBorder="1" applyAlignment="1">
      <alignment horizontal="center" vertical="center" wrapText="1"/>
    </xf>
    <xf numFmtId="166" fontId="19" fillId="27" borderId="74" xfId="0" applyNumberFormat="1" applyFont="1" applyFill="1" applyBorder="1" applyAlignment="1">
      <alignment horizontal="center" vertical="center"/>
    </xf>
    <xf numFmtId="9" fontId="19" fillId="0" borderId="27" xfId="2" applyFont="1" applyFill="1" applyBorder="1" applyAlignment="1">
      <alignment horizontal="center" vertical="center"/>
    </xf>
    <xf numFmtId="9" fontId="19" fillId="0" borderId="66" xfId="2" applyFont="1" applyFill="1" applyBorder="1" applyAlignment="1">
      <alignment horizontal="center" vertical="center"/>
    </xf>
    <xf numFmtId="0" fontId="22" fillId="19" borderId="74" xfId="0" applyFont="1" applyFill="1" applyBorder="1" applyAlignment="1">
      <alignment horizontal="center" vertical="center" wrapText="1"/>
    </xf>
    <xf numFmtId="1" fontId="22" fillId="19" borderId="66" xfId="0" applyNumberFormat="1" applyFont="1" applyFill="1" applyBorder="1" applyAlignment="1">
      <alignment horizontal="center" vertical="center" wrapText="1"/>
    </xf>
    <xf numFmtId="1" fontId="22" fillId="19" borderId="18" xfId="0" applyNumberFormat="1" applyFont="1" applyFill="1" applyBorder="1" applyAlignment="1">
      <alignment horizontal="center" vertical="center" wrapText="1"/>
    </xf>
    <xf numFmtId="166" fontId="22" fillId="22" borderId="74" xfId="0" applyNumberFormat="1" applyFont="1" applyFill="1" applyBorder="1" applyAlignment="1">
      <alignment horizontal="center" vertical="center" wrapText="1"/>
    </xf>
    <xf numFmtId="10" fontId="22" fillId="22" borderId="27" xfId="2" applyNumberFormat="1" applyFont="1" applyFill="1" applyBorder="1" applyAlignment="1">
      <alignment horizontal="center" vertical="center" wrapText="1"/>
    </xf>
    <xf numFmtId="0" fontId="0" fillId="12" borderId="25" xfId="0" applyFont="1" applyFill="1" applyBorder="1" applyAlignment="1">
      <alignment horizontal="center" vertical="center"/>
    </xf>
    <xf numFmtId="0" fontId="0" fillId="12" borderId="8" xfId="0" applyFont="1" applyFill="1" applyBorder="1" applyAlignment="1">
      <alignment horizontal="center" vertical="center"/>
    </xf>
    <xf numFmtId="0" fontId="19" fillId="5" borderId="9" xfId="0" applyFont="1" applyFill="1" applyBorder="1" applyAlignment="1">
      <alignment horizontal="center" vertical="center"/>
    </xf>
    <xf numFmtId="0" fontId="0" fillId="12" borderId="52" xfId="0" applyFont="1" applyFill="1" applyBorder="1" applyAlignment="1">
      <alignment horizontal="center" vertical="center"/>
    </xf>
    <xf numFmtId="0" fontId="0" fillId="12" borderId="10" xfId="0" applyFont="1" applyFill="1" applyBorder="1" applyAlignment="1">
      <alignment horizontal="center" vertical="center"/>
    </xf>
    <xf numFmtId="9" fontId="19" fillId="27" borderId="75" xfId="2" applyFont="1" applyFill="1" applyBorder="1" applyAlignment="1">
      <alignment horizontal="center" vertical="center"/>
    </xf>
    <xf numFmtId="9" fontId="19" fillId="27" borderId="10" xfId="2" applyFont="1" applyFill="1" applyBorder="1" applyAlignment="1">
      <alignment horizontal="center" vertical="center"/>
    </xf>
    <xf numFmtId="9" fontId="19" fillId="27" borderId="74" xfId="2" applyFont="1" applyFill="1" applyBorder="1" applyAlignment="1">
      <alignment horizontal="center" vertical="center"/>
    </xf>
    <xf numFmtId="166" fontId="22" fillId="19" borderId="25" xfId="0" applyNumberFormat="1" applyFont="1" applyFill="1" applyBorder="1" applyAlignment="1">
      <alignment horizontal="center" vertical="center" wrapText="1"/>
    </xf>
    <xf numFmtId="173" fontId="22" fillId="19" borderId="25" xfId="2" applyNumberFormat="1" applyFont="1" applyFill="1" applyBorder="1" applyAlignment="1">
      <alignment horizontal="center" vertical="center" wrapText="1"/>
    </xf>
    <xf numFmtId="0" fontId="0" fillId="5" borderId="10" xfId="0" applyFont="1" applyFill="1" applyBorder="1" applyAlignment="1">
      <alignment horizontal="center" vertical="center"/>
    </xf>
    <xf numFmtId="1" fontId="22" fillId="19" borderId="25" xfId="0" applyNumberFormat="1" applyFont="1" applyFill="1" applyBorder="1" applyAlignment="1">
      <alignment horizontal="center" vertical="center" wrapText="1"/>
    </xf>
    <xf numFmtId="0" fontId="19" fillId="5" borderId="25" xfId="0" applyFont="1" applyFill="1" applyBorder="1" applyAlignment="1">
      <alignment horizontal="center" vertical="center" wrapText="1"/>
    </xf>
    <xf numFmtId="166" fontId="19" fillId="27" borderId="52" xfId="0" applyNumberFormat="1" applyFont="1" applyFill="1" applyBorder="1" applyAlignment="1">
      <alignment horizontal="center" vertical="center"/>
    </xf>
    <xf numFmtId="9" fontId="19" fillId="27" borderId="25" xfId="2" applyFont="1" applyFill="1" applyBorder="1" applyAlignment="1">
      <alignment horizontal="center" vertical="center" wrapText="1"/>
    </xf>
    <xf numFmtId="0" fontId="2" fillId="5" borderId="25" xfId="0" applyFont="1" applyFill="1" applyBorder="1" applyAlignment="1">
      <alignment horizontal="center" vertical="center" wrapText="1"/>
    </xf>
    <xf numFmtId="166" fontId="19" fillId="27" borderId="25" xfId="0" applyNumberFormat="1" applyFont="1" applyFill="1" applyBorder="1" applyAlignment="1">
      <alignment horizontal="center" vertical="center" wrapText="1"/>
    </xf>
    <xf numFmtId="0" fontId="0" fillId="5" borderId="25" xfId="0" applyFill="1" applyBorder="1" applyAlignment="1">
      <alignment horizontal="center" vertical="center" wrapText="1"/>
    </xf>
    <xf numFmtId="9" fontId="19" fillId="27" borderId="66" xfId="2" applyFont="1" applyFill="1" applyBorder="1" applyAlignment="1">
      <alignment horizontal="center" vertical="center"/>
    </xf>
    <xf numFmtId="9" fontId="19" fillId="27" borderId="18" xfId="2" applyFont="1" applyFill="1" applyBorder="1" applyAlignment="1">
      <alignment horizontal="center" vertical="center"/>
    </xf>
    <xf numFmtId="0" fontId="22" fillId="19" borderId="25" xfId="0" applyFont="1" applyFill="1" applyBorder="1" applyAlignment="1">
      <alignment horizontal="center" vertical="center" textRotation="90"/>
    </xf>
    <xf numFmtId="10" fontId="22" fillId="22" borderId="25" xfId="2" applyNumberFormat="1" applyFont="1" applyFill="1" applyBorder="1" applyAlignment="1">
      <alignment horizontal="center" vertical="center" wrapText="1"/>
    </xf>
    <xf numFmtId="0" fontId="19" fillId="5" borderId="57" xfId="0" applyFont="1" applyFill="1" applyBorder="1" applyAlignment="1">
      <alignment horizontal="center" vertical="center" wrapText="1"/>
    </xf>
    <xf numFmtId="0" fontId="19" fillId="5" borderId="20" xfId="0" applyFont="1" applyFill="1" applyBorder="1" applyAlignment="1">
      <alignment horizontal="center" vertical="center" wrapText="1"/>
    </xf>
    <xf numFmtId="166" fontId="0" fillId="27" borderId="25" xfId="2" applyNumberFormat="1" applyFont="1" applyFill="1" applyBorder="1" applyAlignment="1">
      <alignment horizontal="center" vertical="center"/>
    </xf>
    <xf numFmtId="166" fontId="0" fillId="27" borderId="25" xfId="0" applyNumberFormat="1" applyFont="1" applyFill="1" applyBorder="1" applyAlignment="1">
      <alignment horizontal="center" vertical="center"/>
    </xf>
    <xf numFmtId="9" fontId="0" fillId="27" borderId="25" xfId="2" applyFont="1" applyFill="1" applyBorder="1" applyAlignment="1">
      <alignment horizontal="center" vertical="center"/>
    </xf>
    <xf numFmtId="0" fontId="22" fillId="19" borderId="25" xfId="0" applyFont="1" applyFill="1" applyBorder="1" applyAlignment="1">
      <alignment horizontal="center" vertical="center" wrapText="1"/>
    </xf>
    <xf numFmtId="166" fontId="22" fillId="22" borderId="25" xfId="0" applyNumberFormat="1" applyFont="1" applyFill="1" applyBorder="1" applyAlignment="1">
      <alignment horizontal="center" vertical="center" wrapText="1"/>
    </xf>
    <xf numFmtId="0" fontId="19" fillId="5" borderId="63" xfId="0" applyFont="1" applyFill="1" applyBorder="1" applyAlignment="1">
      <alignment horizontal="center" vertical="center" wrapText="1"/>
    </xf>
    <xf numFmtId="166" fontId="42" fillId="35" borderId="25" xfId="0" applyNumberFormat="1" applyFont="1" applyFill="1" applyBorder="1" applyAlignment="1">
      <alignment horizontal="center" vertical="center"/>
    </xf>
    <xf numFmtId="166" fontId="19" fillId="35" borderId="25" xfId="0" applyNumberFormat="1" applyFont="1" applyFill="1" applyBorder="1" applyAlignment="1">
      <alignment horizontal="center" vertical="center"/>
    </xf>
    <xf numFmtId="173" fontId="22" fillId="22" borderId="25" xfId="2" applyNumberFormat="1" applyFont="1" applyFill="1" applyBorder="1" applyAlignment="1">
      <alignment horizontal="center" vertical="center" wrapText="1"/>
    </xf>
    <xf numFmtId="166" fontId="19" fillId="2" borderId="25" xfId="0" applyNumberFormat="1" applyFont="1" applyFill="1" applyBorder="1" applyAlignment="1">
      <alignment horizontal="center" vertical="center"/>
    </xf>
    <xf numFmtId="9" fontId="19" fillId="2" borderId="25" xfId="2" applyFont="1" applyFill="1" applyBorder="1" applyAlignment="1">
      <alignment horizontal="center" vertical="center"/>
    </xf>
    <xf numFmtId="0" fontId="19" fillId="5" borderId="52" xfId="0" applyFont="1" applyFill="1" applyBorder="1" applyAlignment="1">
      <alignment horizontal="center" vertical="center" wrapText="1"/>
    </xf>
    <xf numFmtId="0" fontId="0" fillId="5" borderId="52" xfId="0" applyFont="1" applyFill="1" applyBorder="1" applyAlignment="1">
      <alignment horizontal="center" vertical="center"/>
    </xf>
    <xf numFmtId="0" fontId="19" fillId="12" borderId="25" xfId="0" applyFont="1" applyFill="1" applyBorder="1" applyAlignment="1">
      <alignment horizontal="center" vertical="center"/>
    </xf>
    <xf numFmtId="166" fontId="19" fillId="12" borderId="25" xfId="0" applyNumberFormat="1" applyFont="1" applyFill="1" applyBorder="1" applyAlignment="1">
      <alignment horizontal="center" vertical="center"/>
    </xf>
    <xf numFmtId="9" fontId="19" fillId="12" borderId="25" xfId="2" applyFont="1" applyFill="1" applyBorder="1" applyAlignment="1">
      <alignment horizontal="center" vertical="center"/>
    </xf>
    <xf numFmtId="0" fontId="19" fillId="12" borderId="25" xfId="0" applyFont="1" applyFill="1" applyBorder="1" applyAlignment="1">
      <alignment horizontal="center" vertical="center" wrapText="1"/>
    </xf>
    <xf numFmtId="164" fontId="25" fillId="22" borderId="1" xfId="0" applyNumberFormat="1" applyFont="1" applyFill="1" applyBorder="1" applyAlignment="1">
      <alignment horizontal="center" vertical="center"/>
    </xf>
    <xf numFmtId="164" fontId="25" fillId="22" borderId="2" xfId="0" applyNumberFormat="1" applyFont="1" applyFill="1" applyBorder="1" applyAlignment="1">
      <alignment horizontal="center" vertical="center"/>
    </xf>
    <xf numFmtId="164" fontId="25" fillId="22" borderId="3" xfId="0" applyNumberFormat="1" applyFont="1" applyFill="1" applyBorder="1" applyAlignment="1">
      <alignment horizontal="center" vertical="center"/>
    </xf>
    <xf numFmtId="164" fontId="8" fillId="22" borderId="4" xfId="0" applyNumberFormat="1" applyFont="1" applyFill="1" applyBorder="1" applyAlignment="1">
      <alignment horizontal="center" vertical="center"/>
    </xf>
    <xf numFmtId="164" fontId="8" fillId="22" borderId="5" xfId="0" applyNumberFormat="1" applyFont="1" applyFill="1" applyBorder="1" applyAlignment="1">
      <alignment horizontal="center" vertical="center"/>
    </xf>
    <xf numFmtId="164" fontId="8" fillId="22" borderId="6" xfId="0" applyNumberFormat="1" applyFont="1" applyFill="1" applyBorder="1" applyAlignment="1">
      <alignment horizontal="center" vertical="center"/>
    </xf>
    <xf numFmtId="0" fontId="22" fillId="19" borderId="25" xfId="0" applyFont="1" applyFill="1" applyBorder="1" applyAlignment="1">
      <alignment horizontal="center" vertical="center" textRotation="90" wrapText="1"/>
    </xf>
    <xf numFmtId="0" fontId="22" fillId="19" borderId="52" xfId="0" applyFont="1" applyFill="1" applyBorder="1" applyAlignment="1">
      <alignment horizontal="center" vertical="center" textRotation="90" wrapText="1"/>
    </xf>
    <xf numFmtId="9" fontId="42" fillId="35" borderId="25" xfId="2" applyFont="1" applyFill="1" applyBorder="1" applyAlignment="1">
      <alignment horizontal="center" vertical="center"/>
    </xf>
    <xf numFmtId="171" fontId="0" fillId="27" borderId="25" xfId="2" applyNumberFormat="1" applyFont="1" applyFill="1" applyBorder="1" applyAlignment="1">
      <alignment horizontal="center" vertical="center"/>
    </xf>
    <xf numFmtId="9" fontId="0" fillId="2" borderId="25" xfId="2" applyFont="1" applyFill="1" applyBorder="1" applyAlignment="1">
      <alignment horizontal="center" vertical="center"/>
    </xf>
    <xf numFmtId="9" fontId="0" fillId="10" borderId="0" xfId="2" applyFont="1" applyFill="1" applyBorder="1" applyAlignment="1">
      <alignment horizontal="center" vertical="center"/>
    </xf>
    <xf numFmtId="171" fontId="0" fillId="0" borderId="74" xfId="2" applyNumberFormat="1" applyFont="1" applyFill="1" applyBorder="1" applyAlignment="1">
      <alignment horizontal="center" vertical="center"/>
    </xf>
    <xf numFmtId="171" fontId="0" fillId="0" borderId="75" xfId="2" applyNumberFormat="1" applyFont="1" applyFill="1" applyBorder="1" applyAlignment="1">
      <alignment horizontal="center" vertical="center"/>
    </xf>
    <xf numFmtId="173" fontId="22" fillId="10" borderId="0" xfId="2" applyNumberFormat="1" applyFont="1" applyFill="1" applyBorder="1" applyAlignment="1">
      <alignment horizontal="center" vertical="center"/>
    </xf>
    <xf numFmtId="0" fontId="49" fillId="2" borderId="27" xfId="0" applyFont="1" applyFill="1" applyBorder="1" applyAlignment="1">
      <alignment horizontal="left" vertical="center"/>
    </xf>
    <xf numFmtId="0" fontId="49" fillId="2" borderId="53" xfId="0" applyFont="1" applyFill="1" applyBorder="1" applyAlignment="1">
      <alignment horizontal="left" vertical="center"/>
    </xf>
    <xf numFmtId="0" fontId="50" fillId="12" borderId="27" xfId="0" applyFont="1" applyFill="1" applyBorder="1" applyAlignment="1">
      <alignment horizontal="center"/>
    </xf>
    <xf numFmtId="0" fontId="50" fillId="12" borderId="53" xfId="0" applyFont="1" applyFill="1" applyBorder="1" applyAlignment="1">
      <alignment horizontal="center"/>
    </xf>
    <xf numFmtId="0" fontId="22" fillId="19" borderId="52" xfId="0" applyFont="1" applyFill="1" applyBorder="1" applyAlignment="1">
      <alignment horizontal="center" vertical="center" wrapText="1"/>
    </xf>
    <xf numFmtId="0" fontId="22" fillId="19" borderId="10" xfId="0" applyFont="1" applyFill="1" applyBorder="1" applyAlignment="1">
      <alignment horizontal="center" vertical="center" wrapText="1"/>
    </xf>
    <xf numFmtId="0" fontId="22" fillId="19" borderId="66"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22" fillId="19" borderId="52" xfId="0" applyFont="1" applyFill="1" applyBorder="1" applyAlignment="1">
      <alignment horizontal="center" vertical="center"/>
    </xf>
    <xf numFmtId="0" fontId="22" fillId="19" borderId="10" xfId="0" applyFont="1" applyFill="1" applyBorder="1" applyAlignment="1">
      <alignment horizontal="center" vertical="center"/>
    </xf>
    <xf numFmtId="0" fontId="0" fillId="5" borderId="8" xfId="0" applyFont="1" applyFill="1" applyBorder="1" applyAlignment="1">
      <alignment horizontal="center" vertical="center"/>
    </xf>
    <xf numFmtId="0" fontId="22" fillId="19" borderId="57" xfId="0" applyFont="1" applyFill="1" applyBorder="1" applyAlignment="1">
      <alignment horizontal="center" vertical="center" wrapText="1"/>
    </xf>
    <xf numFmtId="0" fontId="22" fillId="19" borderId="20" xfId="0" applyFont="1" applyFill="1" applyBorder="1" applyAlignment="1">
      <alignment horizontal="center" vertical="center" wrapText="1"/>
    </xf>
    <xf numFmtId="0" fontId="22" fillId="19" borderId="27" xfId="0" applyFont="1" applyFill="1" applyBorder="1" applyAlignment="1">
      <alignment horizontal="center" vertical="center" wrapText="1"/>
    </xf>
    <xf numFmtId="0" fontId="22" fillId="19" borderId="53" xfId="0" applyFont="1" applyFill="1" applyBorder="1" applyAlignment="1">
      <alignment horizontal="center" vertical="center" wrapText="1"/>
    </xf>
    <xf numFmtId="0" fontId="22" fillId="19" borderId="41" xfId="0" applyFont="1" applyFill="1" applyBorder="1" applyAlignment="1">
      <alignment horizontal="center" vertical="center" textRotation="90"/>
    </xf>
    <xf numFmtId="0" fontId="22" fillId="19" borderId="24" xfId="0" applyFont="1" applyFill="1" applyBorder="1" applyAlignment="1">
      <alignment horizontal="center" vertical="center" textRotation="90"/>
    </xf>
    <xf numFmtId="0" fontId="22" fillId="19" borderId="51" xfId="0" applyFont="1" applyFill="1" applyBorder="1" applyAlignment="1">
      <alignment horizontal="center" vertical="center" textRotation="90"/>
    </xf>
    <xf numFmtId="9" fontId="3" fillId="0" borderId="32" xfId="2" applyFont="1" applyFill="1" applyBorder="1" applyAlignment="1">
      <alignment horizontal="center" vertical="center"/>
    </xf>
    <xf numFmtId="9" fontId="3" fillId="0" borderId="42" xfId="2" applyFont="1" applyFill="1" applyBorder="1" applyAlignment="1">
      <alignment horizontal="center" vertical="center"/>
    </xf>
    <xf numFmtId="0" fontId="9" fillId="9" borderId="66" xfId="0" applyFont="1" applyFill="1" applyBorder="1" applyAlignment="1">
      <alignment horizontal="center" vertical="center" wrapText="1"/>
    </xf>
    <xf numFmtId="0" fontId="9" fillId="9" borderId="67" xfId="0" applyFont="1" applyFill="1" applyBorder="1" applyAlignment="1">
      <alignment horizontal="center" vertical="center" wrapText="1"/>
    </xf>
    <xf numFmtId="0" fontId="9" fillId="9" borderId="57" xfId="0" applyFont="1" applyFill="1" applyBorder="1" applyAlignment="1">
      <alignment horizontal="center" vertical="center" wrapText="1"/>
    </xf>
    <xf numFmtId="0" fontId="9" fillId="9" borderId="69"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63"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68" xfId="0" applyFont="1" applyFill="1" applyBorder="1" applyAlignment="1">
      <alignment horizontal="center" vertical="center" wrapText="1"/>
    </xf>
    <xf numFmtId="0" fontId="9" fillId="9" borderId="53"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23" fillId="14" borderId="25" xfId="0" applyFont="1" applyFill="1" applyBorder="1" applyAlignment="1">
      <alignment horizontal="center" vertical="center" wrapText="1"/>
    </xf>
    <xf numFmtId="173" fontId="22" fillId="14" borderId="32" xfId="2" applyNumberFormat="1" applyFont="1" applyFill="1" applyBorder="1" applyAlignment="1">
      <alignment horizontal="center" vertical="center"/>
    </xf>
    <xf numFmtId="173" fontId="22" fillId="14" borderId="47" xfId="2" applyNumberFormat="1" applyFont="1" applyFill="1" applyBorder="1" applyAlignment="1">
      <alignment horizontal="center" vertical="center"/>
    </xf>
    <xf numFmtId="43" fontId="23" fillId="9" borderId="1" xfId="0" applyNumberFormat="1" applyFont="1" applyFill="1" applyBorder="1" applyAlignment="1">
      <alignment horizontal="center" vertical="center" wrapText="1"/>
    </xf>
    <xf numFmtId="43" fontId="23" fillId="9" borderId="2" xfId="0" applyNumberFormat="1" applyFont="1" applyFill="1" applyBorder="1" applyAlignment="1">
      <alignment horizontal="center" vertical="center" wrapText="1"/>
    </xf>
    <xf numFmtId="43" fontId="23" fillId="9" borderId="3" xfId="0" applyNumberFormat="1" applyFont="1" applyFill="1" applyBorder="1" applyAlignment="1">
      <alignment horizontal="center" vertical="center" wrapText="1"/>
    </xf>
    <xf numFmtId="43" fontId="23" fillId="9" borderId="4" xfId="0" applyNumberFormat="1" applyFont="1" applyFill="1" applyBorder="1" applyAlignment="1">
      <alignment horizontal="center" vertical="center" wrapText="1"/>
    </xf>
    <xf numFmtId="43" fontId="23" fillId="9" borderId="5" xfId="0" applyNumberFormat="1" applyFont="1" applyFill="1" applyBorder="1" applyAlignment="1">
      <alignment horizontal="center" vertical="center" wrapText="1"/>
    </xf>
    <xf numFmtId="43" fontId="23" fillId="9" borderId="6" xfId="0" applyNumberFormat="1" applyFont="1" applyFill="1" applyBorder="1" applyAlignment="1">
      <alignment horizontal="center" vertical="center" wrapText="1"/>
    </xf>
    <xf numFmtId="166" fontId="22" fillId="14" borderId="40" xfId="0" applyNumberFormat="1" applyFont="1" applyFill="1" applyBorder="1" applyAlignment="1">
      <alignment horizontal="center" vertical="center"/>
    </xf>
    <xf numFmtId="166" fontId="22" fillId="14" borderId="55" xfId="0" applyNumberFormat="1" applyFont="1" applyFill="1" applyBorder="1" applyAlignment="1">
      <alignment horizontal="center" vertical="center"/>
    </xf>
    <xf numFmtId="166" fontId="22" fillId="14" borderId="44" xfId="0" applyNumberFormat="1" applyFont="1" applyFill="1" applyBorder="1" applyAlignment="1">
      <alignment horizontal="center" vertical="center"/>
    </xf>
    <xf numFmtId="166" fontId="22" fillId="14" borderId="46" xfId="0" applyNumberFormat="1" applyFont="1" applyFill="1" applyBorder="1" applyAlignment="1">
      <alignment horizontal="center" vertical="center"/>
    </xf>
    <xf numFmtId="166" fontId="22" fillId="14" borderId="38" xfId="0" applyNumberFormat="1" applyFont="1" applyFill="1" applyBorder="1" applyAlignment="1">
      <alignment horizontal="center" vertical="center"/>
    </xf>
    <xf numFmtId="166" fontId="22" fillId="14" borderId="30" xfId="0" applyNumberFormat="1" applyFont="1" applyFill="1" applyBorder="1" applyAlignment="1">
      <alignment horizontal="center" vertical="center"/>
    </xf>
    <xf numFmtId="176" fontId="22" fillId="14" borderId="32" xfId="0" applyNumberFormat="1" applyFont="1" applyFill="1" applyBorder="1" applyAlignment="1">
      <alignment horizontal="center" vertical="center"/>
    </xf>
    <xf numFmtId="176" fontId="22" fillId="14" borderId="47" xfId="0" applyNumberFormat="1" applyFont="1" applyFill="1" applyBorder="1" applyAlignment="1">
      <alignment horizontal="center" vertical="center"/>
    </xf>
    <xf numFmtId="9" fontId="3" fillId="0" borderId="47" xfId="2" applyFont="1" applyFill="1" applyBorder="1" applyAlignment="1">
      <alignment horizontal="center" vertical="center"/>
    </xf>
    <xf numFmtId="0" fontId="23" fillId="7" borderId="1"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4" fillId="8" borderId="25" xfId="0" applyFont="1" applyFill="1" applyBorder="1" applyAlignment="1">
      <alignment horizontal="center" vertical="center" wrapText="1"/>
    </xf>
    <xf numFmtId="0" fontId="22" fillId="8" borderId="33" xfId="0" applyFont="1" applyFill="1" applyBorder="1" applyAlignment="1">
      <alignment horizontal="center" vertical="center" wrapText="1"/>
    </xf>
    <xf numFmtId="0" fontId="22" fillId="8" borderId="35" xfId="0" applyFont="1" applyFill="1" applyBorder="1" applyAlignment="1">
      <alignment horizontal="center" vertical="center" wrapText="1"/>
    </xf>
    <xf numFmtId="0" fontId="22" fillId="8" borderId="29" xfId="0" applyFont="1" applyFill="1" applyBorder="1" applyAlignment="1">
      <alignment horizontal="center" vertical="center" wrapText="1"/>
    </xf>
    <xf numFmtId="0" fontId="24" fillId="8" borderId="30" xfId="0" applyFont="1" applyFill="1" applyBorder="1" applyAlignment="1">
      <alignment horizontal="center" vertical="center" wrapText="1"/>
    </xf>
    <xf numFmtId="164" fontId="8" fillId="3" borderId="1" xfId="0" applyNumberFormat="1" applyFont="1" applyFill="1" applyBorder="1" applyAlignment="1">
      <alignment horizontal="center" vertical="center"/>
    </xf>
    <xf numFmtId="164" fontId="8" fillId="3" borderId="2" xfId="0" applyNumberFormat="1" applyFont="1" applyFill="1" applyBorder="1" applyAlignment="1">
      <alignment horizontal="center" vertical="center"/>
    </xf>
    <xf numFmtId="164" fontId="8" fillId="3" borderId="4"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166" fontId="23" fillId="7" borderId="25" xfId="0" applyNumberFormat="1" applyFont="1" applyFill="1" applyBorder="1" applyAlignment="1">
      <alignment horizontal="center" vertical="center" wrapText="1"/>
    </xf>
    <xf numFmtId="0" fontId="22" fillId="8" borderId="25" xfId="0" applyFont="1" applyFill="1" applyBorder="1" applyAlignment="1">
      <alignment horizontal="center" vertical="center" wrapText="1"/>
    </xf>
    <xf numFmtId="166" fontId="19" fillId="0" borderId="25" xfId="0" applyNumberFormat="1" applyFont="1" applyFill="1" applyBorder="1" applyAlignment="1">
      <alignment horizontal="center" vertical="center"/>
    </xf>
    <xf numFmtId="166" fontId="19" fillId="17" borderId="25" xfId="0" applyNumberFormat="1" applyFont="1" applyFill="1" applyBorder="1" applyAlignment="1">
      <alignment horizontal="center" vertical="center"/>
    </xf>
    <xf numFmtId="0" fontId="23" fillId="7" borderId="25" xfId="0" applyFont="1" applyFill="1" applyBorder="1" applyAlignment="1">
      <alignment horizontal="center" vertical="center" wrapText="1"/>
    </xf>
    <xf numFmtId="0" fontId="33" fillId="5" borderId="25"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5" fillId="26" borderId="25" xfId="0" applyFont="1" applyFill="1" applyBorder="1" applyAlignment="1">
      <alignment horizontal="center" vertical="center" wrapText="1"/>
    </xf>
    <xf numFmtId="0" fontId="33" fillId="26" borderId="25" xfId="0" applyFont="1" applyFill="1" applyBorder="1" applyAlignment="1">
      <alignment horizontal="center" vertical="center" wrapText="1"/>
    </xf>
    <xf numFmtId="0" fontId="35" fillId="5" borderId="53" xfId="0" applyFont="1" applyFill="1" applyBorder="1" applyAlignment="1">
      <alignment horizontal="center" vertical="center" wrapText="1"/>
    </xf>
    <xf numFmtId="0" fontId="35" fillId="5" borderId="57" xfId="0" applyFont="1" applyFill="1" applyBorder="1" applyAlignment="1">
      <alignment horizontal="center" vertical="center" wrapText="1"/>
    </xf>
    <xf numFmtId="0" fontId="33" fillId="5" borderId="52" xfId="0" applyFont="1" applyFill="1" applyBorder="1" applyAlignment="1">
      <alignment horizontal="center" vertical="center" wrapText="1"/>
    </xf>
    <xf numFmtId="0" fontId="34" fillId="19" borderId="41" xfId="0" applyFont="1" applyFill="1" applyBorder="1" applyAlignment="1">
      <alignment horizontal="center" vertical="center" textRotation="90"/>
    </xf>
    <xf numFmtId="0" fontId="34" fillId="19" borderId="24" xfId="0" applyFont="1" applyFill="1" applyBorder="1" applyAlignment="1">
      <alignment horizontal="center" vertical="center" textRotation="90"/>
    </xf>
    <xf numFmtId="0" fontId="34" fillId="19" borderId="51" xfId="0" applyFont="1" applyFill="1" applyBorder="1" applyAlignment="1">
      <alignment horizontal="center" vertical="center" textRotation="90"/>
    </xf>
    <xf numFmtId="0" fontId="35" fillId="5" borderId="10" xfId="0" applyFont="1" applyFill="1" applyBorder="1" applyAlignment="1">
      <alignment horizontal="center" vertical="center" wrapText="1"/>
    </xf>
    <xf numFmtId="0" fontId="35" fillId="5" borderId="25" xfId="0" applyFont="1" applyFill="1" applyBorder="1" applyAlignment="1">
      <alignment horizontal="center" vertical="center" wrapText="1"/>
    </xf>
    <xf numFmtId="0" fontId="35" fillId="29" borderId="25"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33" fillId="26" borderId="10" xfId="0" applyFont="1" applyFill="1" applyBorder="1" applyAlignment="1">
      <alignment horizontal="center" vertical="center" wrapText="1"/>
    </xf>
    <xf numFmtId="0" fontId="35" fillId="28" borderId="25" xfId="0" applyFont="1" applyFill="1" applyBorder="1" applyAlignment="1">
      <alignment horizontal="center" vertical="center" wrapText="1"/>
    </xf>
    <xf numFmtId="0" fontId="35" fillId="5" borderId="8" xfId="0" applyFont="1" applyFill="1" applyBorder="1" applyAlignment="1">
      <alignment horizontal="center" vertical="center" wrapText="1"/>
    </xf>
    <xf numFmtId="0" fontId="35" fillId="29" borderId="53" xfId="0" applyFont="1" applyFill="1" applyBorder="1" applyAlignment="1">
      <alignment horizontal="center" vertical="center" wrapText="1"/>
    </xf>
    <xf numFmtId="0" fontId="33" fillId="29" borderId="25" xfId="0" applyFont="1" applyFill="1" applyBorder="1" applyAlignment="1">
      <alignment horizontal="center" vertical="center" wrapText="1"/>
    </xf>
    <xf numFmtId="0" fontId="35" fillId="26" borderId="53" xfId="0" applyFont="1" applyFill="1" applyBorder="1" applyAlignment="1">
      <alignment horizontal="center" vertical="center" wrapText="1"/>
    </xf>
    <xf numFmtId="0" fontId="35" fillId="30" borderId="53" xfId="0" applyFont="1" applyFill="1" applyBorder="1" applyAlignment="1">
      <alignment horizontal="center" vertical="center" wrapText="1"/>
    </xf>
    <xf numFmtId="0" fontId="33" fillId="30" borderId="25" xfId="0" applyFont="1" applyFill="1" applyBorder="1" applyAlignment="1">
      <alignment horizontal="center" vertical="center" wrapText="1"/>
    </xf>
    <xf numFmtId="0" fontId="35" fillId="26" borderId="51" xfId="0" applyFont="1" applyFill="1" applyBorder="1" applyAlignment="1">
      <alignment horizontal="center" vertical="center" wrapText="1"/>
    </xf>
    <xf numFmtId="0" fontId="35" fillId="26" borderId="41" xfId="0" applyFont="1" applyFill="1" applyBorder="1" applyAlignment="1">
      <alignment horizontal="center" vertical="center" wrapText="1"/>
    </xf>
    <xf numFmtId="0" fontId="35" fillId="26" borderId="53" xfId="0" applyFont="1" applyFill="1" applyBorder="1" applyAlignment="1">
      <alignment horizontal="center" wrapText="1"/>
    </xf>
    <xf numFmtId="0" fontId="35" fillId="5" borderId="53" xfId="0" applyFont="1" applyFill="1" applyBorder="1" applyAlignment="1">
      <alignment horizontal="center" wrapText="1"/>
    </xf>
    <xf numFmtId="0" fontId="37" fillId="30" borderId="51" xfId="0" applyFont="1" applyFill="1" applyBorder="1" applyAlignment="1">
      <alignment horizontal="center" vertical="center" wrapText="1"/>
    </xf>
    <xf numFmtId="0" fontId="37" fillId="30" borderId="41" xfId="0" applyFont="1" applyFill="1" applyBorder="1" applyAlignment="1">
      <alignment horizontal="center" vertical="center" wrapText="1"/>
    </xf>
    <xf numFmtId="0" fontId="35" fillId="5" borderId="20" xfId="0" applyFont="1" applyFill="1" applyBorder="1" applyAlignment="1">
      <alignment horizontal="center" vertical="center" wrapText="1"/>
    </xf>
    <xf numFmtId="0" fontId="35" fillId="5" borderId="63" xfId="0" applyFont="1" applyFill="1" applyBorder="1" applyAlignment="1">
      <alignment horizontal="center" vertical="center" wrapText="1"/>
    </xf>
    <xf numFmtId="0" fontId="34" fillId="19" borderId="1" xfId="0" applyFont="1" applyFill="1" applyBorder="1" applyAlignment="1">
      <alignment horizontal="center" vertical="center" wrapText="1"/>
    </xf>
    <xf numFmtId="0" fontId="34" fillId="19" borderId="2" xfId="0" applyFont="1" applyFill="1" applyBorder="1" applyAlignment="1">
      <alignment horizontal="center" vertical="center" wrapText="1"/>
    </xf>
    <xf numFmtId="0" fontId="34" fillId="19" borderId="59" xfId="0" applyFont="1" applyFill="1" applyBorder="1" applyAlignment="1">
      <alignment horizontal="center" vertical="center" wrapText="1"/>
    </xf>
    <xf numFmtId="0" fontId="34" fillId="19" borderId="4" xfId="0" applyFont="1" applyFill="1" applyBorder="1" applyAlignment="1">
      <alignment horizontal="center" vertical="center" wrapText="1"/>
    </xf>
    <xf numFmtId="0" fontId="34" fillId="19" borderId="5" xfId="0" applyFont="1" applyFill="1" applyBorder="1" applyAlignment="1">
      <alignment horizontal="center" vertical="center" wrapText="1"/>
    </xf>
    <xf numFmtId="0" fontId="34" fillId="19" borderId="62" xfId="0" applyFont="1" applyFill="1" applyBorder="1" applyAlignment="1">
      <alignment horizontal="center" vertical="center" wrapText="1"/>
    </xf>
    <xf numFmtId="0" fontId="34" fillId="19" borderId="50" xfId="0" applyFont="1" applyFill="1" applyBorder="1" applyAlignment="1">
      <alignment horizontal="center" vertical="center" textRotation="90"/>
    </xf>
    <xf numFmtId="0" fontId="34" fillId="19" borderId="54" xfId="0" applyFont="1" applyFill="1" applyBorder="1" applyAlignment="1">
      <alignment horizontal="center" vertical="center" textRotation="90"/>
    </xf>
    <xf numFmtId="0" fontId="34" fillId="19" borderId="64" xfId="0" applyFont="1" applyFill="1" applyBorder="1" applyAlignment="1">
      <alignment horizontal="center" vertical="center" textRotation="90"/>
    </xf>
    <xf numFmtId="0" fontId="35" fillId="30" borderId="20" xfId="0" applyFont="1" applyFill="1" applyBorder="1" applyAlignment="1">
      <alignment horizontal="center" wrapText="1"/>
    </xf>
    <xf numFmtId="0" fontId="35" fillId="30" borderId="53" xfId="0" applyFont="1" applyFill="1" applyBorder="1" applyAlignment="1">
      <alignment horizontal="center" wrapText="1"/>
    </xf>
    <xf numFmtId="0" fontId="33" fillId="30" borderId="10" xfId="0" applyFont="1" applyFill="1" applyBorder="1" applyAlignment="1">
      <alignment horizontal="center" vertical="center" wrapText="1"/>
    </xf>
    <xf numFmtId="0" fontId="35" fillId="30" borderId="57" xfId="0" applyFont="1" applyFill="1" applyBorder="1" applyAlignment="1">
      <alignment horizontal="center" vertical="center" wrapText="1"/>
    </xf>
    <xf numFmtId="0" fontId="35" fillId="30" borderId="20" xfId="0" applyFont="1" applyFill="1" applyBorder="1" applyAlignment="1">
      <alignment horizontal="center" vertical="center" wrapText="1"/>
    </xf>
    <xf numFmtId="0" fontId="35" fillId="26" borderId="57" xfId="0" applyFont="1" applyFill="1" applyBorder="1" applyAlignment="1">
      <alignment horizontal="center" vertical="center" wrapText="1"/>
    </xf>
    <xf numFmtId="0" fontId="35" fillId="26" borderId="20" xfId="0" applyFont="1" applyFill="1" applyBorder="1" applyAlignment="1">
      <alignment horizontal="center" vertical="center" wrapText="1"/>
    </xf>
    <xf numFmtId="0" fontId="34" fillId="19" borderId="42" xfId="0" applyFont="1" applyFill="1" applyBorder="1" applyAlignment="1">
      <alignment horizontal="center" vertical="center" textRotation="90" wrapText="1"/>
    </xf>
    <xf numFmtId="0" fontId="34" fillId="19" borderId="54" xfId="0" applyFont="1" applyFill="1" applyBorder="1" applyAlignment="1">
      <alignment horizontal="center" vertical="center" textRotation="90" wrapText="1"/>
    </xf>
    <xf numFmtId="0" fontId="34" fillId="19" borderId="64" xfId="0" applyFont="1" applyFill="1" applyBorder="1" applyAlignment="1">
      <alignment horizontal="center" vertical="center" textRotation="90" wrapText="1"/>
    </xf>
    <xf numFmtId="0" fontId="35" fillId="26" borderId="63" xfId="0" applyFont="1" applyFill="1" applyBorder="1" applyAlignment="1">
      <alignment horizontal="center" vertical="center" wrapText="1"/>
    </xf>
    <xf numFmtId="0" fontId="33" fillId="5" borderId="10" xfId="0" applyFont="1" applyFill="1" applyBorder="1" applyAlignment="1">
      <alignment horizontal="center" vertical="center" wrapText="1"/>
    </xf>
    <xf numFmtId="3" fontId="35" fillId="30" borderId="25" xfId="0" applyNumberFormat="1" applyFont="1" applyFill="1" applyBorder="1" applyAlignment="1">
      <alignment horizontal="center" vertical="center" wrapText="1"/>
    </xf>
    <xf numFmtId="0" fontId="35" fillId="5" borderId="25" xfId="0" applyFont="1" applyFill="1" applyBorder="1" applyAlignment="1">
      <alignment horizontal="center" vertical="center"/>
    </xf>
    <xf numFmtId="0" fontId="35" fillId="5" borderId="25" xfId="0" applyFont="1" applyFill="1" applyBorder="1" applyAlignment="1">
      <alignment horizontal="center" wrapText="1"/>
    </xf>
    <xf numFmtId="0" fontId="35" fillId="30" borderId="25" xfId="0" applyFont="1" applyFill="1" applyBorder="1" applyAlignment="1">
      <alignment horizontal="center" vertical="center" wrapText="1"/>
    </xf>
    <xf numFmtId="0" fontId="34" fillId="19" borderId="73" xfId="0" applyFont="1" applyFill="1" applyBorder="1" applyAlignment="1">
      <alignment horizontal="center" vertical="center" textRotation="90"/>
    </xf>
    <xf numFmtId="0" fontId="34" fillId="19" borderId="72" xfId="0" applyFont="1" applyFill="1" applyBorder="1" applyAlignment="1">
      <alignment horizontal="center" vertical="center" textRotation="90"/>
    </xf>
    <xf numFmtId="0" fontId="34" fillId="19" borderId="71" xfId="0" applyFont="1" applyFill="1" applyBorder="1" applyAlignment="1">
      <alignment horizontal="center" vertical="center" textRotation="90"/>
    </xf>
    <xf numFmtId="0" fontId="33" fillId="0" borderId="25" xfId="0" applyFont="1" applyBorder="1"/>
    <xf numFmtId="166" fontId="34" fillId="22" borderId="22" xfId="0" applyNumberFormat="1" applyFont="1" applyFill="1" applyBorder="1" applyAlignment="1">
      <alignment horizontal="center" vertical="center" wrapText="1"/>
    </xf>
    <xf numFmtId="166" fontId="34" fillId="22" borderId="29" xfId="0" applyNumberFormat="1" applyFont="1" applyFill="1" applyBorder="1" applyAlignment="1">
      <alignment horizontal="center" vertical="center" wrapText="1"/>
    </xf>
    <xf numFmtId="166" fontId="34" fillId="22" borderId="38" xfId="0" applyNumberFormat="1" applyFont="1" applyFill="1" applyBorder="1" applyAlignment="1">
      <alignment horizontal="center" vertical="center" wrapText="1"/>
    </xf>
    <xf numFmtId="166" fontId="34" fillId="22" borderId="30" xfId="0" applyNumberFormat="1" applyFont="1" applyFill="1" applyBorder="1" applyAlignment="1">
      <alignment horizontal="center" vertical="center" wrapText="1"/>
    </xf>
    <xf numFmtId="10" fontId="34" fillId="22" borderId="70" xfId="2" applyNumberFormat="1" applyFont="1" applyFill="1" applyBorder="1" applyAlignment="1">
      <alignment horizontal="center" vertical="center" wrapText="1"/>
    </xf>
    <xf numFmtId="10" fontId="34" fillId="22" borderId="35" xfId="2" applyNumberFormat="1" applyFont="1" applyFill="1" applyBorder="1" applyAlignment="1">
      <alignment horizontal="center" vertical="center" wrapText="1"/>
    </xf>
    <xf numFmtId="166" fontId="35" fillId="0" borderId="24" xfId="0" applyNumberFormat="1" applyFont="1" applyFill="1" applyBorder="1" applyAlignment="1">
      <alignment horizontal="center" vertical="center"/>
    </xf>
    <xf numFmtId="166" fontId="35" fillId="0" borderId="51" xfId="0" applyNumberFormat="1" applyFont="1" applyFill="1" applyBorder="1" applyAlignment="1">
      <alignment horizontal="center" vertical="center"/>
    </xf>
    <xf numFmtId="166" fontId="35" fillId="0" borderId="25" xfId="0" applyNumberFormat="1" applyFont="1" applyFill="1" applyBorder="1" applyAlignment="1">
      <alignment horizontal="center" vertical="center"/>
    </xf>
    <xf numFmtId="166" fontId="35" fillId="0" borderId="52" xfId="0" applyNumberFormat="1" applyFont="1" applyFill="1" applyBorder="1" applyAlignment="1">
      <alignment horizontal="center" vertical="center"/>
    </xf>
    <xf numFmtId="9" fontId="35" fillId="0" borderId="33" xfId="2" applyFont="1" applyFill="1" applyBorder="1" applyAlignment="1">
      <alignment horizontal="center" vertical="center"/>
    </xf>
    <xf numFmtId="9" fontId="35" fillId="0" borderId="56" xfId="2" applyFont="1" applyFill="1" applyBorder="1" applyAlignment="1">
      <alignment horizontal="center" vertical="center"/>
    </xf>
    <xf numFmtId="166" fontId="35" fillId="12" borderId="24" xfId="0" applyNumberFormat="1" applyFont="1" applyFill="1" applyBorder="1" applyAlignment="1">
      <alignment horizontal="center" vertical="center"/>
    </xf>
    <xf numFmtId="166" fontId="35" fillId="12" borderId="25" xfId="0" applyNumberFormat="1" applyFont="1" applyFill="1" applyBorder="1" applyAlignment="1">
      <alignment horizontal="center" vertical="center"/>
    </xf>
    <xf numFmtId="9" fontId="35" fillId="12" borderId="33" xfId="2" applyFont="1" applyFill="1" applyBorder="1" applyAlignment="1">
      <alignment horizontal="center" vertical="center"/>
    </xf>
    <xf numFmtId="166" fontId="35" fillId="0" borderId="41" xfId="0" applyNumberFormat="1" applyFont="1" applyFill="1" applyBorder="1" applyAlignment="1">
      <alignment horizontal="center" vertical="center"/>
    </xf>
    <xf numFmtId="166" fontId="35" fillId="0" borderId="10" xfId="0" applyNumberFormat="1" applyFont="1" applyFill="1" applyBorder="1" applyAlignment="1">
      <alignment horizontal="center" vertical="center"/>
    </xf>
    <xf numFmtId="9" fontId="35" fillId="0" borderId="39" xfId="2" applyFont="1" applyFill="1" applyBorder="1" applyAlignment="1">
      <alignment horizontal="center" vertical="center"/>
    </xf>
    <xf numFmtId="166" fontId="34" fillId="19" borderId="40" xfId="0" applyNumberFormat="1" applyFont="1" applyFill="1" applyBorder="1" applyAlignment="1">
      <alignment horizontal="center" vertical="center" wrapText="1"/>
    </xf>
    <xf numFmtId="166" fontId="34" fillId="19" borderId="45" xfId="0" applyNumberFormat="1" applyFont="1" applyFill="1" applyBorder="1" applyAlignment="1">
      <alignment horizontal="center" vertical="center" wrapText="1"/>
    </xf>
    <xf numFmtId="166" fontId="34" fillId="19" borderId="59" xfId="0" applyNumberFormat="1" applyFont="1" applyFill="1" applyBorder="1" applyAlignment="1">
      <alignment horizontal="center" vertical="center" wrapText="1"/>
    </xf>
    <xf numFmtId="166" fontId="34" fillId="19" borderId="62" xfId="0" applyNumberFormat="1" applyFont="1" applyFill="1" applyBorder="1" applyAlignment="1">
      <alignment horizontal="center" vertical="center" wrapText="1"/>
    </xf>
    <xf numFmtId="166" fontId="34" fillId="19" borderId="44" xfId="0" applyNumberFormat="1" applyFont="1" applyFill="1" applyBorder="1" applyAlignment="1">
      <alignment horizontal="center" vertical="center" wrapText="1"/>
    </xf>
    <xf numFmtId="166" fontId="34" fillId="19" borderId="46" xfId="0" applyNumberFormat="1" applyFont="1" applyFill="1" applyBorder="1" applyAlignment="1">
      <alignment horizontal="center" vertical="center" wrapText="1"/>
    </xf>
    <xf numFmtId="173" fontId="34" fillId="19" borderId="61" xfId="2" applyNumberFormat="1" applyFont="1" applyFill="1" applyBorder="1" applyAlignment="1">
      <alignment horizontal="center" vertical="center" wrapText="1"/>
    </xf>
    <xf numFmtId="173" fontId="34" fillId="19" borderId="43" xfId="2" applyNumberFormat="1" applyFont="1" applyFill="1" applyBorder="1" applyAlignment="1">
      <alignment horizontal="center" vertical="center" wrapText="1"/>
    </xf>
    <xf numFmtId="170" fontId="35" fillId="16" borderId="24" xfId="0" applyNumberFormat="1" applyFont="1" applyFill="1" applyBorder="1" applyAlignment="1">
      <alignment horizontal="center" vertical="center" wrapText="1"/>
    </xf>
    <xf numFmtId="170" fontId="35" fillId="16" borderId="51" xfId="0" applyNumberFormat="1" applyFont="1" applyFill="1" applyBorder="1" applyAlignment="1">
      <alignment horizontal="center" vertical="center" wrapText="1"/>
    </xf>
    <xf numFmtId="166" fontId="35" fillId="0" borderId="25" xfId="0" applyNumberFormat="1" applyFont="1" applyFill="1" applyBorder="1" applyAlignment="1">
      <alignment horizontal="center" vertical="center" wrapText="1"/>
    </xf>
    <xf numFmtId="166" fontId="35" fillId="0" borderId="52" xfId="0" applyNumberFormat="1" applyFont="1" applyFill="1" applyBorder="1" applyAlignment="1">
      <alignment horizontal="center" vertical="center" wrapText="1"/>
    </xf>
    <xf numFmtId="170" fontId="35" fillId="0" borderId="25" xfId="0" applyNumberFormat="1" applyFont="1" applyFill="1" applyBorder="1" applyAlignment="1">
      <alignment horizontal="center" vertical="center" wrapText="1"/>
    </xf>
    <xf numFmtId="170" fontId="35" fillId="0" borderId="52" xfId="0" applyNumberFormat="1"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52" xfId="0" applyFont="1" applyFill="1" applyBorder="1" applyAlignment="1">
      <alignment horizontal="center" vertical="center" wrapText="1"/>
    </xf>
    <xf numFmtId="9" fontId="35" fillId="0" borderId="33" xfId="2" applyFont="1" applyFill="1" applyBorder="1" applyAlignment="1">
      <alignment horizontal="center" vertical="center" wrapText="1"/>
    </xf>
    <xf numFmtId="9" fontId="35" fillId="0" borderId="56" xfId="2" applyFont="1" applyFill="1" applyBorder="1" applyAlignment="1">
      <alignment horizontal="center" vertical="center" wrapText="1"/>
    </xf>
    <xf numFmtId="170" fontId="35" fillId="12" borderId="24" xfId="0" applyNumberFormat="1" applyFont="1" applyFill="1" applyBorder="1" applyAlignment="1">
      <alignment horizontal="center" vertical="center" wrapText="1"/>
    </xf>
    <xf numFmtId="166" fontId="35" fillId="12" borderId="25" xfId="0" applyNumberFormat="1" applyFont="1" applyFill="1" applyBorder="1" applyAlignment="1">
      <alignment horizontal="center" vertical="center" wrapText="1"/>
    </xf>
    <xf numFmtId="170" fontId="35" fillId="12" borderId="25" xfId="0" applyNumberFormat="1" applyFont="1" applyFill="1" applyBorder="1" applyAlignment="1">
      <alignment horizontal="center" vertical="center" wrapText="1"/>
    </xf>
    <xf numFmtId="0" fontId="35" fillId="12" borderId="25" xfId="0" applyFont="1" applyFill="1" applyBorder="1" applyAlignment="1">
      <alignment horizontal="center" vertical="center" wrapText="1"/>
    </xf>
    <xf numFmtId="9" fontId="35" fillId="12" borderId="33" xfId="2" applyFont="1" applyFill="1" applyBorder="1" applyAlignment="1">
      <alignment horizontal="center" vertical="center" wrapText="1"/>
    </xf>
    <xf numFmtId="170" fontId="35" fillId="17" borderId="24" xfId="0" applyNumberFormat="1" applyFont="1" applyFill="1" applyBorder="1" applyAlignment="1">
      <alignment horizontal="center" vertical="center" wrapText="1"/>
    </xf>
    <xf numFmtId="166" fontId="35" fillId="17" borderId="25" xfId="0" applyNumberFormat="1" applyFont="1" applyFill="1" applyBorder="1" applyAlignment="1">
      <alignment horizontal="center" vertical="center" wrapText="1"/>
    </xf>
    <xf numFmtId="170" fontId="35" fillId="17" borderId="25" xfId="0" applyNumberFormat="1" applyFont="1" applyFill="1" applyBorder="1" applyAlignment="1">
      <alignment horizontal="center" vertical="center" wrapText="1"/>
    </xf>
    <xf numFmtId="0" fontId="35" fillId="17" borderId="25" xfId="0" applyFont="1" applyFill="1" applyBorder="1" applyAlignment="1">
      <alignment horizontal="center" vertical="center" wrapText="1"/>
    </xf>
    <xf numFmtId="9" fontId="35" fillId="17" borderId="33" xfId="2" applyFont="1" applyFill="1" applyBorder="1" applyAlignment="1">
      <alignment horizontal="center" vertical="center" wrapText="1"/>
    </xf>
    <xf numFmtId="170" fontId="35" fillId="27" borderId="24" xfId="0" applyNumberFormat="1" applyFont="1" applyFill="1" applyBorder="1" applyAlignment="1">
      <alignment horizontal="center" vertical="center" wrapText="1"/>
    </xf>
    <xf numFmtId="166" fontId="35" fillId="27" borderId="25" xfId="0" applyNumberFormat="1" applyFont="1" applyFill="1" applyBorder="1" applyAlignment="1">
      <alignment horizontal="center" vertical="center" wrapText="1"/>
    </xf>
    <xf numFmtId="170" fontId="35" fillId="27" borderId="25" xfId="0" applyNumberFormat="1" applyFont="1" applyFill="1" applyBorder="1" applyAlignment="1">
      <alignment horizontal="center" vertical="center" wrapText="1"/>
    </xf>
    <xf numFmtId="0" fontId="35" fillId="27" borderId="25" xfId="0" applyFont="1" applyFill="1" applyBorder="1" applyAlignment="1">
      <alignment horizontal="center" vertical="center" wrapText="1"/>
    </xf>
    <xf numFmtId="9" fontId="35" fillId="27" borderId="33" xfId="2" applyFont="1" applyFill="1" applyBorder="1" applyAlignment="1">
      <alignment horizontal="center" vertical="center" wrapText="1"/>
    </xf>
    <xf numFmtId="166" fontId="33" fillId="0" borderId="24" xfId="2" applyNumberFormat="1" applyFont="1" applyFill="1" applyBorder="1" applyAlignment="1">
      <alignment horizontal="center" vertical="center"/>
    </xf>
    <xf numFmtId="166" fontId="33" fillId="0" borderId="51" xfId="2" applyNumberFormat="1" applyFont="1" applyFill="1" applyBorder="1" applyAlignment="1">
      <alignment horizontal="center" vertical="center"/>
    </xf>
    <xf numFmtId="166" fontId="33" fillId="0" borderId="25" xfId="0" applyNumberFormat="1" applyFont="1" applyFill="1" applyBorder="1" applyAlignment="1">
      <alignment horizontal="center" vertical="center"/>
    </xf>
    <xf numFmtId="166" fontId="33" fillId="0" borderId="52" xfId="0" applyNumberFormat="1" applyFont="1" applyFill="1" applyBorder="1" applyAlignment="1">
      <alignment horizontal="center" vertical="center"/>
    </xf>
    <xf numFmtId="9" fontId="33" fillId="0" borderId="33" xfId="2" applyFont="1" applyFill="1" applyBorder="1" applyAlignment="1">
      <alignment horizontal="center" vertical="center"/>
    </xf>
    <xf numFmtId="9" fontId="33" fillId="0" borderId="56" xfId="2" applyFont="1" applyFill="1" applyBorder="1" applyAlignment="1">
      <alignment horizontal="center" vertical="center"/>
    </xf>
    <xf numFmtId="166" fontId="33" fillId="12" borderId="24" xfId="2" applyNumberFormat="1" applyFont="1" applyFill="1" applyBorder="1" applyAlignment="1">
      <alignment horizontal="center" vertical="center"/>
    </xf>
    <xf numFmtId="166" fontId="33" fillId="12" borderId="25" xfId="0" applyNumberFormat="1" applyFont="1" applyFill="1" applyBorder="1" applyAlignment="1">
      <alignment horizontal="center" vertical="center"/>
    </xf>
    <xf numFmtId="9" fontId="33" fillId="12" borderId="33" xfId="2" applyFont="1" applyFill="1" applyBorder="1" applyAlignment="1">
      <alignment horizontal="center" vertical="center"/>
    </xf>
    <xf numFmtId="166" fontId="33" fillId="0" borderId="41" xfId="2" applyNumberFormat="1" applyFont="1" applyFill="1" applyBorder="1" applyAlignment="1">
      <alignment horizontal="center" vertical="center"/>
    </xf>
    <xf numFmtId="166" fontId="33" fillId="0" borderId="10" xfId="0" applyNumberFormat="1" applyFont="1" applyFill="1" applyBorder="1" applyAlignment="1">
      <alignment horizontal="center" vertical="center"/>
    </xf>
    <xf numFmtId="9" fontId="33" fillId="0" borderId="39" xfId="2" applyFont="1" applyFill="1" applyBorder="1" applyAlignment="1">
      <alignment horizontal="center" vertical="center"/>
    </xf>
    <xf numFmtId="166" fontId="34" fillId="22" borderId="59" xfId="0" applyNumberFormat="1" applyFont="1" applyFill="1" applyBorder="1" applyAlignment="1">
      <alignment horizontal="center" vertical="center" wrapText="1"/>
    </xf>
    <xf numFmtId="166" fontId="34" fillId="22" borderId="62" xfId="0" applyNumberFormat="1" applyFont="1" applyFill="1" applyBorder="1" applyAlignment="1">
      <alignment horizontal="center" vertical="center" wrapText="1"/>
    </xf>
    <xf numFmtId="166" fontId="34" fillId="22" borderId="44" xfId="0" applyNumberFormat="1" applyFont="1" applyFill="1" applyBorder="1" applyAlignment="1">
      <alignment horizontal="center" vertical="center" wrapText="1"/>
    </xf>
    <xf numFmtId="166" fontId="34" fillId="22" borderId="46" xfId="0" applyNumberFormat="1" applyFont="1" applyFill="1" applyBorder="1" applyAlignment="1">
      <alignment horizontal="center" vertical="center" wrapText="1"/>
    </xf>
    <xf numFmtId="173" fontId="34" fillId="22" borderId="61" xfId="2" applyNumberFormat="1" applyFont="1" applyFill="1" applyBorder="1" applyAlignment="1">
      <alignment horizontal="center" vertical="center" wrapText="1"/>
    </xf>
    <xf numFmtId="173" fontId="34" fillId="22" borderId="43" xfId="2" applyNumberFormat="1" applyFont="1" applyFill="1" applyBorder="1" applyAlignment="1">
      <alignment horizontal="center" vertical="center" wrapText="1"/>
    </xf>
    <xf numFmtId="166" fontId="35" fillId="16" borderId="57" xfId="0" applyNumberFormat="1" applyFont="1" applyFill="1" applyBorder="1" applyAlignment="1">
      <alignment horizontal="center" vertical="center"/>
    </xf>
    <xf numFmtId="166" fontId="35" fillId="16" borderId="62" xfId="0" applyNumberFormat="1" applyFont="1" applyFill="1" applyBorder="1" applyAlignment="1">
      <alignment horizontal="center" vertical="center"/>
    </xf>
    <xf numFmtId="166" fontId="35" fillId="0" borderId="46" xfId="0" applyNumberFormat="1" applyFont="1" applyFill="1" applyBorder="1" applyAlignment="1">
      <alignment horizontal="center" vertical="center"/>
    </xf>
    <xf numFmtId="9" fontId="35" fillId="0" borderId="43" xfId="2" applyFont="1" applyFill="1" applyBorder="1" applyAlignment="1">
      <alignment horizontal="center" vertical="center"/>
    </xf>
    <xf numFmtId="166" fontId="35" fillId="16" borderId="20" xfId="0" applyNumberFormat="1" applyFont="1" applyFill="1" applyBorder="1" applyAlignment="1">
      <alignment horizontal="center" vertical="center"/>
    </xf>
    <xf numFmtId="166" fontId="35" fillId="12" borderId="57" xfId="0" applyNumberFormat="1" applyFont="1" applyFill="1" applyBorder="1" applyAlignment="1">
      <alignment horizontal="center" vertical="center"/>
    </xf>
    <xf numFmtId="166" fontId="35" fillId="12" borderId="20" xfId="0" applyNumberFormat="1" applyFont="1" applyFill="1" applyBorder="1" applyAlignment="1">
      <alignment horizontal="center" vertical="center"/>
    </xf>
    <xf numFmtId="166" fontId="35" fillId="12" borderId="52" xfId="0" applyNumberFormat="1" applyFont="1" applyFill="1" applyBorder="1" applyAlignment="1">
      <alignment horizontal="center" vertical="center"/>
    </xf>
    <xf numFmtId="166" fontId="35" fillId="12" borderId="10" xfId="0" applyNumberFormat="1" applyFont="1" applyFill="1" applyBorder="1" applyAlignment="1">
      <alignment horizontal="center" vertical="center"/>
    </xf>
    <xf numFmtId="9" fontId="35" fillId="12" borderId="56" xfId="2" applyFont="1" applyFill="1" applyBorder="1" applyAlignment="1">
      <alignment horizontal="center" vertical="center"/>
    </xf>
    <xf numFmtId="9" fontId="35" fillId="12" borderId="39" xfId="2" applyFont="1" applyFill="1" applyBorder="1" applyAlignment="1">
      <alignment horizontal="center" vertical="center"/>
    </xf>
    <xf numFmtId="166" fontId="35" fillId="15" borderId="57" xfId="0" applyNumberFormat="1" applyFont="1" applyFill="1" applyBorder="1" applyAlignment="1">
      <alignment horizontal="center" vertical="center"/>
    </xf>
    <xf numFmtId="166" fontId="35" fillId="15" borderId="20" xfId="0" applyNumberFormat="1" applyFont="1" applyFill="1" applyBorder="1" applyAlignment="1">
      <alignment horizontal="center" vertical="center"/>
    </xf>
    <xf numFmtId="166" fontId="35" fillId="15" borderId="52" xfId="0" applyNumberFormat="1" applyFont="1" applyFill="1" applyBorder="1" applyAlignment="1">
      <alignment horizontal="center" vertical="center"/>
    </xf>
    <xf numFmtId="166" fontId="35" fillId="15" borderId="10" xfId="0" applyNumberFormat="1" applyFont="1" applyFill="1" applyBorder="1" applyAlignment="1">
      <alignment horizontal="center" vertical="center"/>
    </xf>
    <xf numFmtId="166" fontId="36" fillId="15" borderId="52" xfId="0" applyNumberFormat="1" applyFont="1" applyFill="1" applyBorder="1" applyAlignment="1">
      <alignment horizontal="center" vertical="center"/>
    </xf>
    <xf numFmtId="166" fontId="36" fillId="15" borderId="10" xfId="0" applyNumberFormat="1" applyFont="1" applyFill="1" applyBorder="1" applyAlignment="1">
      <alignment horizontal="center" vertical="center"/>
    </xf>
    <xf numFmtId="9" fontId="35" fillId="15" borderId="56" xfId="2" applyFont="1" applyFill="1" applyBorder="1" applyAlignment="1">
      <alignment horizontal="center" vertical="center"/>
    </xf>
    <xf numFmtId="9" fontId="35" fillId="15" borderId="39" xfId="2" applyFont="1" applyFill="1" applyBorder="1" applyAlignment="1">
      <alignment horizontal="center" vertical="center"/>
    </xf>
    <xf numFmtId="166" fontId="35" fillId="27" borderId="57" xfId="0" applyNumberFormat="1" applyFont="1" applyFill="1" applyBorder="1" applyAlignment="1">
      <alignment horizontal="center" vertical="center"/>
    </xf>
    <xf numFmtId="166" fontId="35" fillId="27" borderId="20" xfId="0" applyNumberFormat="1" applyFont="1" applyFill="1" applyBorder="1" applyAlignment="1">
      <alignment horizontal="center" vertical="center"/>
    </xf>
    <xf numFmtId="166" fontId="35" fillId="27" borderId="52" xfId="0" applyNumberFormat="1" applyFont="1" applyFill="1" applyBorder="1" applyAlignment="1">
      <alignment horizontal="center" vertical="center"/>
    </xf>
    <xf numFmtId="166" fontId="35" fillId="27" borderId="10" xfId="0" applyNumberFormat="1" applyFont="1" applyFill="1" applyBorder="1" applyAlignment="1">
      <alignment horizontal="center" vertical="center"/>
    </xf>
    <xf numFmtId="9" fontId="35" fillId="27" borderId="56" xfId="2" applyFont="1" applyFill="1" applyBorder="1" applyAlignment="1">
      <alignment horizontal="center" vertical="center"/>
    </xf>
    <xf numFmtId="9" fontId="35" fillId="27" borderId="39" xfId="2" applyFont="1" applyFill="1" applyBorder="1" applyAlignment="1">
      <alignment horizontal="center" vertical="center"/>
    </xf>
    <xf numFmtId="166" fontId="35" fillId="0" borderId="53" xfId="0" applyNumberFormat="1" applyFont="1" applyFill="1" applyBorder="1" applyAlignment="1">
      <alignment horizontal="center" vertical="center"/>
    </xf>
    <xf numFmtId="166" fontId="35" fillId="0" borderId="57" xfId="0" applyNumberFormat="1" applyFont="1" applyFill="1" applyBorder="1" applyAlignment="1">
      <alignment horizontal="center" vertical="center"/>
    </xf>
    <xf numFmtId="9" fontId="30" fillId="0" borderId="33" xfId="2" applyFont="1" applyFill="1" applyBorder="1" applyAlignment="1">
      <alignment horizontal="center" vertical="center"/>
    </xf>
    <xf numFmtId="9" fontId="30" fillId="0" borderId="56" xfId="2" applyFont="1" applyFill="1" applyBorder="1" applyAlignment="1">
      <alignment horizontal="center" vertical="center"/>
    </xf>
    <xf numFmtId="166" fontId="30" fillId="0" borderId="25" xfId="0" applyNumberFormat="1" applyFont="1" applyFill="1" applyBorder="1" applyAlignment="1">
      <alignment horizontal="center" vertical="center"/>
    </xf>
    <xf numFmtId="0" fontId="30" fillId="5" borderId="25"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40" fillId="5" borderId="25" xfId="0" applyFont="1" applyFill="1" applyBorder="1" applyAlignment="1">
      <alignment horizontal="center" vertical="center" wrapText="1"/>
    </xf>
    <xf numFmtId="0" fontId="40" fillId="5" borderId="8" xfId="0" applyFont="1" applyFill="1" applyBorder="1" applyAlignment="1">
      <alignment horizontal="center" vertical="center" wrapText="1"/>
    </xf>
    <xf numFmtId="0" fontId="40" fillId="5" borderId="25" xfId="0" applyFont="1" applyFill="1" applyBorder="1" applyAlignment="1">
      <alignment horizontal="center" vertical="center"/>
    </xf>
    <xf numFmtId="0" fontId="40" fillId="5" borderId="8" xfId="0" applyFont="1" applyFill="1" applyBorder="1" applyAlignment="1">
      <alignment horizontal="center" vertical="center"/>
    </xf>
    <xf numFmtId="166" fontId="30" fillId="0" borderId="24" xfId="0" applyNumberFormat="1" applyFont="1" applyFill="1" applyBorder="1" applyAlignment="1">
      <alignment horizontal="center" vertical="center"/>
    </xf>
    <xf numFmtId="166" fontId="30" fillId="0" borderId="51" xfId="0" applyNumberFormat="1" applyFont="1" applyFill="1" applyBorder="1" applyAlignment="1">
      <alignment horizontal="center" vertical="center"/>
    </xf>
    <xf numFmtId="166" fontId="30" fillId="0" borderId="52" xfId="0" applyNumberFormat="1" applyFont="1" applyFill="1" applyBorder="1" applyAlignment="1">
      <alignment horizontal="center" vertical="center"/>
    </xf>
    <xf numFmtId="0" fontId="29" fillId="26" borderId="25" xfId="0" applyFont="1" applyFill="1" applyBorder="1" applyAlignment="1">
      <alignment horizontal="center" vertical="center" wrapText="1"/>
    </xf>
    <xf numFmtId="0" fontId="30" fillId="26" borderId="25" xfId="0" applyFont="1" applyFill="1" applyBorder="1" applyAlignment="1">
      <alignment horizontal="center" vertical="center" wrapText="1"/>
    </xf>
    <xf numFmtId="0" fontId="40" fillId="26" borderId="25" xfId="0" applyFont="1" applyFill="1" applyBorder="1" applyAlignment="1">
      <alignment horizontal="center" vertical="center" wrapText="1"/>
    </xf>
    <xf numFmtId="0" fontId="40" fillId="26" borderId="25" xfId="0" applyFont="1" applyFill="1" applyBorder="1" applyAlignment="1">
      <alignment horizontal="center" vertical="center"/>
    </xf>
    <xf numFmtId="166" fontId="30" fillId="12" borderId="24" xfId="0" applyNumberFormat="1" applyFont="1" applyFill="1" applyBorder="1" applyAlignment="1">
      <alignment horizontal="center" vertical="center"/>
    </xf>
    <xf numFmtId="166" fontId="30" fillId="12" borderId="25" xfId="0" applyNumberFormat="1" applyFont="1" applyFill="1" applyBorder="1" applyAlignment="1">
      <alignment horizontal="center" vertical="center"/>
    </xf>
    <xf numFmtId="9" fontId="30" fillId="12" borderId="33" xfId="2" applyFont="1" applyFill="1" applyBorder="1" applyAlignment="1">
      <alignment horizontal="center" vertical="center"/>
    </xf>
    <xf numFmtId="9" fontId="30" fillId="0" borderId="39" xfId="2" applyFont="1" applyFill="1" applyBorder="1" applyAlignment="1">
      <alignment horizontal="center" vertical="center"/>
    </xf>
    <xf numFmtId="0" fontId="30" fillId="28" borderId="25" xfId="0" applyFont="1" applyFill="1" applyBorder="1" applyAlignment="1">
      <alignment horizontal="center" vertical="center" wrapText="1"/>
    </xf>
    <xf numFmtId="0" fontId="40" fillId="28" borderId="25" xfId="0" applyFont="1" applyFill="1" applyBorder="1" applyAlignment="1">
      <alignment horizontal="center" vertical="center"/>
    </xf>
    <xf numFmtId="0" fontId="30" fillId="29" borderId="25" xfId="0" applyFont="1" applyFill="1" applyBorder="1" applyAlignment="1">
      <alignment horizontal="center" vertical="center" wrapText="1"/>
    </xf>
    <xf numFmtId="0" fontId="40" fillId="29" borderId="25" xfId="0" applyFont="1" applyFill="1" applyBorder="1" applyAlignment="1">
      <alignment horizontal="center" vertical="center"/>
    </xf>
    <xf numFmtId="0" fontId="39" fillId="19" borderId="41" xfId="0" applyFont="1" applyFill="1" applyBorder="1" applyAlignment="1">
      <alignment horizontal="center" vertical="center" textRotation="90"/>
    </xf>
    <xf numFmtId="0" fontId="39" fillId="19" borderId="24" xfId="0" applyFont="1" applyFill="1" applyBorder="1" applyAlignment="1">
      <alignment horizontal="center" vertical="center" textRotation="90"/>
    </xf>
    <xf numFmtId="0" fontId="39" fillId="19" borderId="51" xfId="0" applyFont="1" applyFill="1" applyBorder="1" applyAlignment="1">
      <alignment horizontal="center" vertical="center" textRotation="90"/>
    </xf>
    <xf numFmtId="0" fontId="30" fillId="5" borderId="10" xfId="0" applyFont="1" applyFill="1" applyBorder="1" applyAlignment="1">
      <alignment horizontal="center" vertical="center" wrapText="1"/>
    </xf>
    <xf numFmtId="0" fontId="40" fillId="5" borderId="10" xfId="0" applyFont="1" applyFill="1" applyBorder="1" applyAlignment="1">
      <alignment horizontal="center" vertical="center"/>
    </xf>
    <xf numFmtId="0" fontId="30" fillId="26" borderId="10" xfId="0" applyFont="1" applyFill="1" applyBorder="1" applyAlignment="1">
      <alignment horizontal="center" vertical="center" wrapText="1"/>
    </xf>
    <xf numFmtId="0" fontId="40" fillId="26" borderId="10" xfId="0" applyFont="1" applyFill="1" applyBorder="1" applyAlignment="1">
      <alignment horizontal="center" vertical="center" wrapText="1"/>
    </xf>
    <xf numFmtId="0" fontId="40" fillId="26" borderId="10" xfId="0" applyFont="1" applyFill="1" applyBorder="1" applyAlignment="1">
      <alignment horizontal="center" vertical="center"/>
    </xf>
    <xf numFmtId="166" fontId="30" fillId="0" borderId="41" xfId="0" applyNumberFormat="1" applyFont="1" applyFill="1" applyBorder="1" applyAlignment="1">
      <alignment horizontal="center" vertical="center"/>
    </xf>
    <xf numFmtId="166" fontId="30" fillId="0" borderId="10" xfId="0" applyNumberFormat="1"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52" xfId="0" applyFont="1" applyFill="1" applyBorder="1" applyAlignment="1">
      <alignment horizontal="center" vertical="center" wrapText="1"/>
    </xf>
    <xf numFmtId="170" fontId="30" fillId="0" borderId="25" xfId="0" applyNumberFormat="1" applyFont="1" applyFill="1" applyBorder="1" applyAlignment="1">
      <alignment horizontal="center" vertical="center" wrapText="1"/>
    </xf>
    <xf numFmtId="170" fontId="30" fillId="0" borderId="52" xfId="0" applyNumberFormat="1" applyFont="1" applyFill="1" applyBorder="1" applyAlignment="1">
      <alignment horizontal="center" vertical="center" wrapText="1"/>
    </xf>
    <xf numFmtId="9" fontId="30" fillId="0" borderId="33" xfId="2" applyFont="1" applyFill="1" applyBorder="1" applyAlignment="1">
      <alignment horizontal="center" vertical="center" wrapText="1"/>
    </xf>
    <xf numFmtId="9" fontId="30" fillId="0" borderId="56" xfId="2" applyFont="1" applyFill="1" applyBorder="1" applyAlignment="1">
      <alignment horizontal="center" vertical="center" wrapText="1"/>
    </xf>
    <xf numFmtId="0" fontId="30" fillId="5" borderId="53" xfId="0" applyFont="1" applyFill="1" applyBorder="1" applyAlignment="1">
      <alignment horizontal="center" vertical="center" wrapText="1"/>
    </xf>
    <xf numFmtId="0" fontId="30" fillId="5" borderId="57" xfId="0" applyFont="1" applyFill="1" applyBorder="1" applyAlignment="1">
      <alignment horizontal="center" vertical="center" wrapText="1"/>
    </xf>
    <xf numFmtId="0" fontId="40" fillId="5" borderId="52" xfId="0" applyFont="1" applyFill="1" applyBorder="1" applyAlignment="1">
      <alignment horizontal="center" vertical="center" wrapText="1"/>
    </xf>
    <xf numFmtId="174" fontId="30" fillId="5" borderId="33" xfId="0" applyNumberFormat="1" applyFont="1" applyFill="1" applyBorder="1" applyAlignment="1">
      <alignment horizontal="center" vertical="center"/>
    </xf>
    <xf numFmtId="174" fontId="30" fillId="5" borderId="56" xfId="0" applyNumberFormat="1" applyFont="1" applyFill="1" applyBorder="1" applyAlignment="1">
      <alignment horizontal="center" vertical="center"/>
    </xf>
    <xf numFmtId="170" fontId="30" fillId="16" borderId="24" xfId="0" applyNumberFormat="1" applyFont="1" applyFill="1" applyBorder="1" applyAlignment="1">
      <alignment horizontal="center" vertical="center" wrapText="1"/>
    </xf>
    <xf numFmtId="170" fontId="30" fillId="16" borderId="51" xfId="0" applyNumberFormat="1" applyFont="1" applyFill="1" applyBorder="1" applyAlignment="1">
      <alignment horizontal="center" vertical="center" wrapText="1"/>
    </xf>
    <xf numFmtId="166" fontId="30" fillId="0" borderId="25" xfId="0" applyNumberFormat="1" applyFont="1" applyFill="1" applyBorder="1" applyAlignment="1">
      <alignment horizontal="center" vertical="center" wrapText="1"/>
    </xf>
    <xf numFmtId="166" fontId="30" fillId="0" borderId="52" xfId="0" applyNumberFormat="1" applyFont="1" applyFill="1" applyBorder="1" applyAlignment="1">
      <alignment horizontal="center" vertical="center" wrapText="1"/>
    </xf>
    <xf numFmtId="0" fontId="30" fillId="29" borderId="53" xfId="0" applyFont="1" applyFill="1" applyBorder="1" applyAlignment="1">
      <alignment horizontal="center" vertical="center" wrapText="1"/>
    </xf>
    <xf numFmtId="0" fontId="40" fillId="29" borderId="25" xfId="0" applyFont="1" applyFill="1" applyBorder="1" applyAlignment="1">
      <alignment horizontal="center" vertical="center" wrapText="1"/>
    </xf>
    <xf numFmtId="174" fontId="30" fillId="29" borderId="33" xfId="0" applyNumberFormat="1" applyFont="1" applyFill="1" applyBorder="1" applyAlignment="1">
      <alignment horizontal="center" vertical="center"/>
    </xf>
    <xf numFmtId="170" fontId="30" fillId="12" borderId="24" xfId="0" applyNumberFormat="1" applyFont="1" applyFill="1" applyBorder="1" applyAlignment="1">
      <alignment horizontal="center" vertical="center" wrapText="1"/>
    </xf>
    <xf numFmtId="0" fontId="29" fillId="26" borderId="53" xfId="0" applyFont="1" applyFill="1" applyBorder="1" applyAlignment="1">
      <alignment horizontal="center" vertical="center" wrapText="1"/>
    </xf>
    <xf numFmtId="0" fontId="30" fillId="26" borderId="53" xfId="0" applyFont="1" applyFill="1" applyBorder="1" applyAlignment="1">
      <alignment horizontal="center" vertical="center" wrapText="1"/>
    </xf>
    <xf numFmtId="174" fontId="30" fillId="26" borderId="33" xfId="0" applyNumberFormat="1" applyFont="1" applyFill="1" applyBorder="1" applyAlignment="1">
      <alignment horizontal="center" vertical="center"/>
    </xf>
    <xf numFmtId="0" fontId="30" fillId="12" borderId="25" xfId="0" applyFont="1" applyFill="1" applyBorder="1" applyAlignment="1">
      <alignment horizontal="center" vertical="center" wrapText="1"/>
    </xf>
    <xf numFmtId="170" fontId="30" fillId="12" borderId="25" xfId="0" applyNumberFormat="1" applyFont="1" applyFill="1" applyBorder="1" applyAlignment="1">
      <alignment horizontal="center" vertical="center" wrapText="1"/>
    </xf>
    <xf numFmtId="9" fontId="30" fillId="12" borderId="33" xfId="2" applyFont="1" applyFill="1" applyBorder="1" applyAlignment="1">
      <alignment horizontal="center" vertical="center" wrapText="1"/>
    </xf>
    <xf numFmtId="0" fontId="30" fillId="30" borderId="53" xfId="0" applyFont="1" applyFill="1" applyBorder="1" applyAlignment="1">
      <alignment horizontal="center" vertical="center" wrapText="1"/>
    </xf>
    <xf numFmtId="0" fontId="40" fillId="30" borderId="25" xfId="0" applyFont="1" applyFill="1" applyBorder="1" applyAlignment="1">
      <alignment horizontal="center" vertical="center" wrapText="1"/>
    </xf>
    <xf numFmtId="174" fontId="30" fillId="30" borderId="33" xfId="0" applyNumberFormat="1" applyFont="1" applyFill="1" applyBorder="1" applyAlignment="1">
      <alignment horizontal="center" vertical="center"/>
    </xf>
    <xf numFmtId="166" fontId="30" fillId="12" borderId="25" xfId="0" applyNumberFormat="1" applyFont="1" applyFill="1" applyBorder="1" applyAlignment="1">
      <alignment horizontal="center" vertical="center" wrapText="1"/>
    </xf>
    <xf numFmtId="0" fontId="30" fillId="17" borderId="25" xfId="0" applyFont="1" applyFill="1" applyBorder="1" applyAlignment="1">
      <alignment horizontal="center" vertical="center" wrapText="1"/>
    </xf>
    <xf numFmtId="170" fontId="30" fillId="17" borderId="25" xfId="0" applyNumberFormat="1" applyFont="1" applyFill="1" applyBorder="1" applyAlignment="1">
      <alignment horizontal="center" vertical="center" wrapText="1"/>
    </xf>
    <xf numFmtId="9" fontId="30" fillId="17" borderId="33" xfId="2" applyFont="1" applyFill="1" applyBorder="1" applyAlignment="1">
      <alignment horizontal="center" vertical="center" wrapText="1"/>
    </xf>
    <xf numFmtId="170" fontId="30" fillId="17" borderId="24" xfId="0" applyNumberFormat="1" applyFont="1" applyFill="1" applyBorder="1" applyAlignment="1">
      <alignment horizontal="center" vertical="center" wrapText="1"/>
    </xf>
    <xf numFmtId="166" fontId="30" fillId="17" borderId="25" xfId="0" applyNumberFormat="1" applyFont="1" applyFill="1" applyBorder="1" applyAlignment="1">
      <alignment horizontal="center" vertical="center" wrapText="1"/>
    </xf>
    <xf numFmtId="0" fontId="30" fillId="26" borderId="51" xfId="0" applyFont="1" applyFill="1" applyBorder="1" applyAlignment="1">
      <alignment horizontal="center" vertical="center" wrapText="1"/>
    </xf>
    <xf numFmtId="0" fontId="30" fillId="26" borderId="41" xfId="0" applyFont="1" applyFill="1" applyBorder="1" applyAlignment="1">
      <alignment horizontal="center" vertical="center" wrapText="1"/>
    </xf>
    <xf numFmtId="0" fontId="44" fillId="26" borderId="53" xfId="0" applyFont="1" applyFill="1" applyBorder="1" applyAlignment="1">
      <alignment horizontal="center" vertical="center" wrapText="1"/>
    </xf>
    <xf numFmtId="0" fontId="30" fillId="26" borderId="53" xfId="0" applyFont="1" applyFill="1" applyBorder="1" applyAlignment="1">
      <alignment horizontal="center" wrapText="1"/>
    </xf>
    <xf numFmtId="0" fontId="29" fillId="30" borderId="51" xfId="0" applyFont="1" applyFill="1" applyBorder="1" applyAlignment="1">
      <alignment horizontal="center" vertical="center" wrapText="1"/>
    </xf>
    <xf numFmtId="0" fontId="29" fillId="30" borderId="41" xfId="0" applyFont="1" applyFill="1" applyBorder="1" applyAlignment="1">
      <alignment horizontal="center" vertical="center" wrapText="1"/>
    </xf>
    <xf numFmtId="170" fontId="30" fillId="27" borderId="24" xfId="0" applyNumberFormat="1" applyFont="1" applyFill="1" applyBorder="1" applyAlignment="1">
      <alignment horizontal="center" vertical="center" wrapText="1"/>
    </xf>
    <xf numFmtId="166" fontId="30" fillId="27" borderId="25" xfId="0" applyNumberFormat="1" applyFont="1" applyFill="1" applyBorder="1" applyAlignment="1">
      <alignment horizontal="center" vertical="center" wrapText="1"/>
    </xf>
    <xf numFmtId="170" fontId="30" fillId="27" borderId="25" xfId="0" applyNumberFormat="1" applyFont="1" applyFill="1" applyBorder="1" applyAlignment="1">
      <alignment horizontal="center" vertical="center" wrapText="1"/>
    </xf>
    <xf numFmtId="0" fontId="30" fillId="27" borderId="25" xfId="0" applyFont="1" applyFill="1" applyBorder="1" applyAlignment="1">
      <alignment horizontal="center" vertical="center" wrapText="1"/>
    </xf>
    <xf numFmtId="0" fontId="29" fillId="26" borderId="53" xfId="0" applyFont="1" applyFill="1" applyBorder="1" applyAlignment="1">
      <alignment horizontal="center" wrapText="1"/>
    </xf>
    <xf numFmtId="9" fontId="30" fillId="27" borderId="33" xfId="2" applyFont="1" applyFill="1" applyBorder="1" applyAlignment="1">
      <alignment horizontal="center" vertical="center" wrapText="1"/>
    </xf>
    <xf numFmtId="0" fontId="30" fillId="5" borderId="53" xfId="0" applyFont="1" applyFill="1" applyBorder="1" applyAlignment="1">
      <alignment horizontal="center" wrapText="1"/>
    </xf>
    <xf numFmtId="0" fontId="29" fillId="26" borderId="51" xfId="0" applyFont="1" applyFill="1" applyBorder="1" applyAlignment="1">
      <alignment horizontal="center" vertical="center" wrapText="1"/>
    </xf>
    <xf numFmtId="0" fontId="29" fillId="26" borderId="41" xfId="0" applyFont="1" applyFill="1" applyBorder="1" applyAlignment="1">
      <alignment horizontal="center" vertical="center" wrapText="1"/>
    </xf>
    <xf numFmtId="0" fontId="39" fillId="19" borderId="50" xfId="0" applyFont="1" applyFill="1" applyBorder="1" applyAlignment="1">
      <alignment horizontal="center" vertical="center" textRotation="90"/>
    </xf>
    <xf numFmtId="0" fontId="39" fillId="19" borderId="54" xfId="0" applyFont="1" applyFill="1" applyBorder="1" applyAlignment="1">
      <alignment horizontal="center" vertical="center" textRotation="90"/>
    </xf>
    <xf numFmtId="0" fontId="39" fillId="19" borderId="64" xfId="0" applyFont="1" applyFill="1" applyBorder="1" applyAlignment="1">
      <alignment horizontal="center" vertical="center" textRotation="90"/>
    </xf>
    <xf numFmtId="0" fontId="30" fillId="30" borderId="20" xfId="0" applyFont="1" applyFill="1" applyBorder="1" applyAlignment="1">
      <alignment horizontal="center" wrapText="1"/>
    </xf>
    <xf numFmtId="0" fontId="30" fillId="30" borderId="53" xfId="0" applyFont="1" applyFill="1" applyBorder="1" applyAlignment="1">
      <alignment horizontal="center" wrapText="1"/>
    </xf>
    <xf numFmtId="0" fontId="40" fillId="30" borderId="10" xfId="0" applyFont="1" applyFill="1" applyBorder="1" applyAlignment="1">
      <alignment horizontal="center" vertical="center" wrapText="1"/>
    </xf>
    <xf numFmtId="174" fontId="30" fillId="30" borderId="39" xfId="0" applyNumberFormat="1" applyFont="1" applyFill="1" applyBorder="1" applyAlignment="1">
      <alignment horizontal="center" vertical="center"/>
    </xf>
    <xf numFmtId="9" fontId="40" fillId="0" borderId="33" xfId="2" applyFont="1" applyFill="1" applyBorder="1" applyAlignment="1">
      <alignment horizontal="center" vertical="center"/>
    </xf>
    <xf numFmtId="9" fontId="40" fillId="0" borderId="56" xfId="2" applyFont="1" applyFill="1" applyBorder="1" applyAlignment="1">
      <alignment horizontal="center" vertical="center"/>
    </xf>
    <xf numFmtId="166" fontId="40" fillId="0" borderId="25" xfId="0" applyNumberFormat="1" applyFont="1" applyFill="1" applyBorder="1" applyAlignment="1">
      <alignment horizontal="center" vertical="center"/>
    </xf>
    <xf numFmtId="0" fontId="30" fillId="5" borderId="63" xfId="0" applyFont="1" applyFill="1" applyBorder="1" applyAlignment="1">
      <alignment horizontal="center" vertical="center" wrapText="1"/>
    </xf>
    <xf numFmtId="0" fontId="41" fillId="5" borderId="28" xfId="0" applyFont="1" applyFill="1" applyBorder="1" applyAlignment="1">
      <alignment horizontal="center" vertical="center"/>
    </xf>
    <xf numFmtId="0" fontId="41" fillId="5" borderId="65" xfId="0" applyFont="1" applyFill="1" applyBorder="1" applyAlignment="1">
      <alignment horizontal="center" vertical="center"/>
    </xf>
    <xf numFmtId="166" fontId="40" fillId="0" borderId="24" xfId="2" applyNumberFormat="1" applyFont="1" applyFill="1" applyBorder="1" applyAlignment="1">
      <alignment horizontal="center" vertical="center"/>
    </xf>
    <xf numFmtId="166" fontId="40" fillId="0" borderId="51" xfId="2" applyNumberFormat="1" applyFont="1" applyFill="1" applyBorder="1" applyAlignment="1">
      <alignment horizontal="center" vertical="center"/>
    </xf>
    <xf numFmtId="166" fontId="40" fillId="0" borderId="52" xfId="0" applyNumberFormat="1" applyFont="1" applyFill="1" applyBorder="1" applyAlignment="1">
      <alignment horizontal="center" vertical="center"/>
    </xf>
    <xf numFmtId="0" fontId="30" fillId="5" borderId="20" xfId="0" applyFont="1" applyFill="1" applyBorder="1" applyAlignment="1">
      <alignment horizontal="center" vertical="center" wrapText="1"/>
    </xf>
    <xf numFmtId="0" fontId="29" fillId="26" borderId="57" xfId="0" applyFont="1" applyFill="1" applyBorder="1" applyAlignment="1">
      <alignment horizontal="center" vertical="center" wrapText="1"/>
    </xf>
    <xf numFmtId="0" fontId="29" fillId="26" borderId="20" xfId="0" applyFont="1" applyFill="1" applyBorder="1" applyAlignment="1">
      <alignment horizontal="center" vertical="center" wrapText="1"/>
    </xf>
    <xf numFmtId="0" fontId="30" fillId="26" borderId="28" xfId="0" applyFont="1" applyFill="1" applyBorder="1" applyAlignment="1">
      <alignment horizontal="center" vertical="center"/>
    </xf>
    <xf numFmtId="0" fontId="30" fillId="5" borderId="28" xfId="0" applyFont="1" applyFill="1" applyBorder="1" applyAlignment="1">
      <alignment horizontal="center" vertical="center"/>
    </xf>
    <xf numFmtId="0" fontId="30" fillId="26" borderId="57" xfId="0" applyFont="1" applyFill="1" applyBorder="1" applyAlignment="1">
      <alignment horizontal="center" vertical="center" wrapText="1"/>
    </xf>
    <xf numFmtId="0" fontId="30" fillId="26" borderId="20" xfId="0" applyFont="1" applyFill="1" applyBorder="1" applyAlignment="1">
      <alignment horizontal="center" vertical="center" wrapText="1"/>
    </xf>
    <xf numFmtId="0" fontId="30" fillId="30" borderId="57" xfId="0" applyFont="1" applyFill="1" applyBorder="1" applyAlignment="1">
      <alignment horizontal="center" vertical="center" wrapText="1"/>
    </xf>
    <xf numFmtId="0" fontId="30" fillId="30" borderId="20" xfId="0" applyFont="1" applyFill="1" applyBorder="1" applyAlignment="1">
      <alignment horizontal="center" vertical="center" wrapText="1"/>
    </xf>
    <xf numFmtId="0" fontId="30" fillId="30" borderId="28" xfId="0" applyFont="1" applyFill="1" applyBorder="1" applyAlignment="1">
      <alignment horizontal="center" vertical="center"/>
    </xf>
    <xf numFmtId="166" fontId="40" fillId="12" borderId="24" xfId="2" applyNumberFormat="1" applyFont="1" applyFill="1" applyBorder="1" applyAlignment="1">
      <alignment horizontal="center" vertical="center"/>
    </xf>
    <xf numFmtId="166" fontId="40" fillId="12" borderId="25" xfId="0" applyNumberFormat="1" applyFont="1" applyFill="1" applyBorder="1" applyAlignment="1">
      <alignment horizontal="center" vertical="center"/>
    </xf>
    <xf numFmtId="9" fontId="40" fillId="12" borderId="33" xfId="2" applyFont="1" applyFill="1" applyBorder="1" applyAlignment="1">
      <alignment horizontal="center" vertical="center"/>
    </xf>
    <xf numFmtId="9" fontId="40" fillId="0" borderId="39" xfId="2" applyFont="1" applyFill="1" applyBorder="1" applyAlignment="1">
      <alignment horizontal="center" vertical="center"/>
    </xf>
    <xf numFmtId="0" fontId="40" fillId="5" borderId="10" xfId="0" applyFont="1" applyFill="1" applyBorder="1" applyAlignment="1">
      <alignment horizontal="center" vertical="center" wrapText="1"/>
    </xf>
    <xf numFmtId="0" fontId="30" fillId="5" borderId="21" xfId="0" applyFont="1" applyFill="1" applyBorder="1" applyAlignment="1">
      <alignment horizontal="center" vertical="center"/>
    </xf>
    <xf numFmtId="166" fontId="40" fillId="0" borderId="41" xfId="2" applyNumberFormat="1" applyFont="1" applyFill="1" applyBorder="1" applyAlignment="1">
      <alignment horizontal="center" vertical="center"/>
    </xf>
    <xf numFmtId="166" fontId="40" fillId="0" borderId="10" xfId="0" applyNumberFormat="1" applyFont="1" applyFill="1" applyBorder="1" applyAlignment="1">
      <alignment horizontal="center" vertical="center"/>
    </xf>
    <xf numFmtId="0" fontId="39" fillId="19" borderId="42" xfId="0" applyFont="1" applyFill="1" applyBorder="1" applyAlignment="1">
      <alignment horizontal="center" vertical="center" textRotation="90" wrapText="1"/>
    </xf>
    <xf numFmtId="0" fontId="39" fillId="19" borderId="54" xfId="0" applyFont="1" applyFill="1" applyBorder="1" applyAlignment="1">
      <alignment horizontal="center" vertical="center" textRotation="90" wrapText="1"/>
    </xf>
    <xf numFmtId="0" fontId="39" fillId="19" borderId="64" xfId="0" applyFont="1" applyFill="1" applyBorder="1" applyAlignment="1">
      <alignment horizontal="center" vertical="center" textRotation="90" wrapText="1"/>
    </xf>
    <xf numFmtId="0" fontId="30" fillId="26" borderId="63" xfId="0" applyFont="1" applyFill="1" applyBorder="1" applyAlignment="1">
      <alignment horizontal="center" vertical="center" wrapText="1"/>
    </xf>
    <xf numFmtId="0" fontId="30" fillId="5" borderId="34" xfId="0" applyFont="1" applyFill="1" applyBorder="1" applyAlignment="1">
      <alignment horizontal="center" vertical="center"/>
    </xf>
    <xf numFmtId="0" fontId="41" fillId="26" borderId="57" xfId="0" applyFont="1" applyFill="1" applyBorder="1" applyAlignment="1">
      <alignment horizontal="center" vertical="center" wrapText="1"/>
    </xf>
    <xf numFmtId="166" fontId="30" fillId="0" borderId="46" xfId="0" applyNumberFormat="1" applyFont="1" applyFill="1" applyBorder="1" applyAlignment="1">
      <alignment horizontal="center" vertical="center"/>
    </xf>
    <xf numFmtId="9" fontId="30" fillId="0" borderId="43" xfId="2" applyFont="1" applyFill="1" applyBorder="1" applyAlignment="1">
      <alignment horizontal="center" vertical="center"/>
    </xf>
    <xf numFmtId="0" fontId="30" fillId="5" borderId="25" xfId="0" applyFont="1" applyFill="1" applyBorder="1" applyAlignment="1">
      <alignment horizontal="center" wrapText="1"/>
    </xf>
    <xf numFmtId="166" fontId="30" fillId="16" borderId="57" xfId="0" applyNumberFormat="1" applyFont="1" applyFill="1" applyBorder="1" applyAlignment="1">
      <alignment horizontal="center" vertical="center"/>
    </xf>
    <xf numFmtId="166" fontId="30" fillId="16" borderId="62" xfId="0" applyNumberFormat="1" applyFont="1" applyFill="1" applyBorder="1" applyAlignment="1">
      <alignment horizontal="center" vertical="center"/>
    </xf>
    <xf numFmtId="166" fontId="30" fillId="16" borderId="20" xfId="0" applyNumberFormat="1" applyFont="1" applyFill="1" applyBorder="1" applyAlignment="1">
      <alignment horizontal="center" vertical="center"/>
    </xf>
    <xf numFmtId="0" fontId="30" fillId="5" borderId="25" xfId="0" applyFont="1" applyFill="1" applyBorder="1" applyAlignment="1">
      <alignment horizontal="center" vertical="center"/>
    </xf>
    <xf numFmtId="0" fontId="30" fillId="30" borderId="25" xfId="0" applyFont="1" applyFill="1" applyBorder="1" applyAlignment="1">
      <alignment horizontal="center" vertical="center" wrapText="1"/>
    </xf>
    <xf numFmtId="3" fontId="30" fillId="30" borderId="25" xfId="0" applyNumberFormat="1" applyFont="1" applyFill="1" applyBorder="1" applyAlignment="1">
      <alignment horizontal="center" vertical="center" wrapText="1"/>
    </xf>
    <xf numFmtId="0" fontId="30" fillId="30" borderId="25" xfId="0" applyFont="1" applyFill="1" applyBorder="1" applyAlignment="1">
      <alignment horizontal="center" vertical="center"/>
    </xf>
    <xf numFmtId="166" fontId="30" fillId="12" borderId="57" xfId="0" applyNumberFormat="1" applyFont="1" applyFill="1" applyBorder="1" applyAlignment="1">
      <alignment horizontal="center" vertical="center"/>
    </xf>
    <xf numFmtId="166" fontId="30" fillId="12" borderId="20" xfId="0" applyNumberFormat="1" applyFont="1" applyFill="1" applyBorder="1" applyAlignment="1">
      <alignment horizontal="center" vertical="center"/>
    </xf>
    <xf numFmtId="166" fontId="30" fillId="12" borderId="52" xfId="0" applyNumberFormat="1" applyFont="1" applyFill="1" applyBorder="1" applyAlignment="1">
      <alignment horizontal="center" vertical="center"/>
    </xf>
    <xf numFmtId="166" fontId="30" fillId="12" borderId="10" xfId="0" applyNumberFormat="1" applyFont="1" applyFill="1" applyBorder="1" applyAlignment="1">
      <alignment horizontal="center" vertical="center"/>
    </xf>
    <xf numFmtId="9" fontId="30" fillId="12" borderId="56" xfId="2" applyFont="1" applyFill="1" applyBorder="1" applyAlignment="1">
      <alignment horizontal="center" vertical="center"/>
    </xf>
    <xf numFmtId="9" fontId="30" fillId="12" borderId="39" xfId="2" applyFont="1" applyFill="1" applyBorder="1" applyAlignment="1">
      <alignment horizontal="center" vertical="center"/>
    </xf>
    <xf numFmtId="166" fontId="30" fillId="27" borderId="52" xfId="0" applyNumberFormat="1" applyFont="1" applyFill="1" applyBorder="1" applyAlignment="1">
      <alignment horizontal="center" vertical="center"/>
    </xf>
    <xf numFmtId="166" fontId="30" fillId="27" borderId="10" xfId="0" applyNumberFormat="1" applyFont="1" applyFill="1" applyBorder="1" applyAlignment="1">
      <alignment horizontal="center" vertical="center"/>
    </xf>
    <xf numFmtId="9" fontId="30" fillId="27" borderId="56" xfId="2" applyFont="1" applyFill="1" applyBorder="1" applyAlignment="1">
      <alignment horizontal="center" vertical="center"/>
    </xf>
    <xf numFmtId="9" fontId="30" fillId="27" borderId="39" xfId="2" applyFont="1" applyFill="1" applyBorder="1" applyAlignment="1">
      <alignment horizontal="center" vertical="center"/>
    </xf>
    <xf numFmtId="0" fontId="30" fillId="2" borderId="25" xfId="0" applyFont="1" applyFill="1" applyBorder="1" applyAlignment="1">
      <alignment horizontal="center" vertical="center" wrapText="1"/>
    </xf>
    <xf numFmtId="0" fontId="40" fillId="2" borderId="25" xfId="0" applyFont="1" applyFill="1" applyBorder="1" applyAlignment="1">
      <alignment horizontal="center" vertical="center"/>
    </xf>
    <xf numFmtId="166" fontId="30" fillId="15" borderId="57" xfId="0" applyNumberFormat="1" applyFont="1" applyFill="1" applyBorder="1" applyAlignment="1">
      <alignment horizontal="center" vertical="center"/>
    </xf>
    <xf numFmtId="166" fontId="30" fillId="15" borderId="20" xfId="0" applyNumberFormat="1" applyFont="1" applyFill="1" applyBorder="1" applyAlignment="1">
      <alignment horizontal="center" vertical="center"/>
    </xf>
    <xf numFmtId="166" fontId="30" fillId="15" borderId="52" xfId="0" applyNumberFormat="1" applyFont="1" applyFill="1" applyBorder="1" applyAlignment="1">
      <alignment horizontal="center" vertical="center"/>
    </xf>
    <xf numFmtId="166" fontId="30" fillId="15" borderId="10" xfId="0" applyNumberFormat="1" applyFont="1" applyFill="1" applyBorder="1" applyAlignment="1">
      <alignment horizontal="center" vertical="center"/>
    </xf>
    <xf numFmtId="166" fontId="41" fillId="15" borderId="52" xfId="0" applyNumberFormat="1" applyFont="1" applyFill="1" applyBorder="1" applyAlignment="1">
      <alignment horizontal="center" vertical="center"/>
    </xf>
    <xf numFmtId="166" fontId="41" fillId="15" borderId="10" xfId="0" applyNumberFormat="1" applyFont="1" applyFill="1" applyBorder="1" applyAlignment="1">
      <alignment horizontal="center" vertical="center"/>
    </xf>
    <xf numFmtId="9" fontId="30" fillId="15" borderId="56" xfId="2" applyFont="1" applyFill="1" applyBorder="1" applyAlignment="1">
      <alignment horizontal="center" vertical="center"/>
    </xf>
    <xf numFmtId="9" fontId="30" fillId="15" borderId="39" xfId="2" applyFont="1" applyFill="1" applyBorder="1" applyAlignment="1">
      <alignment horizontal="center" vertical="center"/>
    </xf>
    <xf numFmtId="166" fontId="30" fillId="0" borderId="53" xfId="0" applyNumberFormat="1" applyFont="1" applyFill="1" applyBorder="1" applyAlignment="1">
      <alignment horizontal="center" vertical="center"/>
    </xf>
    <xf numFmtId="166" fontId="30" fillId="0" borderId="57" xfId="0" applyNumberFormat="1" applyFont="1" applyFill="1" applyBorder="1" applyAlignment="1">
      <alignment horizontal="center" vertical="center"/>
    </xf>
    <xf numFmtId="0" fontId="39" fillId="19" borderId="73" xfId="0" applyFont="1" applyFill="1" applyBorder="1" applyAlignment="1">
      <alignment horizontal="center" vertical="center" textRotation="90"/>
    </xf>
    <xf numFmtId="0" fontId="39" fillId="19" borderId="72" xfId="0" applyFont="1" applyFill="1" applyBorder="1" applyAlignment="1">
      <alignment horizontal="center" vertical="center" textRotation="90"/>
    </xf>
    <xf numFmtId="0" fontId="39" fillId="19" borderId="71" xfId="0" applyFont="1" applyFill="1" applyBorder="1" applyAlignment="1">
      <alignment horizontal="center" vertical="center" textRotation="90"/>
    </xf>
    <xf numFmtId="0" fontId="40" fillId="0" borderId="25" xfId="0" applyFont="1" applyBorder="1"/>
    <xf numFmtId="0" fontId="40" fillId="30" borderId="25" xfId="0" applyFont="1" applyFill="1" applyBorder="1" applyAlignment="1">
      <alignment horizontal="center" vertical="center"/>
    </xf>
    <xf numFmtId="166" fontId="30" fillId="27" borderId="57" xfId="0" applyNumberFormat="1" applyFont="1" applyFill="1" applyBorder="1" applyAlignment="1">
      <alignment horizontal="center" vertical="center"/>
    </xf>
    <xf numFmtId="166" fontId="30" fillId="27" borderId="20" xfId="0" applyNumberFormat="1" applyFont="1" applyFill="1" applyBorder="1" applyAlignment="1">
      <alignment horizontal="center" vertical="center"/>
    </xf>
    <xf numFmtId="0" fontId="50" fillId="2" borderId="0" xfId="0" applyFont="1" applyFill="1" applyBorder="1" applyAlignment="1">
      <alignment horizontal="center" vertical="center"/>
    </xf>
    <xf numFmtId="0" fontId="0" fillId="2" borderId="0" xfId="0" applyFont="1" applyFill="1" applyBorder="1"/>
    <xf numFmtId="0" fontId="63" fillId="5" borderId="27" xfId="0" applyFont="1" applyFill="1" applyBorder="1" applyAlignment="1">
      <alignment horizontal="center" vertical="center"/>
    </xf>
    <xf numFmtId="0" fontId="63" fillId="5" borderId="68" xfId="0" applyFont="1" applyFill="1" applyBorder="1" applyAlignment="1">
      <alignment horizontal="center" vertical="center"/>
    </xf>
    <xf numFmtId="0" fontId="63" fillId="5" borderId="53" xfId="0" applyFont="1" applyFill="1" applyBorder="1" applyAlignment="1">
      <alignment horizontal="center" vertical="center"/>
    </xf>
    <xf numFmtId="0" fontId="63" fillId="28" borderId="27" xfId="0" applyFont="1" applyFill="1" applyBorder="1" applyAlignment="1">
      <alignment horizontal="center" vertical="center"/>
    </xf>
    <xf numFmtId="0" fontId="63" fillId="28" borderId="68" xfId="0" applyFont="1" applyFill="1" applyBorder="1" applyAlignment="1">
      <alignment horizontal="center" vertical="center"/>
    </xf>
    <xf numFmtId="0" fontId="63" fillId="28" borderId="53" xfId="0" applyFont="1" applyFill="1" applyBorder="1" applyAlignment="1">
      <alignment horizontal="center" vertical="center"/>
    </xf>
    <xf numFmtId="0" fontId="62" fillId="38" borderId="27" xfId="0" applyFont="1" applyFill="1" applyBorder="1" applyAlignment="1">
      <alignment horizontal="center" vertical="center"/>
    </xf>
    <xf numFmtId="0" fontId="62" fillId="38" borderId="68" xfId="0" applyFont="1" applyFill="1" applyBorder="1" applyAlignment="1">
      <alignment horizontal="center" vertical="center"/>
    </xf>
    <xf numFmtId="0" fontId="62" fillId="38" borderId="53" xfId="0" applyFont="1" applyFill="1" applyBorder="1" applyAlignment="1">
      <alignment horizontal="center" vertical="center"/>
    </xf>
    <xf numFmtId="1" fontId="49" fillId="2" borderId="69" xfId="0" applyNumberFormat="1" applyFont="1" applyFill="1" applyBorder="1" applyAlignment="1">
      <alignment horizontal="center" vertical="center" wrapText="1"/>
    </xf>
    <xf numFmtId="1" fontId="49" fillId="2" borderId="0" xfId="0" applyNumberFormat="1" applyFont="1" applyFill="1" applyBorder="1" applyAlignment="1">
      <alignment horizontal="center" vertical="center" wrapText="1"/>
    </xf>
    <xf numFmtId="0" fontId="0" fillId="0" borderId="0" xfId="0" applyAlignment="1">
      <alignment horizontal="center"/>
    </xf>
    <xf numFmtId="0" fontId="0" fillId="0" borderId="25" xfId="0" applyFill="1" applyBorder="1" applyAlignment="1">
      <alignment horizontal="center"/>
    </xf>
    <xf numFmtId="14" fontId="9" fillId="9" borderId="50" xfId="2" applyNumberFormat="1" applyFont="1" applyFill="1" applyBorder="1" applyAlignment="1">
      <alignment horizontal="center" vertical="center" wrapText="1"/>
    </xf>
    <xf numFmtId="0" fontId="0" fillId="36" borderId="0" xfId="0" applyFont="1" applyFill="1" applyAlignment="1">
      <alignment vertical="center"/>
    </xf>
  </cellXfs>
  <cellStyles count="11">
    <cellStyle name="Hipervínculo" xfId="10" builtinId="8"/>
    <cellStyle name="Millares" xfId="1" builtinId="3"/>
    <cellStyle name="Millares [0]" xfId="9" builtinId="6"/>
    <cellStyle name="Normal" xfId="0" builtinId="0"/>
    <cellStyle name="Normal 2" xfId="7"/>
    <cellStyle name="Normal 3" xfId="6"/>
    <cellStyle name="Normal_Hoja1" xfId="4"/>
    <cellStyle name="Normal_Hoja5" xfId="5"/>
    <cellStyle name="Normal_Merluza sur Artesanal X_1" xfId="8"/>
    <cellStyle name="Porcentual" xfId="2" builtinId="5"/>
    <cellStyle name="Porcentual 2" xfId="3"/>
  </cellStyles>
  <dxfs count="21">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dxf>
    <dxf>
      <fill>
        <patternFill patternType="solid">
          <fgColor rgb="FFE46D0A"/>
          <bgColor rgb="FF0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s>
  <tableStyles count="0" defaultTableStyle="TableStyleMedium9" defaultPivotStyle="PivotStyleLight16"/>
  <colors>
    <mruColors>
      <color rgb="FFFA6AFE"/>
      <color rgb="FFC00CA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rgarcia/AppData/Local/Microsoft/Windows/Temporary%20Internet%20Files/Content.Outlook/TPOAYCY7/Cuota%20Merluza%20del%20Sur%2020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sur XI"/>
      <sheetName val="RAE M. SUR 2019"/>
    </sheetNames>
    <sheetDataSet>
      <sheetData sheetId="0" refreshError="1"/>
      <sheetData sheetId="1">
        <row r="261">
          <cell r="L261">
            <v>6.29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dimension ref="A1:J30"/>
  <sheetViews>
    <sheetView showGridLines="0" zoomScale="90" zoomScaleNormal="90" zoomScalePageLayoutView="90" workbookViewId="0">
      <selection activeCell="B67" sqref="B67"/>
    </sheetView>
  </sheetViews>
  <sheetFormatPr baseColWidth="10" defaultColWidth="11.44140625" defaultRowHeight="14.4"/>
  <cols>
    <col min="1" max="1" width="5.6640625" style="104" customWidth="1"/>
    <col min="2" max="2" width="17.5546875" style="1" customWidth="1"/>
    <col min="3" max="3" width="35.88671875" style="1" customWidth="1"/>
    <col min="4" max="4" width="14.33203125" style="1" customWidth="1"/>
    <col min="5" max="5" width="17.5546875" style="1" customWidth="1"/>
    <col min="6" max="6" width="9.88671875" style="1" customWidth="1"/>
    <col min="7" max="7" width="12.44140625" style="1" customWidth="1"/>
    <col min="8" max="8" width="12.33203125" style="1" customWidth="1"/>
    <col min="9" max="9" width="10.109375" style="1" customWidth="1"/>
    <col min="10" max="10" width="2.33203125" style="1" hidden="1" customWidth="1"/>
    <col min="11" max="11" width="4.44140625" style="1" customWidth="1"/>
    <col min="12" max="14" width="11.44140625" style="1"/>
    <col min="15" max="15" width="16" style="1" customWidth="1"/>
    <col min="16" max="16384" width="11.44140625" style="1"/>
  </cols>
  <sheetData>
    <row r="1" spans="1:10" s="56" customFormat="1" ht="16.95" customHeight="1">
      <c r="A1" s="102"/>
    </row>
    <row r="2" spans="1:10" s="56" customFormat="1" ht="8.25" customHeight="1" thickBot="1">
      <c r="A2" s="102"/>
    </row>
    <row r="3" spans="1:10">
      <c r="A3" s="103"/>
      <c r="B3" s="766" t="s">
        <v>0</v>
      </c>
      <c r="C3" s="767"/>
      <c r="D3" s="767"/>
      <c r="E3" s="767"/>
      <c r="F3" s="767"/>
      <c r="G3" s="767"/>
      <c r="H3" s="767"/>
      <c r="I3" s="768"/>
      <c r="J3" s="2"/>
    </row>
    <row r="4" spans="1:10" ht="15" thickBot="1">
      <c r="A4" s="103"/>
      <c r="B4" s="769">
        <v>43621</v>
      </c>
      <c r="C4" s="770"/>
      <c r="D4" s="770"/>
      <c r="E4" s="770"/>
      <c r="F4" s="770"/>
      <c r="G4" s="770"/>
      <c r="H4" s="770"/>
      <c r="I4" s="771"/>
      <c r="J4" s="2"/>
    </row>
    <row r="5" spans="1:10" ht="15" thickBot="1">
      <c r="B5" s="3"/>
      <c r="C5" s="3"/>
      <c r="D5" s="3"/>
      <c r="E5" s="3"/>
      <c r="F5" s="3"/>
      <c r="G5" s="3"/>
      <c r="H5" s="3"/>
      <c r="I5" s="3"/>
    </row>
    <row r="6" spans="1:10" ht="28.8">
      <c r="A6" s="103"/>
      <c r="B6" s="179" t="s">
        <v>1</v>
      </c>
      <c r="C6" s="180" t="s">
        <v>2</v>
      </c>
      <c r="D6" s="180" t="s">
        <v>3</v>
      </c>
      <c r="E6" s="180" t="s">
        <v>4</v>
      </c>
      <c r="F6" s="180" t="s">
        <v>5</v>
      </c>
      <c r="G6" s="180" t="s">
        <v>6</v>
      </c>
      <c r="H6" s="180" t="s">
        <v>7</v>
      </c>
      <c r="I6" s="181" t="s">
        <v>8</v>
      </c>
      <c r="J6" s="2"/>
    </row>
    <row r="7" spans="1:10" ht="15" customHeight="1">
      <c r="A7" s="103">
        <v>6192</v>
      </c>
      <c r="B7" s="772" t="s">
        <v>9</v>
      </c>
      <c r="C7" s="661" t="s">
        <v>10</v>
      </c>
      <c r="D7" s="183">
        <f>+'Merluza sur Artesanal X'!L36</f>
        <v>6192</v>
      </c>
      <c r="E7" s="680">
        <f>+'Merluza sur Artesanal X'!M36</f>
        <v>-1522.3609999999999</v>
      </c>
      <c r="F7" s="184">
        <f>D7+E7</f>
        <v>4669.6390000000001</v>
      </c>
      <c r="G7" s="331">
        <f>+'Merluza sur Artesanal X'!O36</f>
        <v>2580.0610000000006</v>
      </c>
      <c r="H7" s="184">
        <f>F7-G7</f>
        <v>2089.5779999999995</v>
      </c>
      <c r="I7" s="185">
        <f>G7/F7</f>
        <v>0.55251829959446552</v>
      </c>
      <c r="J7" s="2"/>
    </row>
    <row r="8" spans="1:10" ht="15" customHeight="1">
      <c r="A8" s="105"/>
      <c r="B8" s="773"/>
      <c r="C8" s="661" t="s">
        <v>11</v>
      </c>
      <c r="D8" s="183">
        <f>+'Merluza sur Artesanal XI'!G208</f>
        <v>3773.9999947164001</v>
      </c>
      <c r="E8" s="680">
        <f>+'Merluza sur Artesanal XI'!H208</f>
        <v>-2814.8420000000001</v>
      </c>
      <c r="F8" s="183">
        <f>D8+E8</f>
        <v>959.15799471640003</v>
      </c>
      <c r="G8" s="332">
        <f>+'Merluza sur Artesanal XI'!J208</f>
        <v>513.10166666666657</v>
      </c>
      <c r="H8" s="184">
        <f>F8-G8</f>
        <v>446.05632804973345</v>
      </c>
      <c r="I8" s="185">
        <f t="shared" ref="I8" si="0">G8/F8</f>
        <v>0.53495010154023526</v>
      </c>
      <c r="J8" s="2"/>
    </row>
    <row r="9" spans="1:10" ht="15" customHeight="1">
      <c r="A9" s="106">
        <v>1716.9983999279982</v>
      </c>
      <c r="B9" s="773"/>
      <c r="C9" s="661" t="s">
        <v>12</v>
      </c>
      <c r="D9" s="183">
        <f>+'Merluza sur Artesanal XII'!G280</f>
        <v>1716.9983999279989</v>
      </c>
      <c r="E9" s="680">
        <f>+'Merluza sur Artesanal XII'!H280</f>
        <v>-1684.2209999999984</v>
      </c>
      <c r="F9" s="184">
        <f t="shared" ref="F9:F16" si="1">D9+E9</f>
        <v>32.777399928000477</v>
      </c>
      <c r="G9" s="328">
        <f>+'Merluza sur Artesanal XII'!J280</f>
        <v>4.9374000000000002</v>
      </c>
      <c r="H9" s="184">
        <f t="shared" ref="H9:H17" si="2">F9-G9</f>
        <v>27.839999928000477</v>
      </c>
      <c r="I9" s="185">
        <f>G9/F9</f>
        <v>0.15063427882765554</v>
      </c>
      <c r="J9" s="2"/>
    </row>
    <row r="10" spans="1:10" ht="15" customHeight="1">
      <c r="A10" s="103"/>
      <c r="B10" s="773"/>
      <c r="C10" s="186" t="s">
        <v>13</v>
      </c>
      <c r="D10" s="187">
        <f>SUM(D7:D9)</f>
        <v>11682.998394644399</v>
      </c>
      <c r="E10" s="679">
        <f>SUM(E7:E9)</f>
        <v>-6021.4239999999982</v>
      </c>
      <c r="F10" s="188">
        <f t="shared" si="1"/>
        <v>5661.5743946444009</v>
      </c>
      <c r="G10" s="333">
        <f>SUM(G7:G9)</f>
        <v>3098.1000666666669</v>
      </c>
      <c r="H10" s="188">
        <f t="shared" si="2"/>
        <v>2563.474327977734</v>
      </c>
      <c r="I10" s="189">
        <f t="shared" ref="I10:I17" si="3">G10/F10</f>
        <v>0.54721528866552249</v>
      </c>
      <c r="J10" s="2"/>
    </row>
    <row r="11" spans="1:10" ht="15" customHeight="1">
      <c r="A11" s="103"/>
      <c r="B11" s="773"/>
      <c r="C11" s="182" t="s">
        <v>14</v>
      </c>
      <c r="D11" s="183">
        <v>21</v>
      </c>
      <c r="E11" s="328">
        <v>0</v>
      </c>
      <c r="F11" s="184">
        <f t="shared" si="1"/>
        <v>21</v>
      </c>
      <c r="G11" s="332">
        <v>0</v>
      </c>
      <c r="H11" s="184">
        <f t="shared" si="2"/>
        <v>21</v>
      </c>
      <c r="I11" s="185">
        <f t="shared" si="3"/>
        <v>0</v>
      </c>
      <c r="J11" s="2"/>
    </row>
    <row r="12" spans="1:10" ht="15" customHeight="1">
      <c r="A12" s="103"/>
      <c r="B12" s="774"/>
      <c r="C12" s="186" t="s">
        <v>15</v>
      </c>
      <c r="D12" s="187">
        <f>SUM(D10:D11)</f>
        <v>11703.998394644399</v>
      </c>
      <c r="E12" s="678">
        <f>SUM(E10:E11)</f>
        <v>-6021.4239999999982</v>
      </c>
      <c r="F12" s="187">
        <f>D12+E12</f>
        <v>5682.5743946444009</v>
      </c>
      <c r="G12" s="329">
        <f>SUM(G10:G11)</f>
        <v>3098.1000666666669</v>
      </c>
      <c r="H12" s="187">
        <f t="shared" si="2"/>
        <v>2584.474327977734</v>
      </c>
      <c r="I12" s="190">
        <f t="shared" si="3"/>
        <v>0.54519305010533647</v>
      </c>
      <c r="J12" s="2"/>
    </row>
    <row r="13" spans="1:10" ht="15" customHeight="1">
      <c r="A13" s="107">
        <v>4759.0009518000006</v>
      </c>
      <c r="B13" s="775" t="s">
        <v>16</v>
      </c>
      <c r="C13" s="665" t="s">
        <v>374</v>
      </c>
      <c r="D13" s="183">
        <f>+'Merluza sur Industrial'!F39</f>
        <v>4759.0009518000006</v>
      </c>
      <c r="E13" s="328">
        <f>+'Merluza sur Industrial'!G39</f>
        <v>5768.6588106499994</v>
      </c>
      <c r="F13" s="184">
        <f t="shared" si="1"/>
        <v>10527.659762449999</v>
      </c>
      <c r="G13" s="332">
        <f>+'Merluza sur Industrial'!I39</f>
        <v>2532.1240000000003</v>
      </c>
      <c r="H13" s="184">
        <f t="shared" si="2"/>
        <v>7995.5357624499993</v>
      </c>
      <c r="I13" s="185">
        <f t="shared" si="3"/>
        <v>0.24052107088714689</v>
      </c>
      <c r="J13" s="2"/>
    </row>
    <row r="14" spans="1:10" ht="15" customHeight="1">
      <c r="A14" s="107">
        <v>3043.0003043000002</v>
      </c>
      <c r="B14" s="776"/>
      <c r="C14" s="665" t="s">
        <v>375</v>
      </c>
      <c r="D14" s="183">
        <f>+'Merluza sur Industrial'!F67</f>
        <v>3043.0003043000006</v>
      </c>
      <c r="E14" s="328">
        <f>+'Merluza sur Industrial'!G67</f>
        <v>252.77457937999995</v>
      </c>
      <c r="F14" s="184">
        <f t="shared" si="1"/>
        <v>3295.7748836800006</v>
      </c>
      <c r="G14" s="332">
        <f>+'Merluza sur Industrial'!I67</f>
        <v>31.207000000000001</v>
      </c>
      <c r="H14" s="184">
        <f t="shared" si="2"/>
        <v>3264.5678836800007</v>
      </c>
      <c r="I14" s="185">
        <f t="shared" si="3"/>
        <v>9.4687899208561379E-3</v>
      </c>
      <c r="J14" s="2"/>
    </row>
    <row r="15" spans="1:10" ht="15" customHeight="1">
      <c r="A15" s="103"/>
      <c r="B15" s="777"/>
      <c r="C15" s="186" t="s">
        <v>17</v>
      </c>
      <c r="D15" s="187">
        <f>SUM(D13:D14)</f>
        <v>7802.0012561000012</v>
      </c>
      <c r="E15" s="187">
        <f>SUM(E13:E14)</f>
        <v>6021.4333900299989</v>
      </c>
      <c r="F15" s="187">
        <f>D15+E15</f>
        <v>13823.434646130001</v>
      </c>
      <c r="G15" s="676">
        <f>SUM(G13:G14)</f>
        <v>2563.3310000000001</v>
      </c>
      <c r="H15" s="187">
        <f t="shared" si="2"/>
        <v>11260.103646130001</v>
      </c>
      <c r="I15" s="190">
        <f t="shared" si="3"/>
        <v>0.18543372653898491</v>
      </c>
      <c r="J15" s="2"/>
    </row>
    <row r="16" spans="1:10" ht="15" customHeight="1">
      <c r="A16" s="103"/>
      <c r="B16" s="778" t="s">
        <v>18</v>
      </c>
      <c r="C16" s="779"/>
      <c r="D16" s="191">
        <v>31</v>
      </c>
      <c r="E16" s="330">
        <v>0</v>
      </c>
      <c r="F16" s="191">
        <f t="shared" si="1"/>
        <v>31</v>
      </c>
      <c r="G16" s="330">
        <v>0</v>
      </c>
      <c r="H16" s="191">
        <f t="shared" si="2"/>
        <v>31</v>
      </c>
      <c r="I16" s="192">
        <f t="shared" si="3"/>
        <v>0</v>
      </c>
      <c r="J16" s="2"/>
    </row>
    <row r="17" spans="1:10" ht="22.95" customHeight="1" thickBot="1">
      <c r="A17" s="103"/>
      <c r="B17" s="653" t="s">
        <v>19</v>
      </c>
      <c r="C17" s="654"/>
      <c r="D17" s="193">
        <f>+D12+D15+D16</f>
        <v>19536.999650744401</v>
      </c>
      <c r="E17" s="193">
        <f>SUM(E10+E15)</f>
        <v>9.3900300007589976E-3</v>
      </c>
      <c r="F17" s="194">
        <f>+D17+E17</f>
        <v>19537.009040774403</v>
      </c>
      <c r="G17" s="195">
        <f>SUM(G7:G16)</f>
        <v>14420.962200000002</v>
      </c>
      <c r="H17" s="195">
        <f t="shared" si="2"/>
        <v>5116.0468407744011</v>
      </c>
      <c r="I17" s="196">
        <f t="shared" si="3"/>
        <v>0.73813561584083642</v>
      </c>
      <c r="J17" s="2"/>
    </row>
    <row r="18" spans="1:10" ht="12.6" customHeight="1"/>
    <row r="19" spans="1:10" hidden="1">
      <c r="B19" s="4" t="s">
        <v>20</v>
      </c>
    </row>
    <row r="20" spans="1:10">
      <c r="D20" s="5"/>
    </row>
    <row r="21" spans="1:10" ht="15" thickBot="1">
      <c r="F21" s="5"/>
    </row>
    <row r="22" spans="1:10">
      <c r="A22" s="103"/>
      <c r="B22" s="786" t="s">
        <v>21</v>
      </c>
      <c r="C22" s="787"/>
      <c r="D22" s="787"/>
      <c r="E22" s="787"/>
      <c r="F22" s="787"/>
      <c r="G22" s="787"/>
      <c r="H22" s="787"/>
      <c r="I22" s="788"/>
      <c r="J22" s="2"/>
    </row>
    <row r="23" spans="1:10" ht="15" thickBot="1">
      <c r="A23" s="103"/>
      <c r="B23" s="789">
        <f>+B4</f>
        <v>43621</v>
      </c>
      <c r="C23" s="790"/>
      <c r="D23" s="790"/>
      <c r="E23" s="790"/>
      <c r="F23" s="790"/>
      <c r="G23" s="790"/>
      <c r="H23" s="790"/>
      <c r="I23" s="791"/>
      <c r="J23" s="2"/>
    </row>
    <row r="25" spans="1:10" ht="3" customHeight="1" thickBot="1"/>
    <row r="26" spans="1:10" ht="14.55" customHeight="1">
      <c r="A26" s="103"/>
      <c r="B26" s="792" t="s">
        <v>22</v>
      </c>
      <c r="C26" s="794" t="s">
        <v>23</v>
      </c>
      <c r="D26" s="794" t="s">
        <v>24</v>
      </c>
      <c r="E26" s="796" t="s">
        <v>25</v>
      </c>
      <c r="F26" s="796"/>
      <c r="G26" s="797" t="s">
        <v>26</v>
      </c>
      <c r="H26" s="799" t="s">
        <v>27</v>
      </c>
      <c r="I26" s="801" t="s">
        <v>28</v>
      </c>
      <c r="J26" s="782" t="s">
        <v>29</v>
      </c>
    </row>
    <row r="27" spans="1:10">
      <c r="A27" s="103"/>
      <c r="B27" s="793"/>
      <c r="C27" s="795"/>
      <c r="D27" s="795"/>
      <c r="E27" s="565" t="s">
        <v>16</v>
      </c>
      <c r="F27" s="565" t="s">
        <v>9</v>
      </c>
      <c r="G27" s="798"/>
      <c r="H27" s="800"/>
      <c r="I27" s="802"/>
      <c r="J27" s="783"/>
    </row>
    <row r="28" spans="1:10" ht="16.8" customHeight="1">
      <c r="A28" s="103"/>
      <c r="B28" s="784" t="s">
        <v>518</v>
      </c>
      <c r="C28" s="596" t="s">
        <v>566</v>
      </c>
      <c r="D28" s="591">
        <v>5</v>
      </c>
      <c r="E28" s="592">
        <f>+'Merluza sur Industrial'!C99</f>
        <v>11.648000000000001</v>
      </c>
      <c r="F28" s="592">
        <f>0.144+1.53</f>
        <v>1.6739999999999999</v>
      </c>
      <c r="G28" s="593">
        <f>+E28+F28</f>
        <v>13.322000000000001</v>
      </c>
      <c r="H28" s="738">
        <f>+D28-E28-F28</f>
        <v>-8.322000000000001</v>
      </c>
      <c r="I28" s="594">
        <f>+G28/D28</f>
        <v>2.6644000000000001</v>
      </c>
      <c r="J28" s="595">
        <v>43571</v>
      </c>
    </row>
    <row r="29" spans="1:10" ht="15" thickBot="1">
      <c r="A29" s="103"/>
      <c r="B29" s="785"/>
      <c r="C29" s="655" t="s">
        <v>565</v>
      </c>
      <c r="D29" s="656">
        <v>50</v>
      </c>
      <c r="E29" s="657">
        <f>+'Merluza sur Industrial'!C100</f>
        <v>2.0169999999999999</v>
      </c>
      <c r="F29" s="657">
        <v>0</v>
      </c>
      <c r="G29" s="657">
        <f>+E29+F29</f>
        <v>2.0169999999999999</v>
      </c>
      <c r="H29" s="658">
        <f>+D29-E29-F29</f>
        <v>47.982999999999997</v>
      </c>
      <c r="I29" s="659">
        <f>+G29/D29</f>
        <v>4.0340000000000001E-2</v>
      </c>
      <c r="J29" s="660" t="s">
        <v>30</v>
      </c>
    </row>
    <row r="30" spans="1:10" ht="15" thickBot="1">
      <c r="B30" s="780" t="s">
        <v>516</v>
      </c>
      <c r="C30" s="781"/>
      <c r="D30" s="569">
        <f>SUM(D28:D29)</f>
        <v>55</v>
      </c>
      <c r="E30" s="737">
        <f>SUM(E28:E29)</f>
        <v>13.665000000000001</v>
      </c>
      <c r="F30" s="737">
        <f t="shared" ref="F30:G30" si="4">SUM(F28:F29)</f>
        <v>1.6739999999999999</v>
      </c>
      <c r="G30" s="737">
        <f t="shared" si="4"/>
        <v>15.339</v>
      </c>
      <c r="H30" s="737">
        <f>+D30-E30-F30</f>
        <v>39.661000000000001</v>
      </c>
      <c r="I30" s="570">
        <f>+G30/D30</f>
        <v>0.27889090909090908</v>
      </c>
    </row>
  </sheetData>
  <mergeCells count="17">
    <mergeCell ref="B30:C30"/>
    <mergeCell ref="J26:J27"/>
    <mergeCell ref="B28:B29"/>
    <mergeCell ref="B22:I22"/>
    <mergeCell ref="B23:I23"/>
    <mergeCell ref="B26:B27"/>
    <mergeCell ref="C26:C27"/>
    <mergeCell ref="D26:D27"/>
    <mergeCell ref="E26:F26"/>
    <mergeCell ref="G26:G27"/>
    <mergeCell ref="H26:H27"/>
    <mergeCell ref="I26:I27"/>
    <mergeCell ref="B3:I3"/>
    <mergeCell ref="B4:I4"/>
    <mergeCell ref="B7:B12"/>
    <mergeCell ref="B13:B15"/>
    <mergeCell ref="B16:C16"/>
  </mergeCells>
  <conditionalFormatting sqref="I13">
    <cfRule type="dataBar" priority="10">
      <dataBar>
        <cfvo type="min" val="0"/>
        <cfvo type="max" val="0"/>
        <color rgb="FF63C384"/>
      </dataBar>
    </cfRule>
  </conditionalFormatting>
  <conditionalFormatting sqref="I14">
    <cfRule type="dataBar" priority="9">
      <dataBar>
        <cfvo type="min" val="0"/>
        <cfvo type="max" val="0"/>
        <color rgb="FF63C384"/>
      </dataBar>
    </cfRule>
  </conditionalFormatting>
  <conditionalFormatting sqref="I7:I11 I13:I14">
    <cfRule type="dataBar" priority="8">
      <dataBar>
        <cfvo type="min" val="0"/>
        <cfvo type="max" val="0"/>
        <color rgb="FF63C384"/>
      </dataBar>
    </cfRule>
  </conditionalFormatting>
  <conditionalFormatting sqref="I7:I11 I13:I14">
    <cfRule type="dataBar" priority="7">
      <dataBar>
        <cfvo type="min" val="0"/>
        <cfvo type="max" val="0"/>
        <color rgb="FF008AEF"/>
      </dataBar>
    </cfRule>
  </conditionalFormatting>
  <conditionalFormatting sqref="I29">
    <cfRule type="cellIs" dxfId="20" priority="5" operator="greaterThan">
      <formula>0.9</formula>
    </cfRule>
    <cfRule type="dataBar" priority="6">
      <dataBar>
        <cfvo type="min" val="0"/>
        <cfvo type="max" val="0"/>
        <color rgb="FF008AEF"/>
      </dataBar>
    </cfRule>
  </conditionalFormatting>
  <conditionalFormatting sqref="I29">
    <cfRule type="dataBar" priority="4">
      <dataBar>
        <cfvo type="min" val="0"/>
        <cfvo type="max" val="0"/>
        <color rgb="FF008AEF"/>
      </dataBar>
    </cfRule>
  </conditionalFormatting>
  <conditionalFormatting sqref="I28:I29">
    <cfRule type="cellIs" dxfId="19" priority="2" operator="greaterThan">
      <formula>0.9</formula>
    </cfRule>
    <cfRule type="dataBar" priority="3">
      <dataBar>
        <cfvo type="min" val="0"/>
        <cfvo type="max" val="0"/>
        <color rgb="FF008AEF"/>
      </dataBar>
    </cfRule>
  </conditionalFormatting>
  <conditionalFormatting sqref="I28:I29">
    <cfRule type="dataBar" priority="1">
      <dataBar>
        <cfvo type="min" val="0"/>
        <cfvo type="max" val="0"/>
        <color rgb="FF008AEF"/>
      </dataBar>
    </cfRule>
  </conditionalFormatting>
  <hyperlinks>
    <hyperlink ref="C7" location="'Merluza sur Artesanal X'!A1" display="REGION DE LOS LAGOS"/>
    <hyperlink ref="C8" location="'Merluza sur Artesanal XI'!A1" display="REGION DE AYSEN"/>
    <hyperlink ref="C9" location="'Merluza sur Artesanal XII'!A1" display="REGION DE MAGALLANES"/>
    <hyperlink ref="C13" location="'Merluza sur Industrial'!B11" display="MERLUZA DEL SUR 41°28,6' al 47° L.S. (NE)"/>
    <hyperlink ref="C14" location="'Merluza sur Industrial'!B49" display="MERLUZA DEL SUR 47° al 57° L.S. (SE)"/>
  </hyperlinks>
  <pageMargins left="0.7" right="0.7" top="0.75" bottom="0.75" header="0.3" footer="0.3"/>
  <pageSetup paperSize="9" orientation="portrait" horizontalDpi="200" verticalDpi="200"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002060"/>
  </sheetPr>
  <dimension ref="B1:U557"/>
  <sheetViews>
    <sheetView showGridLines="0" topLeftCell="C67" zoomScale="66" zoomScaleNormal="66" zoomScalePageLayoutView="125" workbookViewId="0">
      <selection activeCell="J132" sqref="J132"/>
    </sheetView>
  </sheetViews>
  <sheetFormatPr baseColWidth="10" defaultColWidth="11.44140625" defaultRowHeight="14.4"/>
  <cols>
    <col min="1" max="1" width="4.44140625" style="6" customWidth="1"/>
    <col min="2" max="2" width="26.77734375" style="50" customWidth="1"/>
    <col min="3" max="3" width="14.109375" style="50" customWidth="1"/>
    <col min="4" max="4" width="12.44140625" style="50" customWidth="1"/>
    <col min="5" max="5" width="11.44140625" style="50"/>
    <col min="6" max="6" width="13.77734375" style="50" customWidth="1"/>
    <col min="7" max="7" width="13.88671875" style="50" customWidth="1"/>
    <col min="8" max="8" width="13" style="353" customWidth="1"/>
    <col min="9" max="9" width="12.6640625" style="50" customWidth="1"/>
    <col min="10" max="10" width="15.109375" style="50" bestFit="1" customWidth="1"/>
    <col min="11" max="12" width="11.33203125" style="50" customWidth="1"/>
    <col min="13" max="13" width="13.44140625" style="50" customWidth="1"/>
    <col min="14" max="14" width="13.21875" style="50" customWidth="1"/>
    <col min="15" max="15" width="11.44140625" style="50" customWidth="1"/>
    <col min="16" max="16" width="12" style="50" customWidth="1"/>
    <col min="17" max="17" width="9.6640625" style="50" customWidth="1"/>
    <col min="18" max="18" width="14.6640625" style="6" hidden="1" customWidth="1"/>
    <col min="19" max="19" width="19.77734375" style="6" customWidth="1"/>
    <col min="20" max="16384" width="11.44140625" style="6"/>
  </cols>
  <sheetData>
    <row r="1" spans="2:21" ht="15" thickBot="1">
      <c r="B1" s="6"/>
      <c r="C1" s="6"/>
      <c r="D1" s="6"/>
      <c r="E1" s="6"/>
      <c r="F1" s="6"/>
      <c r="G1" s="6"/>
      <c r="H1" s="351"/>
      <c r="I1" s="6"/>
      <c r="J1" s="6"/>
      <c r="K1" s="6"/>
      <c r="L1" s="6"/>
      <c r="M1" s="6"/>
      <c r="N1" s="6"/>
      <c r="O1" s="6"/>
      <c r="P1" s="6"/>
      <c r="Q1" s="6"/>
    </row>
    <row r="2" spans="2:21" s="7" customFormat="1" ht="21" customHeight="1">
      <c r="B2" s="805" t="s">
        <v>31</v>
      </c>
      <c r="C2" s="806"/>
      <c r="D2" s="806"/>
      <c r="E2" s="806"/>
      <c r="F2" s="806"/>
      <c r="G2" s="806"/>
      <c r="H2" s="806"/>
      <c r="I2" s="806"/>
      <c r="J2" s="806"/>
      <c r="K2" s="806"/>
      <c r="L2" s="806"/>
      <c r="M2" s="806"/>
      <c r="N2" s="806"/>
      <c r="O2" s="806"/>
      <c r="P2" s="806"/>
      <c r="Q2" s="807"/>
      <c r="T2" s="8"/>
      <c r="U2" s="8"/>
    </row>
    <row r="3" spans="2:21" s="7" customFormat="1" ht="15" customHeight="1" thickBot="1">
      <c r="B3" s="808">
        <f>+'Resumen Cuota Global'!B4:I4</f>
        <v>43621</v>
      </c>
      <c r="C3" s="809"/>
      <c r="D3" s="809"/>
      <c r="E3" s="809"/>
      <c r="F3" s="809"/>
      <c r="G3" s="809"/>
      <c r="H3" s="809"/>
      <c r="I3" s="809"/>
      <c r="J3" s="809"/>
      <c r="K3" s="809"/>
      <c r="L3" s="809"/>
      <c r="M3" s="809"/>
      <c r="N3" s="809"/>
      <c r="O3" s="809"/>
      <c r="P3" s="809"/>
      <c r="Q3" s="810"/>
      <c r="T3" s="8"/>
      <c r="U3" s="8"/>
    </row>
    <row r="4" spans="2:21" s="7" customFormat="1" ht="15" customHeight="1">
      <c r="B4" s="9"/>
      <c r="C4" s="9"/>
      <c r="D4" s="9"/>
      <c r="E4" s="9"/>
      <c r="F4" s="9"/>
      <c r="G4" s="9"/>
      <c r="H4" s="354"/>
      <c r="I4" s="599"/>
      <c r="J4" s="9"/>
      <c r="K4" s="9"/>
      <c r="L4" s="9"/>
      <c r="M4" s="9"/>
      <c r="N4" s="9"/>
      <c r="O4" s="9"/>
      <c r="P4" s="9"/>
      <c r="Q4" s="9"/>
      <c r="T4" s="8"/>
      <c r="U4" s="8"/>
    </row>
    <row r="5" spans="2:21" s="13" customFormat="1" ht="15" customHeight="1">
      <c r="B5" s="10" t="s">
        <v>32</v>
      </c>
      <c r="C5" s="10" t="s">
        <v>33</v>
      </c>
      <c r="D5" s="11" t="s">
        <v>3</v>
      </c>
      <c r="E5" s="12"/>
      <c r="F5" s="12"/>
      <c r="G5" s="9"/>
      <c r="H5" s="355"/>
      <c r="I5" s="597"/>
      <c r="J5" s="12"/>
      <c r="K5" s="12"/>
      <c r="L5" s="12"/>
      <c r="M5" s="12"/>
      <c r="N5" s="12"/>
      <c r="O5" s="12"/>
      <c r="P5" s="12"/>
      <c r="Q5" s="12"/>
      <c r="T5" s="14"/>
      <c r="U5" s="14"/>
    </row>
    <row r="6" spans="2:21" s="13" customFormat="1" ht="15" customHeight="1">
      <c r="B6" s="811" t="s">
        <v>34</v>
      </c>
      <c r="C6" s="15" t="s">
        <v>35</v>
      </c>
      <c r="D6" s="16">
        <v>1666</v>
      </c>
      <c r="E6" s="12"/>
      <c r="F6" s="12"/>
      <c r="G6" s="9"/>
      <c r="I6" s="12"/>
      <c r="J6" s="12"/>
      <c r="K6" s="12"/>
      <c r="L6" s="12"/>
      <c r="M6" s="12"/>
      <c r="N6" s="12"/>
      <c r="O6" s="12"/>
      <c r="P6" s="12"/>
      <c r="Q6" s="12"/>
      <c r="T6" s="14"/>
      <c r="U6" s="14"/>
    </row>
    <row r="7" spans="2:21" s="13" customFormat="1" ht="15" customHeight="1">
      <c r="B7" s="811"/>
      <c r="C7" s="15" t="s">
        <v>36</v>
      </c>
      <c r="D7" s="16" t="s">
        <v>37</v>
      </c>
      <c r="E7" s="12"/>
      <c r="F7" s="12"/>
      <c r="G7" s="9"/>
      <c r="H7" s="476"/>
      <c r="I7" s="12"/>
      <c r="J7" s="12"/>
      <c r="K7" s="12"/>
      <c r="L7" s="12"/>
      <c r="M7" s="12"/>
      <c r="N7" s="12"/>
      <c r="O7" s="12"/>
      <c r="P7" s="12"/>
      <c r="Q7" s="12"/>
      <c r="T7" s="14"/>
      <c r="U7" s="14"/>
    </row>
    <row r="8" spans="2:21" s="13" customFormat="1" ht="15" customHeight="1">
      <c r="B8" s="811"/>
      <c r="C8" s="15" t="s">
        <v>38</v>
      </c>
      <c r="D8" s="16">
        <v>3093</v>
      </c>
      <c r="E8" s="12"/>
      <c r="F8" s="597"/>
      <c r="G8" s="475"/>
      <c r="H8" s="355"/>
      <c r="I8" s="12"/>
      <c r="J8" s="12"/>
      <c r="K8" s="12"/>
      <c r="L8" s="12"/>
      <c r="M8" s="12"/>
      <c r="N8" s="12"/>
      <c r="O8" s="12"/>
      <c r="P8" s="12"/>
      <c r="Q8" s="12"/>
      <c r="T8" s="14"/>
      <c r="U8" s="14"/>
    </row>
    <row r="9" spans="2:21" s="13" customFormat="1" ht="15" customHeight="1">
      <c r="B9" s="811"/>
      <c r="C9" s="10" t="s">
        <v>39</v>
      </c>
      <c r="D9" s="17">
        <f>SUM(D6:D8)</f>
        <v>4759</v>
      </c>
      <c r="E9" s="12"/>
      <c r="F9" s="12"/>
      <c r="G9" s="12"/>
      <c r="H9" s="355"/>
      <c r="I9" s="12"/>
      <c r="J9" s="12"/>
      <c r="K9" s="12"/>
      <c r="L9" s="12"/>
      <c r="M9" s="12">
        <f>+M14/L14</f>
        <v>0.56942506473451304</v>
      </c>
      <c r="N9" s="12"/>
      <c r="O9" s="12"/>
      <c r="P9" s="12"/>
      <c r="Q9" s="12"/>
      <c r="T9" s="14"/>
      <c r="U9" s="14"/>
    </row>
    <row r="10" spans="2:21" s="13" customFormat="1" ht="15" customHeight="1">
      <c r="B10" s="12"/>
      <c r="C10" s="12"/>
      <c r="D10" s="12"/>
      <c r="E10" s="12"/>
      <c r="F10" s="12"/>
      <c r="G10" s="12"/>
      <c r="H10" s="355"/>
      <c r="I10" s="12"/>
      <c r="J10" s="12"/>
      <c r="K10" s="12"/>
      <c r="L10" s="12"/>
      <c r="M10" s="597"/>
      <c r="N10" s="12"/>
      <c r="O10" s="12"/>
      <c r="P10" s="12"/>
      <c r="Q10" s="12"/>
      <c r="T10" s="14"/>
      <c r="U10" s="14"/>
    </row>
    <row r="11" spans="2:21" s="14" customFormat="1" ht="32.549999999999997" customHeight="1">
      <c r="B11" s="10" t="s">
        <v>40</v>
      </c>
      <c r="C11" s="10" t="s">
        <v>41</v>
      </c>
      <c r="D11" s="10" t="s">
        <v>42</v>
      </c>
      <c r="E11" s="18" t="s">
        <v>33</v>
      </c>
      <c r="F11" s="18" t="s">
        <v>43</v>
      </c>
      <c r="G11" s="18" t="s">
        <v>4</v>
      </c>
      <c r="H11" s="356" t="s">
        <v>44</v>
      </c>
      <c r="I11" s="18" t="s">
        <v>6</v>
      </c>
      <c r="J11" s="18" t="s">
        <v>45</v>
      </c>
      <c r="K11" s="18" t="s">
        <v>46</v>
      </c>
      <c r="L11" s="10" t="s">
        <v>47</v>
      </c>
      <c r="M11" s="10" t="s">
        <v>4</v>
      </c>
      <c r="N11" s="10" t="s">
        <v>5</v>
      </c>
      <c r="O11" s="10" t="s">
        <v>48</v>
      </c>
      <c r="P11" s="10" t="s">
        <v>49</v>
      </c>
      <c r="Q11" s="649" t="s">
        <v>460</v>
      </c>
      <c r="R11" s="649" t="s">
        <v>458</v>
      </c>
      <c r="T11" s="13"/>
      <c r="U11" s="13"/>
    </row>
    <row r="12" spans="2:21" s="13" customFormat="1" ht="19.95" customHeight="1">
      <c r="B12" s="816" t="s">
        <v>50</v>
      </c>
      <c r="C12" s="803" t="s">
        <v>51</v>
      </c>
      <c r="D12" s="812">
        <v>0.15042749999999999</v>
      </c>
      <c r="E12" s="19" t="s">
        <v>52</v>
      </c>
      <c r="F12" s="20">
        <f>+D12*$D$6</f>
        <v>250.61221499999999</v>
      </c>
      <c r="G12" s="663">
        <f>27.254+1402.741+1363.311+167.674+40.601+5.222+177.507+27.254+13.627+248.69</f>
        <v>3473.8809999999999</v>
      </c>
      <c r="H12" s="20">
        <f>F12+G12</f>
        <v>3724.493215</v>
      </c>
      <c r="I12" s="15"/>
      <c r="J12" s="20">
        <f>H12-I12</f>
        <v>3724.493215</v>
      </c>
      <c r="K12" s="22">
        <f>+I12/H12</f>
        <v>0</v>
      </c>
      <c r="L12" s="813">
        <f>F12+F13</f>
        <v>715.8844724999999</v>
      </c>
      <c r="M12" s="813">
        <f>G12+G13</f>
        <v>3473.8809999999999</v>
      </c>
      <c r="N12" s="814">
        <f>L12+M12</f>
        <v>4189.7654724999993</v>
      </c>
      <c r="O12" s="813">
        <f>I12+I13</f>
        <v>0</v>
      </c>
      <c r="P12" s="813">
        <f>N12-O12</f>
        <v>4189.7654724999993</v>
      </c>
      <c r="Q12" s="815">
        <f>O12/N12</f>
        <v>0</v>
      </c>
      <c r="R12" s="848">
        <f>+(((O12*1)+M12)/L12)*1</f>
        <v>4.8525720747491148</v>
      </c>
      <c r="S12" s="23"/>
    </row>
    <row r="13" spans="2:21" s="13" customFormat="1" ht="19.95" customHeight="1">
      <c r="B13" s="817"/>
      <c r="C13" s="804"/>
      <c r="D13" s="804"/>
      <c r="E13" s="19" t="s">
        <v>38</v>
      </c>
      <c r="F13" s="20">
        <f>+D12*$D$8</f>
        <v>465.27225749999997</v>
      </c>
      <c r="G13" s="589"/>
      <c r="H13" s="20">
        <f>F13+G13+J12</f>
        <v>4189.7654725000002</v>
      </c>
      <c r="I13" s="15"/>
      <c r="J13" s="20">
        <f t="shared" ref="J13:J33" si="0">H13-I13</f>
        <v>4189.7654725000002</v>
      </c>
      <c r="K13" s="22">
        <f>+I13/H13</f>
        <v>0</v>
      </c>
      <c r="L13" s="813"/>
      <c r="M13" s="813"/>
      <c r="N13" s="814"/>
      <c r="O13" s="813"/>
      <c r="P13" s="813"/>
      <c r="Q13" s="815"/>
      <c r="R13" s="848">
        <f t="shared" ref="R13:R35" si="1">+((M13*-1)+K13)/J13</f>
        <v>0</v>
      </c>
    </row>
    <row r="14" spans="2:21" s="13" customFormat="1" ht="19.95" customHeight="1">
      <c r="B14" s="817"/>
      <c r="C14" s="803" t="s">
        <v>53</v>
      </c>
      <c r="D14" s="812">
        <v>0.18365590000000001</v>
      </c>
      <c r="E14" s="19" t="s">
        <v>52</v>
      </c>
      <c r="F14" s="20">
        <f t="shared" ref="F14" si="2">+D14*$D$6</f>
        <v>305.97072940000004</v>
      </c>
      <c r="G14" s="663">
        <f>(305.556+106+193.879+18.446+10.819)+(-137.012)</f>
        <v>497.68799999999993</v>
      </c>
      <c r="H14" s="20">
        <f t="shared" ref="H14" si="3">F14+G14</f>
        <v>803.65872939999997</v>
      </c>
      <c r="I14" s="421">
        <f>+D77-46.125</f>
        <v>140.04000000000002</v>
      </c>
      <c r="J14" s="20">
        <f t="shared" si="0"/>
        <v>663.61872939999989</v>
      </c>
      <c r="K14" s="22">
        <f>+I14/H14</f>
        <v>0.1742530689669132</v>
      </c>
      <c r="L14" s="813">
        <f>F14+F15</f>
        <v>874.01842810000016</v>
      </c>
      <c r="M14" s="813">
        <f t="shared" ref="M14" si="4">G14+G15</f>
        <v>497.68799999999993</v>
      </c>
      <c r="N14" s="814">
        <f>L14+M14</f>
        <v>1371.7064281</v>
      </c>
      <c r="O14" s="813">
        <f t="shared" ref="O14" si="5">I14+I15</f>
        <v>801.92900000000009</v>
      </c>
      <c r="P14" s="813">
        <f t="shared" ref="P14" si="6">N14-O14</f>
        <v>569.77742809999995</v>
      </c>
      <c r="Q14" s="815">
        <f>O14/N14</f>
        <v>0.58462144929274762</v>
      </c>
      <c r="R14" s="848">
        <f t="shared" ref="R14" si="7">+(((O14*1)+M14)/L14)*1</f>
        <v>1.4869446206359682</v>
      </c>
    </row>
    <row r="15" spans="2:21" s="13" customFormat="1" ht="19.95" customHeight="1">
      <c r="B15" s="817"/>
      <c r="C15" s="804"/>
      <c r="D15" s="804"/>
      <c r="E15" s="19" t="s">
        <v>38</v>
      </c>
      <c r="F15" s="20">
        <f t="shared" ref="F15" si="8">+D14*$D$8</f>
        <v>568.04769870000007</v>
      </c>
      <c r="G15" s="589"/>
      <c r="H15" s="20">
        <f>F15+G15+J14</f>
        <v>1231.6664280999998</v>
      </c>
      <c r="I15" s="421">
        <f>+D98</f>
        <v>661.88900000000001</v>
      </c>
      <c r="J15" s="20">
        <f t="shared" si="0"/>
        <v>569.77742809999984</v>
      </c>
      <c r="K15" s="22">
        <f>+I15/H15</f>
        <v>0.53739306755405103</v>
      </c>
      <c r="L15" s="813"/>
      <c r="M15" s="813"/>
      <c r="N15" s="814"/>
      <c r="O15" s="813"/>
      <c r="P15" s="813"/>
      <c r="Q15" s="815"/>
      <c r="R15" s="848">
        <f t="shared" si="1"/>
        <v>9.4316313888751467E-4</v>
      </c>
    </row>
    <row r="16" spans="2:21" s="13" customFormat="1" ht="19.95" customHeight="1">
      <c r="B16" s="817"/>
      <c r="C16" s="803" t="s">
        <v>54</v>
      </c>
      <c r="D16" s="812">
        <v>2.03261E-2</v>
      </c>
      <c r="E16" s="19" t="s">
        <v>52</v>
      </c>
      <c r="F16" s="20">
        <f t="shared" ref="F16" si="9">+D16*$D$6</f>
        <v>33.863282599999998</v>
      </c>
      <c r="G16" s="663">
        <f>+Movimientos_cuotas!G6</f>
        <v>73.209362649999989</v>
      </c>
      <c r="H16" s="20">
        <f>F16+G16</f>
        <v>107.07264524999999</v>
      </c>
      <c r="I16" s="421"/>
      <c r="J16" s="20">
        <f t="shared" si="0"/>
        <v>107.07264524999999</v>
      </c>
      <c r="K16" s="22">
        <f t="shared" ref="K16:K33" si="10">+I16/H16</f>
        <v>0</v>
      </c>
      <c r="L16" s="813">
        <f>F16+F17</f>
        <v>96.731909900000005</v>
      </c>
      <c r="M16" s="813">
        <f>G16+G17</f>
        <v>73.209362649999989</v>
      </c>
      <c r="N16" s="814">
        <f>L16+M16</f>
        <v>169.94127255000001</v>
      </c>
      <c r="O16" s="813">
        <f>I16+I17</f>
        <v>0</v>
      </c>
      <c r="P16" s="813">
        <f t="shared" ref="P16" si="11">N16-O16</f>
        <v>169.94127255000001</v>
      </c>
      <c r="Q16" s="815">
        <f t="shared" ref="Q16" si="12">O16/N16</f>
        <v>0</v>
      </c>
      <c r="R16" s="848">
        <f t="shared" ref="R16" si="13">+(((O16*1)+M16)/L16)*1</f>
        <v>0.75682742877384235</v>
      </c>
    </row>
    <row r="17" spans="2:18" s="13" customFormat="1" ht="15.6">
      <c r="B17" s="817"/>
      <c r="C17" s="804"/>
      <c r="D17" s="804"/>
      <c r="E17" s="19" t="s">
        <v>38</v>
      </c>
      <c r="F17" s="20">
        <f t="shared" ref="F17" si="14">+D16*$D$8</f>
        <v>62.8686273</v>
      </c>
      <c r="G17" s="589"/>
      <c r="H17" s="20">
        <f>F17+G17+J16</f>
        <v>169.94127255000001</v>
      </c>
      <c r="I17" s="421"/>
      <c r="J17" s="20">
        <f t="shared" si="0"/>
        <v>169.94127255000001</v>
      </c>
      <c r="K17" s="22">
        <f t="shared" si="10"/>
        <v>0</v>
      </c>
      <c r="L17" s="813"/>
      <c r="M17" s="813"/>
      <c r="N17" s="814"/>
      <c r="O17" s="813"/>
      <c r="P17" s="813"/>
      <c r="Q17" s="815"/>
      <c r="R17" s="848">
        <f t="shared" si="1"/>
        <v>0</v>
      </c>
    </row>
    <row r="18" spans="2:18" s="13" customFormat="1" ht="15.6" customHeight="1">
      <c r="B18" s="817"/>
      <c r="C18" s="803" t="s">
        <v>55</v>
      </c>
      <c r="D18" s="812">
        <v>0.24709130000000001</v>
      </c>
      <c r="E18" s="412" t="s">
        <v>52</v>
      </c>
      <c r="F18" s="20">
        <f t="shared" ref="F18" si="15">+D18*$D$6</f>
        <v>411.65410580000002</v>
      </c>
      <c r="G18" s="663">
        <f>(722.274+15.924+59.755)+(-36.54912+728.7028+0.1808)</f>
        <v>1490.28748</v>
      </c>
      <c r="H18" s="20">
        <f t="shared" ref="H18" si="16">F18+G18</f>
        <v>1901.9415858</v>
      </c>
      <c r="I18" s="421">
        <f>+D78-33.118</f>
        <v>154.29400000000004</v>
      </c>
      <c r="J18" s="20">
        <f t="shared" si="0"/>
        <v>1747.6475857999999</v>
      </c>
      <c r="K18" s="22">
        <f t="shared" si="10"/>
        <v>8.1124468360105007E-2</v>
      </c>
      <c r="L18" s="813">
        <f>F18+F19</f>
        <v>1175.9074967000001</v>
      </c>
      <c r="M18" s="813">
        <f t="shared" ref="M18" si="17">G18+G19</f>
        <v>1490.28748</v>
      </c>
      <c r="N18" s="814">
        <f t="shared" ref="N18" si="18">L18+M18</f>
        <v>2666.1949767000001</v>
      </c>
      <c r="O18" s="813">
        <f t="shared" ref="O18" si="19">I18+I19</f>
        <v>1021.604</v>
      </c>
      <c r="P18" s="813">
        <f t="shared" ref="P18" si="20">N18-O18</f>
        <v>1644.5909767000001</v>
      </c>
      <c r="Q18" s="815">
        <f t="shared" ref="Q18" si="21">O18/N18</f>
        <v>0.38316927641370724</v>
      </c>
      <c r="R18" s="848">
        <f t="shared" ref="R18" si="22">+(((O18*1)+M18)/L18)*1</f>
        <v>2.1361301692941232</v>
      </c>
    </row>
    <row r="19" spans="2:18" s="13" customFormat="1" ht="15.6">
      <c r="B19" s="817"/>
      <c r="C19" s="804"/>
      <c r="D19" s="804"/>
      <c r="E19" s="412" t="s">
        <v>38</v>
      </c>
      <c r="F19" s="20">
        <f t="shared" ref="F19" si="23">+D18*$D$8</f>
        <v>764.2533909</v>
      </c>
      <c r="G19" s="589"/>
      <c r="H19" s="20">
        <f>F19+G19+J18</f>
        <v>2511.9009766999998</v>
      </c>
      <c r="I19" s="421">
        <f>+D99</f>
        <v>867.31000000000006</v>
      </c>
      <c r="J19" s="20">
        <f t="shared" si="0"/>
        <v>1644.5909766999998</v>
      </c>
      <c r="K19" s="22">
        <f t="shared" si="10"/>
        <v>0.34528033073159803</v>
      </c>
      <c r="L19" s="813"/>
      <c r="M19" s="813"/>
      <c r="N19" s="814"/>
      <c r="O19" s="813"/>
      <c r="P19" s="813"/>
      <c r="Q19" s="815"/>
      <c r="R19" s="848">
        <f t="shared" si="1"/>
        <v>2.0994906066214102E-4</v>
      </c>
    </row>
    <row r="20" spans="2:18" s="13" customFormat="1" ht="15.6">
      <c r="B20" s="817"/>
      <c r="C20" s="803" t="s">
        <v>56</v>
      </c>
      <c r="D20" s="812">
        <v>0.36841390000000002</v>
      </c>
      <c r="E20" s="19" t="s">
        <v>52</v>
      </c>
      <c r="F20" s="20">
        <f t="shared" ref="F20" si="24">+D20*$D$6</f>
        <v>613.77755739999998</v>
      </c>
      <c r="G20" s="663">
        <f>(167.778+222.222+147.677+324.448)+(-728.70284-73.20947)+(137.012+36.54912+35.6925+35.6925)</f>
        <v>305.15880999999996</v>
      </c>
      <c r="H20" s="20">
        <f t="shared" ref="H20" si="25">F20+G20</f>
        <v>918.93636739999988</v>
      </c>
      <c r="I20" s="421">
        <f>+D76</f>
        <v>66.421000000000006</v>
      </c>
      <c r="J20" s="20">
        <f t="shared" si="0"/>
        <v>852.51536739999983</v>
      </c>
      <c r="K20" s="22">
        <f t="shared" si="10"/>
        <v>7.228030400834913E-2</v>
      </c>
      <c r="L20" s="813">
        <f>F20+F21</f>
        <v>1753.2817501</v>
      </c>
      <c r="M20" s="813">
        <f t="shared" ref="M20" si="26">G20+G21</f>
        <v>305.15880999999996</v>
      </c>
      <c r="N20" s="814">
        <f t="shared" ref="N20" si="27">L20+M20</f>
        <v>2058.4405600999999</v>
      </c>
      <c r="O20" s="813">
        <f t="shared" ref="O20" si="28">I20+I21</f>
        <v>708.59100000000001</v>
      </c>
      <c r="P20" s="813">
        <f t="shared" ref="P20" si="29">N20-O20</f>
        <v>1349.8495601</v>
      </c>
      <c r="Q20" s="815">
        <f t="shared" ref="Q20:Q36" si="30">O20/N20</f>
        <v>0.34423680417839048</v>
      </c>
      <c r="R20" s="848">
        <f t="shared" ref="R20" si="31">+(((O20*1)+M20)/L20)*1</f>
        <v>0.57820131301895994</v>
      </c>
    </row>
    <row r="21" spans="2:18" s="13" customFormat="1" ht="15.6">
      <c r="B21" s="817"/>
      <c r="C21" s="804"/>
      <c r="D21" s="804"/>
      <c r="E21" s="19" t="s">
        <v>38</v>
      </c>
      <c r="F21" s="20">
        <f t="shared" ref="F21" si="32">+D20*$D$8</f>
        <v>1139.5041927</v>
      </c>
      <c r="G21" s="422"/>
      <c r="H21" s="20">
        <f>F21+G21+J20</f>
        <v>1992.0195600999998</v>
      </c>
      <c r="I21" s="421">
        <f>+D96</f>
        <v>642.16999999999996</v>
      </c>
      <c r="J21" s="20">
        <f t="shared" si="0"/>
        <v>1349.8495601</v>
      </c>
      <c r="K21" s="22">
        <f t="shared" si="10"/>
        <v>0.32237133252233874</v>
      </c>
      <c r="L21" s="813"/>
      <c r="M21" s="813"/>
      <c r="N21" s="814"/>
      <c r="O21" s="813"/>
      <c r="P21" s="813"/>
      <c r="Q21" s="815"/>
      <c r="R21" s="848">
        <f t="shared" si="1"/>
        <v>2.3882019304318381E-4</v>
      </c>
    </row>
    <row r="22" spans="2:18" s="13" customFormat="1" ht="15.6" hidden="1" customHeight="1">
      <c r="B22" s="817"/>
      <c r="C22" s="812" t="s">
        <v>57</v>
      </c>
      <c r="D22" s="812">
        <v>0</v>
      </c>
      <c r="E22" s="19" t="s">
        <v>52</v>
      </c>
      <c r="F22" s="20">
        <f t="shared" ref="F22" si="33">+D22*$D$6</f>
        <v>0</v>
      </c>
      <c r="G22" s="650"/>
      <c r="H22" s="20">
        <f t="shared" ref="H22" si="34">F22+G22</f>
        <v>0</v>
      </c>
      <c r="I22" s="15"/>
      <c r="J22" s="20">
        <f t="shared" si="0"/>
        <v>0</v>
      </c>
      <c r="K22" s="22">
        <v>0</v>
      </c>
      <c r="L22" s="813">
        <f>F22+F23</f>
        <v>0</v>
      </c>
      <c r="M22" s="813">
        <f>G22+G23</f>
        <v>0</v>
      </c>
      <c r="N22" s="814">
        <f t="shared" ref="N22" si="35">L22+M22</f>
        <v>0</v>
      </c>
      <c r="O22" s="813">
        <f>I22+I23</f>
        <v>0</v>
      </c>
      <c r="P22" s="813">
        <f t="shared" ref="P22" si="36">N22-O22</f>
        <v>0</v>
      </c>
      <c r="Q22" s="815">
        <v>0</v>
      </c>
      <c r="R22" s="848" t="e">
        <f t="shared" ref="R22" si="37">+(((O22*1)+M22)/L22)*1</f>
        <v>#DIV/0!</v>
      </c>
    </row>
    <row r="23" spans="2:18" s="13" customFormat="1" ht="15.6" hidden="1" customHeight="1">
      <c r="B23" s="817"/>
      <c r="C23" s="804"/>
      <c r="D23" s="804"/>
      <c r="E23" s="19" t="s">
        <v>38</v>
      </c>
      <c r="F23" s="20">
        <f t="shared" ref="F23" si="38">+D22*$D$8</f>
        <v>0</v>
      </c>
      <c r="G23" s="650"/>
      <c r="H23" s="20">
        <f>F23+G23+J22</f>
        <v>0</v>
      </c>
      <c r="I23" s="15"/>
      <c r="J23" s="20">
        <f t="shared" si="0"/>
        <v>0</v>
      </c>
      <c r="K23" s="22">
        <v>0</v>
      </c>
      <c r="L23" s="813"/>
      <c r="M23" s="813"/>
      <c r="N23" s="814"/>
      <c r="O23" s="813"/>
      <c r="P23" s="813"/>
      <c r="Q23" s="815"/>
      <c r="R23" s="848" t="e">
        <f t="shared" si="1"/>
        <v>#DIV/0!</v>
      </c>
    </row>
    <row r="24" spans="2:18" s="13" customFormat="1" ht="15.6" hidden="1" customHeight="1">
      <c r="B24" s="817"/>
      <c r="C24" s="812" t="s">
        <v>58</v>
      </c>
      <c r="D24" s="812">
        <v>0</v>
      </c>
      <c r="E24" s="19" t="s">
        <v>52</v>
      </c>
      <c r="F24" s="20">
        <f t="shared" ref="F24" si="39">+D24*$D$6</f>
        <v>0</v>
      </c>
      <c r="G24" s="650"/>
      <c r="H24" s="20">
        <f t="shared" ref="H24" si="40">F24+G24</f>
        <v>0</v>
      </c>
      <c r="I24" s="15"/>
      <c r="J24" s="20">
        <f t="shared" si="0"/>
        <v>0</v>
      </c>
      <c r="K24" s="22">
        <v>0</v>
      </c>
      <c r="L24" s="813">
        <f>F24+F25</f>
        <v>0</v>
      </c>
      <c r="M24" s="813">
        <f>G24+G25</f>
        <v>0</v>
      </c>
      <c r="N24" s="814">
        <f t="shared" ref="N24" si="41">L24+M24</f>
        <v>0</v>
      </c>
      <c r="O24" s="813">
        <f>I24+I25</f>
        <v>0</v>
      </c>
      <c r="P24" s="813">
        <f t="shared" ref="P24" si="42">N24-O24</f>
        <v>0</v>
      </c>
      <c r="Q24" s="815">
        <v>0</v>
      </c>
      <c r="R24" s="848" t="e">
        <f t="shared" ref="R24" si="43">+(((O24*1)+M24)/L24)*1</f>
        <v>#DIV/0!</v>
      </c>
    </row>
    <row r="25" spans="2:18" s="13" customFormat="1" ht="15.6" hidden="1" customHeight="1">
      <c r="B25" s="817"/>
      <c r="C25" s="804"/>
      <c r="D25" s="804"/>
      <c r="E25" s="19" t="s">
        <v>38</v>
      </c>
      <c r="F25" s="20">
        <f t="shared" ref="F25" si="44">+D24*$D$8</f>
        <v>0</v>
      </c>
      <c r="G25" s="650"/>
      <c r="H25" s="20">
        <f>F25+G25+J24</f>
        <v>0</v>
      </c>
      <c r="I25" s="15"/>
      <c r="J25" s="20">
        <f t="shared" si="0"/>
        <v>0</v>
      </c>
      <c r="K25" s="22">
        <v>0</v>
      </c>
      <c r="L25" s="813"/>
      <c r="M25" s="813"/>
      <c r="N25" s="814"/>
      <c r="O25" s="813"/>
      <c r="P25" s="813"/>
      <c r="Q25" s="815"/>
      <c r="R25" s="848" t="e">
        <f t="shared" si="1"/>
        <v>#DIV/0!</v>
      </c>
    </row>
    <row r="26" spans="2:18" s="13" customFormat="1" ht="15.6" hidden="1" customHeight="1">
      <c r="B26" s="817"/>
      <c r="C26" s="812" t="s">
        <v>59</v>
      </c>
      <c r="D26" s="812">
        <v>0</v>
      </c>
      <c r="E26" s="19" t="s">
        <v>52</v>
      </c>
      <c r="F26" s="20">
        <f t="shared" ref="F26" si="45">+D26*$D$6</f>
        <v>0</v>
      </c>
      <c r="G26" s="650"/>
      <c r="H26" s="20">
        <f t="shared" ref="H26" si="46">F26+G26</f>
        <v>0</v>
      </c>
      <c r="I26" s="15"/>
      <c r="J26" s="20">
        <f t="shared" si="0"/>
        <v>0</v>
      </c>
      <c r="K26" s="22">
        <v>0</v>
      </c>
      <c r="L26" s="813">
        <f>F26+F27</f>
        <v>0</v>
      </c>
      <c r="M26" s="813">
        <f>G26+G27</f>
        <v>0</v>
      </c>
      <c r="N26" s="814">
        <f t="shared" ref="N26" si="47">L26+M26</f>
        <v>0</v>
      </c>
      <c r="O26" s="813">
        <f>I26+I27</f>
        <v>0</v>
      </c>
      <c r="P26" s="813">
        <f t="shared" ref="P26" si="48">N26-O26</f>
        <v>0</v>
      </c>
      <c r="Q26" s="815">
        <v>0</v>
      </c>
      <c r="R26" s="848" t="e">
        <f t="shared" ref="R26" si="49">+(((O26*1)+M26)/L26)*1</f>
        <v>#DIV/0!</v>
      </c>
    </row>
    <row r="27" spans="2:18" s="13" customFormat="1" ht="15.6" hidden="1" customHeight="1">
      <c r="B27" s="817"/>
      <c r="C27" s="804"/>
      <c r="D27" s="804"/>
      <c r="E27" s="19" t="s">
        <v>38</v>
      </c>
      <c r="F27" s="20">
        <f t="shared" ref="F27" si="50">+D26*$D$8</f>
        <v>0</v>
      </c>
      <c r="G27" s="650"/>
      <c r="H27" s="20">
        <f>F27+G27+J26</f>
        <v>0</v>
      </c>
      <c r="I27" s="15"/>
      <c r="J27" s="20">
        <f t="shared" si="0"/>
        <v>0</v>
      </c>
      <c r="K27" s="22">
        <v>0</v>
      </c>
      <c r="L27" s="813"/>
      <c r="M27" s="813"/>
      <c r="N27" s="814"/>
      <c r="O27" s="813"/>
      <c r="P27" s="813"/>
      <c r="Q27" s="815"/>
      <c r="R27" s="848" t="e">
        <f t="shared" si="1"/>
        <v>#DIV/0!</v>
      </c>
    </row>
    <row r="28" spans="2:18" s="13" customFormat="1" ht="15.6">
      <c r="B28" s="817"/>
      <c r="C28" s="812" t="s">
        <v>60</v>
      </c>
      <c r="D28" s="812">
        <v>3.8000000000000002E-5</v>
      </c>
      <c r="E28" s="412" t="s">
        <v>52</v>
      </c>
      <c r="F28" s="20">
        <f t="shared" ref="F28" si="51">+D28*$D$6</f>
        <v>6.3308000000000003E-2</v>
      </c>
      <c r="G28" s="664">
        <v>-0.18084200000000003</v>
      </c>
      <c r="H28" s="20">
        <f t="shared" ref="H28" si="52">F28+G28</f>
        <v>-0.11753400000000003</v>
      </c>
      <c r="I28" s="15"/>
      <c r="J28" s="20">
        <f t="shared" si="0"/>
        <v>-0.11753400000000003</v>
      </c>
      <c r="K28" s="22">
        <f t="shared" si="10"/>
        <v>0</v>
      </c>
      <c r="L28" s="818">
        <f>F28+F29</f>
        <v>0.180842</v>
      </c>
      <c r="M28" s="818">
        <f t="shared" ref="M28" si="53">G28+G29</f>
        <v>-0.18084200000000003</v>
      </c>
      <c r="N28" s="818">
        <f t="shared" ref="N28" si="54">L28+M28</f>
        <v>0</v>
      </c>
      <c r="O28" s="818">
        <f t="shared" ref="O28" si="55">I28+I29</f>
        <v>0</v>
      </c>
      <c r="P28" s="818">
        <f t="shared" ref="P28" si="56">N28-O28</f>
        <v>0</v>
      </c>
      <c r="Q28" s="815">
        <v>0</v>
      </c>
      <c r="R28" s="846">
        <f>+(((O28*1)+M28)/L28)*1</f>
        <v>-1.0000000000000002</v>
      </c>
    </row>
    <row r="29" spans="2:18" s="13" customFormat="1" ht="15.6">
      <c r="B29" s="817"/>
      <c r="C29" s="804"/>
      <c r="D29" s="804"/>
      <c r="E29" s="412" t="s">
        <v>38</v>
      </c>
      <c r="F29" s="20">
        <f t="shared" ref="F29" si="57">+D28*$D$8</f>
        <v>0.117534</v>
      </c>
      <c r="G29" s="422"/>
      <c r="H29" s="20">
        <f>F29+G29+J28</f>
        <v>0</v>
      </c>
      <c r="I29" s="15"/>
      <c r="J29" s="20">
        <f t="shared" si="0"/>
        <v>0</v>
      </c>
      <c r="K29" s="22">
        <v>0</v>
      </c>
      <c r="L29" s="818"/>
      <c r="M29" s="818"/>
      <c r="N29" s="818"/>
      <c r="O29" s="818"/>
      <c r="P29" s="818"/>
      <c r="Q29" s="815"/>
      <c r="R29" s="846" t="e">
        <f t="shared" si="1"/>
        <v>#DIV/0!</v>
      </c>
    </row>
    <row r="30" spans="2:18" s="13" customFormat="1" ht="15.6">
      <c r="B30" s="817"/>
      <c r="C30" s="812" t="s">
        <v>61</v>
      </c>
      <c r="D30" s="812">
        <v>4.7500000000000003E-5</v>
      </c>
      <c r="E30" s="19" t="s">
        <v>52</v>
      </c>
      <c r="F30" s="20">
        <f>+D30*$D$6</f>
        <v>7.9135000000000011E-2</v>
      </c>
      <c r="G30" s="21"/>
      <c r="H30" s="20">
        <f t="shared" ref="H30" si="58">F30+G30</f>
        <v>7.9135000000000011E-2</v>
      </c>
      <c r="I30" s="15"/>
      <c r="J30" s="20">
        <f t="shared" si="0"/>
        <v>7.9135000000000011E-2</v>
      </c>
      <c r="K30" s="22">
        <f t="shared" si="10"/>
        <v>0</v>
      </c>
      <c r="L30" s="813">
        <f t="shared" ref="L30:M30" si="59">F30+F31</f>
        <v>0.22605250000000002</v>
      </c>
      <c r="M30" s="813">
        <f t="shared" si="59"/>
        <v>0</v>
      </c>
      <c r="N30" s="814">
        <f t="shared" ref="N30" si="60">L30+M30</f>
        <v>0.22605250000000002</v>
      </c>
      <c r="O30" s="813">
        <f t="shared" ref="O30" si="61">I30+I31</f>
        <v>0</v>
      </c>
      <c r="P30" s="813">
        <f t="shared" ref="P30" si="62">N30-O30</f>
        <v>0.22605250000000002</v>
      </c>
      <c r="Q30" s="815">
        <f t="shared" si="30"/>
        <v>0</v>
      </c>
      <c r="R30" s="848">
        <f>+(((O30*1)+M30)/L30)*1</f>
        <v>0</v>
      </c>
    </row>
    <row r="31" spans="2:18" s="13" customFormat="1" ht="15.6">
      <c r="B31" s="817"/>
      <c r="C31" s="804"/>
      <c r="D31" s="804"/>
      <c r="E31" s="19" t="s">
        <v>38</v>
      </c>
      <c r="F31" s="20">
        <f>+D30*$D$8</f>
        <v>0.14691750000000001</v>
      </c>
      <c r="G31" s="21"/>
      <c r="H31" s="20">
        <f>F31+G31+J30</f>
        <v>0.22605250000000002</v>
      </c>
      <c r="I31" s="15"/>
      <c r="J31" s="20">
        <f t="shared" si="0"/>
        <v>0.22605250000000002</v>
      </c>
      <c r="K31" s="22">
        <f t="shared" si="10"/>
        <v>0</v>
      </c>
      <c r="L31" s="813"/>
      <c r="M31" s="813"/>
      <c r="N31" s="814"/>
      <c r="O31" s="813"/>
      <c r="P31" s="813"/>
      <c r="Q31" s="815"/>
      <c r="R31" s="848">
        <f t="shared" si="1"/>
        <v>0</v>
      </c>
    </row>
    <row r="32" spans="2:18" s="13" customFormat="1" ht="15.6">
      <c r="B32" s="817"/>
      <c r="C32" s="812" t="s">
        <v>475</v>
      </c>
      <c r="D32" s="816">
        <v>1.4999999999999999E-2</v>
      </c>
      <c r="E32" s="19" t="s">
        <v>52</v>
      </c>
      <c r="F32" s="20">
        <f t="shared" ref="F32" si="63">+D32*$D$6</f>
        <v>24.99</v>
      </c>
      <c r="G32" s="21"/>
      <c r="H32" s="20">
        <f t="shared" ref="H32" si="64">F32+G32</f>
        <v>24.99</v>
      </c>
      <c r="I32" s="15"/>
      <c r="J32" s="20">
        <f t="shared" si="0"/>
        <v>24.99</v>
      </c>
      <c r="K32" s="22">
        <f t="shared" si="10"/>
        <v>0</v>
      </c>
      <c r="L32" s="813">
        <f>F32+F33</f>
        <v>71.384999999999991</v>
      </c>
      <c r="M32" s="813">
        <f>G32+G33</f>
        <v>0</v>
      </c>
      <c r="N32" s="814">
        <f t="shared" ref="N32" si="65">L32+M32</f>
        <v>71.384999999999991</v>
      </c>
      <c r="O32" s="813">
        <f>I32+I33</f>
        <v>0</v>
      </c>
      <c r="P32" s="813">
        <f t="shared" ref="P32" si="66">N32-O32</f>
        <v>71.384999999999991</v>
      </c>
      <c r="Q32" s="815">
        <f t="shared" si="30"/>
        <v>0</v>
      </c>
      <c r="R32" s="848">
        <f t="shared" ref="R32" si="67">+(((O32*1)+M32)/L32)*1</f>
        <v>0</v>
      </c>
    </row>
    <row r="33" spans="2:18" s="13" customFormat="1" ht="15.6">
      <c r="B33" s="817"/>
      <c r="C33" s="804"/>
      <c r="D33" s="804"/>
      <c r="E33" s="19" t="s">
        <v>38</v>
      </c>
      <c r="F33" s="20">
        <f t="shared" ref="F33" si="68">+D32*$D$8</f>
        <v>46.394999999999996</v>
      </c>
      <c r="G33" s="21"/>
      <c r="H33" s="20">
        <f>F33+G33+J32</f>
        <v>71.384999999999991</v>
      </c>
      <c r="I33" s="15"/>
      <c r="J33" s="20">
        <f t="shared" si="0"/>
        <v>71.384999999999991</v>
      </c>
      <c r="K33" s="22">
        <f t="shared" si="10"/>
        <v>0</v>
      </c>
      <c r="L33" s="813"/>
      <c r="M33" s="813"/>
      <c r="N33" s="814"/>
      <c r="O33" s="813"/>
      <c r="P33" s="813"/>
      <c r="Q33" s="815"/>
      <c r="R33" s="848">
        <f t="shared" si="1"/>
        <v>0</v>
      </c>
    </row>
    <row r="34" spans="2:18" s="13" customFormat="1" ht="15.6">
      <c r="B34" s="817"/>
      <c r="C34" s="816" t="s">
        <v>479</v>
      </c>
      <c r="D34" s="816">
        <v>1.4999999999999999E-2</v>
      </c>
      <c r="E34" s="401" t="s">
        <v>52</v>
      </c>
      <c r="F34" s="20">
        <f t="shared" ref="F34" si="69">+D34*$D$6</f>
        <v>24.99</v>
      </c>
      <c r="G34" s="765">
        <f>-35.6925*2</f>
        <v>-71.385000000000005</v>
      </c>
      <c r="H34" s="20">
        <f t="shared" ref="H34" si="70">F34+G34</f>
        <v>-46.39500000000001</v>
      </c>
      <c r="I34" s="15"/>
      <c r="J34" s="20">
        <f t="shared" ref="J34:J35" si="71">H34-I34</f>
        <v>-46.39500000000001</v>
      </c>
      <c r="K34" s="22">
        <f t="shared" ref="K34" si="72">+I34/H34</f>
        <v>0</v>
      </c>
      <c r="L34" s="823">
        <f>F34+F35</f>
        <v>71.384999999999991</v>
      </c>
      <c r="M34" s="823">
        <f>G34+G35</f>
        <v>-71.385000000000005</v>
      </c>
      <c r="N34" s="823">
        <f t="shared" ref="N34" si="73">L34+M34</f>
        <v>0</v>
      </c>
      <c r="O34" s="823">
        <f>I34+I35</f>
        <v>0</v>
      </c>
      <c r="P34" s="823">
        <f t="shared" ref="P34" si="74">N34-O34</f>
        <v>0</v>
      </c>
      <c r="Q34" s="825">
        <v>0</v>
      </c>
      <c r="R34" s="846">
        <f t="shared" ref="R34" si="75">+(((O34*1)+M34)/L34)*1</f>
        <v>-1.0000000000000002</v>
      </c>
    </row>
    <row r="35" spans="2:18" s="13" customFormat="1" ht="15.6">
      <c r="B35" s="804"/>
      <c r="C35" s="804"/>
      <c r="D35" s="804"/>
      <c r="E35" s="401" t="s">
        <v>38</v>
      </c>
      <c r="F35" s="20">
        <f t="shared" ref="F35" si="76">+D34*$D$8</f>
        <v>46.394999999999996</v>
      </c>
      <c r="G35" s="21"/>
      <c r="H35" s="20">
        <f>F35+G35+J34</f>
        <v>0</v>
      </c>
      <c r="I35" s="15"/>
      <c r="J35" s="20">
        <f t="shared" si="71"/>
        <v>0</v>
      </c>
      <c r="K35" s="22">
        <v>0</v>
      </c>
      <c r="L35" s="824"/>
      <c r="M35" s="824"/>
      <c r="N35" s="824"/>
      <c r="O35" s="824"/>
      <c r="P35" s="824"/>
      <c r="Q35" s="826"/>
      <c r="R35" s="846" t="e">
        <f t="shared" si="1"/>
        <v>#DIV/0!</v>
      </c>
    </row>
    <row r="36" spans="2:18" s="13" customFormat="1" ht="15.6">
      <c r="B36" s="819" t="s">
        <v>452</v>
      </c>
      <c r="C36" s="819"/>
      <c r="D36" s="819">
        <f>SUM(D12:D35)</f>
        <v>1.0000002000000001</v>
      </c>
      <c r="E36" s="19" t="s">
        <v>52</v>
      </c>
      <c r="F36" s="24">
        <f>+F12+F14+F16+F18+F20+F22+F24+F26+F28+F30+F32+F34</f>
        <v>1666.0003332000001</v>
      </c>
      <c r="G36" s="24">
        <f>+G12+G14+G16+G18+G20+G22+G24+G26+G28+G30+G32+G34</f>
        <v>5768.6588106499994</v>
      </c>
      <c r="H36" s="357">
        <f>F36+G36</f>
        <v>7434.65914385</v>
      </c>
      <c r="I36" s="24">
        <f>+I12+I14+I16+I18+I20+I22+I24+I26+I28+I30+I32+I34</f>
        <v>360.75500000000005</v>
      </c>
      <c r="J36" s="24">
        <f>H36-I36</f>
        <v>7073.9041438499999</v>
      </c>
      <c r="K36" s="22">
        <f>(I36/H36)</f>
        <v>4.8523408137469089E-2</v>
      </c>
      <c r="L36" s="820">
        <f>F36+F37</f>
        <v>4759.0009518000006</v>
      </c>
      <c r="M36" s="820">
        <f>G36+G37</f>
        <v>5768.6588106499994</v>
      </c>
      <c r="N36" s="820">
        <f>L36+M36</f>
        <v>10527.659762449999</v>
      </c>
      <c r="O36" s="821">
        <f>I36+I37</f>
        <v>2532.1240000000003</v>
      </c>
      <c r="P36" s="821">
        <f>N36-O36</f>
        <v>7995.5357624499993</v>
      </c>
      <c r="Q36" s="822">
        <f t="shared" si="30"/>
        <v>0.24052107088714689</v>
      </c>
      <c r="R36" s="849">
        <f t="shared" ref="R36" si="77">+M36/L36</f>
        <v>1.2121575240425442</v>
      </c>
    </row>
    <row r="37" spans="2:18" s="13" customFormat="1" ht="15.6">
      <c r="B37" s="819"/>
      <c r="C37" s="819"/>
      <c r="D37" s="819"/>
      <c r="E37" s="19" t="s">
        <v>38</v>
      </c>
      <c r="F37" s="24">
        <f>+F13+F15+F17+F19+F21+F23+F25+F27+F29+F31+F33+F35</f>
        <v>3093.0006186000001</v>
      </c>
      <c r="G37" s="24">
        <f>+G13+G15+G17+G19+G21+G23+G25+G27+G29+G31+G33+G35</f>
        <v>0</v>
      </c>
      <c r="H37" s="357">
        <f>F37+G37</f>
        <v>3093.0006186000001</v>
      </c>
      <c r="I37" s="24">
        <f>+I13+I15+I17+I19+I21+I23+I25+I27+I29+I31+I33+I35</f>
        <v>2171.3690000000001</v>
      </c>
      <c r="J37" s="24">
        <f>H37-I37</f>
        <v>921.63161859999991</v>
      </c>
      <c r="K37" s="22">
        <f>(I37/H37)</f>
        <v>0.70202669438289267</v>
      </c>
      <c r="L37" s="820"/>
      <c r="M37" s="821"/>
      <c r="N37" s="821"/>
      <c r="O37" s="821"/>
      <c r="P37" s="821"/>
      <c r="Q37" s="822"/>
      <c r="R37" s="850"/>
    </row>
    <row r="38" spans="2:18" s="13" customFormat="1" ht="15.6">
      <c r="B38" s="25">
        <v>4.0000000000000003E-5</v>
      </c>
      <c r="C38" s="25">
        <f>+B38*D9*95%</f>
        <v>0.18084200000000003</v>
      </c>
      <c r="D38" s="25"/>
      <c r="E38" s="25"/>
      <c r="F38" s="25"/>
      <c r="G38" s="25"/>
      <c r="H38" s="358"/>
      <c r="I38" s="25"/>
      <c r="J38" s="25"/>
      <c r="K38" s="25"/>
      <c r="L38" s="25"/>
      <c r="M38" s="25"/>
      <c r="N38" s="25"/>
      <c r="O38" s="25"/>
      <c r="P38" s="25"/>
      <c r="Q38" s="25"/>
      <c r="R38" s="26"/>
    </row>
    <row r="39" spans="2:18" s="13" customFormat="1" ht="16.2" customHeight="1">
      <c r="B39" s="821" t="s">
        <v>63</v>
      </c>
      <c r="C39" s="821"/>
      <c r="D39" s="821"/>
      <c r="E39" s="821"/>
      <c r="F39" s="27">
        <f>SUM(F12:F35)</f>
        <v>4759.0009518000006</v>
      </c>
      <c r="G39" s="27">
        <f>SUM(G12:G35)</f>
        <v>5768.6588106499994</v>
      </c>
      <c r="H39" s="359">
        <f>+F39+G39</f>
        <v>10527.659762449999</v>
      </c>
      <c r="I39" s="10">
        <f>SUM(I12:I35)</f>
        <v>2532.1240000000003</v>
      </c>
      <c r="J39" s="27">
        <f>H39-I39</f>
        <v>7995.5357624499993</v>
      </c>
      <c r="K39" s="28">
        <f>(I39/H39)</f>
        <v>0.24052107088714689</v>
      </c>
      <c r="L39" s="29"/>
      <c r="M39" s="29"/>
      <c r="N39" s="29"/>
      <c r="O39" s="29"/>
      <c r="P39" s="29"/>
      <c r="Q39" s="29"/>
      <c r="R39" s="26"/>
    </row>
    <row r="40" spans="2:18" s="13" customFormat="1" ht="11.55" customHeight="1">
      <c r="B40" s="30"/>
      <c r="C40" s="31"/>
      <c r="D40" s="32"/>
      <c r="E40" s="32"/>
      <c r="F40" s="32"/>
      <c r="G40" s="32"/>
      <c r="H40" s="360"/>
      <c r="I40" s="32"/>
      <c r="J40" s="33"/>
      <c r="K40" s="34"/>
      <c r="L40" s="29"/>
      <c r="M40" s="29"/>
      <c r="N40" s="29"/>
      <c r="O40" s="29"/>
      <c r="P40" s="29"/>
      <c r="Q40" s="29"/>
      <c r="R40" s="26"/>
    </row>
    <row r="41" spans="2:18" s="13" customFormat="1" ht="13.2" customHeight="1">
      <c r="B41" s="30"/>
      <c r="C41" s="31"/>
      <c r="D41" s="32"/>
      <c r="E41" s="32"/>
      <c r="F41" s="32"/>
      <c r="G41" s="32"/>
      <c r="H41" s="360"/>
      <c r="I41" s="628">
        <f>33.118+46.125</f>
        <v>79.242999999999995</v>
      </c>
      <c r="J41" s="33"/>
      <c r="K41" s="34"/>
      <c r="L41" s="29"/>
      <c r="M41" s="29"/>
      <c r="N41" s="29"/>
      <c r="O41" s="29"/>
      <c r="P41" s="29"/>
      <c r="Q41" s="29"/>
      <c r="R41" s="26"/>
    </row>
    <row r="42" spans="2:18" s="13" customFormat="1" ht="31.2">
      <c r="B42" s="10" t="s">
        <v>32</v>
      </c>
      <c r="C42" s="10" t="s">
        <v>33</v>
      </c>
      <c r="D42" s="11" t="s">
        <v>3</v>
      </c>
      <c r="E42" s="32"/>
      <c r="F42" s="32"/>
      <c r="G42" s="32"/>
      <c r="H42" s="360"/>
      <c r="I42" s="32"/>
      <c r="J42" s="33"/>
      <c r="K42" s="34"/>
      <c r="L42" s="29"/>
      <c r="M42" s="29"/>
      <c r="N42" s="29"/>
      <c r="O42" s="29"/>
      <c r="P42" s="29"/>
      <c r="Q42" s="29"/>
      <c r="R42" s="26"/>
    </row>
    <row r="43" spans="2:18" s="13" customFormat="1" ht="15.6">
      <c r="B43" s="827" t="s">
        <v>64</v>
      </c>
      <c r="C43" s="15" t="s">
        <v>35</v>
      </c>
      <c r="D43" s="16">
        <v>1065</v>
      </c>
      <c r="E43" s="32"/>
      <c r="F43" s="32"/>
      <c r="G43" s="32"/>
      <c r="H43" s="360"/>
      <c r="I43" s="32"/>
      <c r="J43" s="33"/>
      <c r="K43" s="34"/>
      <c r="L43" s="29"/>
      <c r="M43" s="29"/>
      <c r="N43" s="29"/>
      <c r="O43" s="29"/>
      <c r="P43" s="29"/>
      <c r="Q43" s="29"/>
      <c r="R43" s="26"/>
    </row>
    <row r="44" spans="2:18" s="13" customFormat="1" ht="15.6">
      <c r="B44" s="827"/>
      <c r="C44" s="15" t="s">
        <v>36</v>
      </c>
      <c r="D44" s="16" t="s">
        <v>37</v>
      </c>
      <c r="E44" s="32"/>
      <c r="F44" s="32"/>
      <c r="G44" s="32"/>
      <c r="H44" s="360"/>
      <c r="I44" s="32"/>
      <c r="J44" s="33"/>
      <c r="K44" s="34"/>
      <c r="L44" s="32"/>
      <c r="M44" s="32"/>
      <c r="N44" s="32"/>
      <c r="O44" s="32"/>
      <c r="P44" s="32"/>
      <c r="Q44" s="34"/>
    </row>
    <row r="45" spans="2:18" s="7" customFormat="1" ht="15.6">
      <c r="B45" s="827"/>
      <c r="C45" s="15" t="s">
        <v>38</v>
      </c>
      <c r="D45" s="16">
        <v>1978</v>
      </c>
      <c r="E45" s="32"/>
      <c r="F45" s="35"/>
      <c r="G45" s="35"/>
      <c r="H45" s="361"/>
      <c r="I45" s="36"/>
      <c r="J45" s="36"/>
      <c r="K45" s="37"/>
      <c r="L45" s="35"/>
      <c r="M45" s="35"/>
      <c r="N45" s="35"/>
      <c r="O45" s="35"/>
      <c r="P45" s="35"/>
      <c r="Q45" s="37"/>
    </row>
    <row r="46" spans="2:18" s="7" customFormat="1" ht="15.6">
      <c r="B46" s="827"/>
      <c r="C46" s="10" t="s">
        <v>39</v>
      </c>
      <c r="D46" s="17">
        <f>SUM(D43:D45)</f>
        <v>3043</v>
      </c>
      <c r="E46" s="32"/>
      <c r="F46" s="35"/>
      <c r="G46" s="35"/>
      <c r="H46" s="361"/>
      <c r="I46" s="35"/>
      <c r="J46" s="36"/>
      <c r="K46" s="37"/>
      <c r="L46" s="35"/>
      <c r="M46" s="35"/>
      <c r="N46" s="35"/>
      <c r="O46" s="35"/>
      <c r="P46" s="35"/>
      <c r="Q46" s="37"/>
    </row>
    <row r="47" spans="2:18" s="7" customFormat="1" ht="15.6">
      <c r="B47" s="38"/>
      <c r="C47" s="39"/>
      <c r="D47" s="35"/>
      <c r="E47" s="32"/>
      <c r="F47" s="35"/>
      <c r="G47" s="35"/>
      <c r="H47" s="361"/>
      <c r="I47" s="35"/>
      <c r="J47" s="36"/>
      <c r="K47" s="37"/>
      <c r="L47" s="35"/>
      <c r="M47" s="35"/>
      <c r="N47" s="35"/>
      <c r="O47" s="35"/>
      <c r="P47" s="35"/>
      <c r="Q47" s="37"/>
    </row>
    <row r="48" spans="2:18" s="7" customFormat="1" ht="16.2" thickBot="1">
      <c r="B48" s="38"/>
      <c r="C48" s="39"/>
      <c r="D48" s="40"/>
      <c r="E48" s="32"/>
      <c r="F48" s="35"/>
      <c r="G48" s="35"/>
      <c r="H48" s="361"/>
      <c r="I48" s="35"/>
      <c r="J48" s="36"/>
      <c r="K48" s="37"/>
      <c r="L48" s="35"/>
      <c r="M48" s="35"/>
      <c r="N48" s="35"/>
      <c r="O48" s="35"/>
      <c r="P48" s="35"/>
      <c r="Q48" s="37"/>
    </row>
    <row r="49" spans="2:18" s="7" customFormat="1" ht="38.4" customHeight="1">
      <c r="B49" s="10" t="s">
        <v>40</v>
      </c>
      <c r="C49" s="10" t="s">
        <v>41</v>
      </c>
      <c r="D49" s="10" t="s">
        <v>42</v>
      </c>
      <c r="E49" s="41" t="s">
        <v>33</v>
      </c>
      <c r="F49" s="41" t="s">
        <v>43</v>
      </c>
      <c r="G49" s="41" t="s">
        <v>4</v>
      </c>
      <c r="H49" s="362" t="s">
        <v>44</v>
      </c>
      <c r="I49" s="41" t="s">
        <v>6</v>
      </c>
      <c r="J49" s="41" t="s">
        <v>45</v>
      </c>
      <c r="K49" s="41" t="s">
        <v>46</v>
      </c>
      <c r="L49" s="42" t="s">
        <v>47</v>
      </c>
      <c r="M49" s="42" t="s">
        <v>4</v>
      </c>
      <c r="N49" s="42" t="s">
        <v>5</v>
      </c>
      <c r="O49" s="42" t="s">
        <v>48</v>
      </c>
      <c r="P49" s="42" t="s">
        <v>49</v>
      </c>
      <c r="Q49" s="162" t="s">
        <v>570</v>
      </c>
      <c r="R49" s="162" t="s">
        <v>569</v>
      </c>
    </row>
    <row r="50" spans="2:18" s="7" customFormat="1" ht="15.6">
      <c r="B50" s="812" t="s">
        <v>65</v>
      </c>
      <c r="C50" s="812" t="s">
        <v>51</v>
      </c>
      <c r="D50" s="812">
        <f>0.3173116</f>
        <v>0.31731160000000003</v>
      </c>
      <c r="E50" s="19" t="s">
        <v>52</v>
      </c>
      <c r="F50" s="43">
        <f>+D50*$D$43</f>
        <v>337.93685400000004</v>
      </c>
      <c r="G50" s="44"/>
      <c r="H50" s="363">
        <f>F50+G50</f>
        <v>337.93685400000004</v>
      </c>
      <c r="I50" s="421"/>
      <c r="J50" s="44">
        <f>H50-I50</f>
        <v>337.93685400000004</v>
      </c>
      <c r="K50" s="45">
        <f>I50/H50</f>
        <v>0</v>
      </c>
      <c r="L50" s="828">
        <f>F50+F51</f>
        <v>965.57919880000009</v>
      </c>
      <c r="M50" s="829">
        <f>G50+G51</f>
        <v>0</v>
      </c>
      <c r="N50" s="832">
        <f>L50+M50</f>
        <v>965.57919880000009</v>
      </c>
      <c r="O50" s="829">
        <f>I50+I51</f>
        <v>0</v>
      </c>
      <c r="P50" s="830">
        <f>N50-O50</f>
        <v>965.57919880000009</v>
      </c>
      <c r="Q50" s="833">
        <f>O50/N50</f>
        <v>0</v>
      </c>
      <c r="R50" s="848">
        <f>+(((O50*1)+M50)/L50)*1</f>
        <v>0</v>
      </c>
    </row>
    <row r="51" spans="2:18" s="7" customFormat="1" ht="15.6">
      <c r="B51" s="817"/>
      <c r="C51" s="804"/>
      <c r="D51" s="804"/>
      <c r="E51" s="19" t="s">
        <v>38</v>
      </c>
      <c r="F51" s="43">
        <f>+D50*$D$45</f>
        <v>627.64234480000005</v>
      </c>
      <c r="G51" s="44"/>
      <c r="H51" s="363">
        <f>F51+G51+J50</f>
        <v>965.57919880000009</v>
      </c>
      <c r="I51" s="421"/>
      <c r="J51" s="44">
        <f t="shared" ref="J51:J63" si="78">H51-I51</f>
        <v>965.57919880000009</v>
      </c>
      <c r="K51" s="45">
        <f>I51/H51</f>
        <v>0</v>
      </c>
      <c r="L51" s="829"/>
      <c r="M51" s="829"/>
      <c r="N51" s="832"/>
      <c r="O51" s="829"/>
      <c r="P51" s="830"/>
      <c r="Q51" s="833"/>
      <c r="R51" s="848">
        <f t="shared" ref="R51:R63" si="79">+((M51*-1)+K51)/J51</f>
        <v>0</v>
      </c>
    </row>
    <row r="52" spans="2:18" s="7" customFormat="1" ht="15.6">
      <c r="B52" s="817"/>
      <c r="C52" s="812" t="s">
        <v>53</v>
      </c>
      <c r="D52" s="812">
        <v>5.3330000000000001E-4</v>
      </c>
      <c r="E52" s="19" t="s">
        <v>52</v>
      </c>
      <c r="F52" s="43">
        <f t="shared" ref="F52" si="80">+D52*$D$43</f>
        <v>0.56796449999999998</v>
      </c>
      <c r="G52" s="44"/>
      <c r="H52" s="363">
        <f>F52+G52</f>
        <v>0.56796449999999998</v>
      </c>
      <c r="I52" s="421"/>
      <c r="J52" s="44">
        <f t="shared" si="78"/>
        <v>0.56796449999999998</v>
      </c>
      <c r="K52" s="45">
        <f t="shared" ref="K52:K62" si="81">I52/H52</f>
        <v>0</v>
      </c>
      <c r="L52" s="828">
        <f>F52+F53</f>
        <v>1.6228319</v>
      </c>
      <c r="M52" s="829">
        <f t="shared" ref="M52" si="82">G52+G53</f>
        <v>0</v>
      </c>
      <c r="N52" s="832">
        <f t="shared" ref="N52" si="83">L52+M52</f>
        <v>1.6228319</v>
      </c>
      <c r="O52" s="829">
        <f t="shared" ref="O52" si="84">I52+I53</f>
        <v>0</v>
      </c>
      <c r="P52" s="830">
        <f t="shared" ref="P52" si="85">N52-O52</f>
        <v>1.6228319</v>
      </c>
      <c r="Q52" s="831">
        <f t="shared" ref="Q52" si="86">O52/N52</f>
        <v>0</v>
      </c>
      <c r="R52" s="848">
        <f t="shared" ref="R52" si="87">+(((O52*1)+M52)/L52)*1</f>
        <v>0</v>
      </c>
    </row>
    <row r="53" spans="2:18" s="7" customFormat="1" ht="15.6">
      <c r="B53" s="817"/>
      <c r="C53" s="804"/>
      <c r="D53" s="804"/>
      <c r="E53" s="19" t="s">
        <v>38</v>
      </c>
      <c r="F53" s="43">
        <f t="shared" ref="F53" si="88">+D52*$D$45</f>
        <v>1.0548674</v>
      </c>
      <c r="G53" s="44"/>
      <c r="H53" s="363">
        <f>F53+G53+J52</f>
        <v>1.6228319</v>
      </c>
      <c r="I53" s="421"/>
      <c r="J53" s="44">
        <f t="shared" si="78"/>
        <v>1.6228319</v>
      </c>
      <c r="K53" s="45">
        <f t="shared" si="81"/>
        <v>0</v>
      </c>
      <c r="L53" s="829"/>
      <c r="M53" s="829"/>
      <c r="N53" s="832"/>
      <c r="O53" s="829"/>
      <c r="P53" s="830"/>
      <c r="Q53" s="831"/>
      <c r="R53" s="848">
        <f t="shared" si="79"/>
        <v>0</v>
      </c>
    </row>
    <row r="54" spans="2:18" s="7" customFormat="1" ht="15.6">
      <c r="B54" s="817"/>
      <c r="C54" s="812" t="s">
        <v>54</v>
      </c>
      <c r="D54" s="812">
        <v>7.6574600000000007E-2</v>
      </c>
      <c r="E54" s="19" t="s">
        <v>52</v>
      </c>
      <c r="F54" s="43">
        <f t="shared" ref="F54" si="89">+D54*$D$43</f>
        <v>81.551949000000008</v>
      </c>
      <c r="G54" s="43">
        <f>+Movimientos_cuotas!J23</f>
        <v>300.94557937999997</v>
      </c>
      <c r="H54" s="363">
        <f>F54+G54</f>
        <v>382.49752837999995</v>
      </c>
      <c r="I54" s="421"/>
      <c r="J54" s="44">
        <f t="shared" si="78"/>
        <v>382.49752837999995</v>
      </c>
      <c r="K54" s="45">
        <f t="shared" si="81"/>
        <v>0</v>
      </c>
      <c r="L54" s="828">
        <f>F54+F55</f>
        <v>233.01650780000003</v>
      </c>
      <c r="M54" s="829">
        <f t="shared" ref="M54" si="90">G54+G55</f>
        <v>300.94557937999997</v>
      </c>
      <c r="N54" s="847">
        <f>L54+M54</f>
        <v>533.96208718000003</v>
      </c>
      <c r="O54" s="829">
        <f t="shared" ref="O54" si="91">I54+I55</f>
        <v>0</v>
      </c>
      <c r="P54" s="830">
        <f t="shared" ref="P54" si="92">N54-O54</f>
        <v>533.96208718000003</v>
      </c>
      <c r="Q54" s="831">
        <f t="shared" ref="Q54" si="93">O54/N54</f>
        <v>0</v>
      </c>
      <c r="R54" s="848">
        <f t="shared" ref="R54" si="94">+(((O54*1)+M54)/L54)*1</f>
        <v>1.2915204258331088</v>
      </c>
    </row>
    <row r="55" spans="2:18" s="7" customFormat="1" ht="15.6">
      <c r="B55" s="817"/>
      <c r="C55" s="804"/>
      <c r="D55" s="804"/>
      <c r="E55" s="19" t="s">
        <v>38</v>
      </c>
      <c r="F55" s="43">
        <f t="shared" ref="F55" si="95">+D54*$D$45</f>
        <v>151.46455880000002</v>
      </c>
      <c r="G55" s="44"/>
      <c r="H55" s="363">
        <f>F55+G55+J54</f>
        <v>533.96208718000003</v>
      </c>
      <c r="I55" s="421"/>
      <c r="J55" s="44">
        <f t="shared" si="78"/>
        <v>533.96208718000003</v>
      </c>
      <c r="K55" s="45">
        <f t="shared" si="81"/>
        <v>0</v>
      </c>
      <c r="L55" s="829"/>
      <c r="M55" s="829"/>
      <c r="N55" s="847"/>
      <c r="O55" s="829"/>
      <c r="P55" s="830"/>
      <c r="Q55" s="831"/>
      <c r="R55" s="848">
        <f t="shared" si="79"/>
        <v>0</v>
      </c>
    </row>
    <row r="56" spans="2:18" s="7" customFormat="1" ht="15.6">
      <c r="B56" s="817"/>
      <c r="C56" s="812" t="s">
        <v>55</v>
      </c>
      <c r="D56" s="812">
        <v>3.9747999999999997E-3</v>
      </c>
      <c r="E56" s="19" t="s">
        <v>52</v>
      </c>
      <c r="F56" s="43">
        <f t="shared" ref="F56" si="96">+D56*$D$43</f>
        <v>4.2331620000000001</v>
      </c>
      <c r="G56" s="44"/>
      <c r="H56" s="363">
        <f t="shared" ref="H56" si="97">F56+G56</f>
        <v>4.2331620000000001</v>
      </c>
      <c r="I56" s="421"/>
      <c r="J56" s="44">
        <f t="shared" si="78"/>
        <v>4.2331620000000001</v>
      </c>
      <c r="K56" s="45">
        <f t="shared" si="81"/>
        <v>0</v>
      </c>
      <c r="L56" s="828">
        <f>F56+F57</f>
        <v>12.0953164</v>
      </c>
      <c r="M56" s="829">
        <f t="shared" ref="M56" si="98">G56+G57</f>
        <v>0</v>
      </c>
      <c r="N56" s="847">
        <f t="shared" ref="N56" si="99">L56+M56</f>
        <v>12.0953164</v>
      </c>
      <c r="O56" s="829">
        <f t="shared" ref="O56" si="100">I56+I57</f>
        <v>0</v>
      </c>
      <c r="P56" s="830">
        <f t="shared" ref="P56" si="101">N56-O56</f>
        <v>12.0953164</v>
      </c>
      <c r="Q56" s="831">
        <f t="shared" ref="Q56" si="102">O56/N56</f>
        <v>0</v>
      </c>
      <c r="R56" s="848">
        <f t="shared" ref="R56" si="103">+(((O56*1)+M56)/L56)*1</f>
        <v>0</v>
      </c>
    </row>
    <row r="57" spans="2:18" s="7" customFormat="1" ht="15.6">
      <c r="B57" s="817"/>
      <c r="C57" s="804"/>
      <c r="D57" s="804"/>
      <c r="E57" s="19" t="s">
        <v>38</v>
      </c>
      <c r="F57" s="43">
        <f t="shared" ref="F57" si="104">+D56*$D$45</f>
        <v>7.8621543999999997</v>
      </c>
      <c r="G57" s="44"/>
      <c r="H57" s="363">
        <f>F57+G57+J56</f>
        <v>12.0953164</v>
      </c>
      <c r="I57" s="421">
        <f>+E99</f>
        <v>0</v>
      </c>
      <c r="J57" s="44">
        <f t="shared" si="78"/>
        <v>12.0953164</v>
      </c>
      <c r="K57" s="45">
        <f t="shared" si="81"/>
        <v>0</v>
      </c>
      <c r="L57" s="829"/>
      <c r="M57" s="829"/>
      <c r="N57" s="847"/>
      <c r="O57" s="829"/>
      <c r="P57" s="830"/>
      <c r="Q57" s="831"/>
      <c r="R57" s="848">
        <f t="shared" si="79"/>
        <v>0</v>
      </c>
    </row>
    <row r="58" spans="2:18" s="7" customFormat="1" ht="15.6">
      <c r="B58" s="817"/>
      <c r="C58" s="812" t="s">
        <v>56</v>
      </c>
      <c r="D58" s="812">
        <v>0.57160580000000005</v>
      </c>
      <c r="E58" s="19" t="s">
        <v>52</v>
      </c>
      <c r="F58" s="43">
        <f t="shared" ref="F58" si="105">+D58*$D$43</f>
        <v>608.76017700000011</v>
      </c>
      <c r="G58" s="409">
        <f>54.508+185.767</f>
        <v>240.27500000000001</v>
      </c>
      <c r="H58" s="363">
        <f t="shared" ref="H58" si="106">F58+G58</f>
        <v>849.03517700000009</v>
      </c>
      <c r="I58" s="421">
        <f>+E76</f>
        <v>29.187999999999999</v>
      </c>
      <c r="J58" s="44">
        <f t="shared" si="78"/>
        <v>819.8471770000001</v>
      </c>
      <c r="K58" s="45">
        <f t="shared" si="81"/>
        <v>3.4377845336318727E-2</v>
      </c>
      <c r="L58" s="828">
        <f>F58+F59</f>
        <v>1739.3964494000002</v>
      </c>
      <c r="M58" s="829">
        <f t="shared" ref="M58" si="107">G58+G59</f>
        <v>-2.5260000000000389</v>
      </c>
      <c r="N58" s="847">
        <f t="shared" ref="N58" si="108">L58+M58</f>
        <v>1736.8704494000001</v>
      </c>
      <c r="O58" s="829">
        <f t="shared" ref="O58" si="109">I58+I59</f>
        <v>31.207000000000001</v>
      </c>
      <c r="P58" s="830">
        <f t="shared" ref="P58" si="110">N58-O58</f>
        <v>1705.6634494</v>
      </c>
      <c r="Q58" s="831">
        <f t="shared" ref="Q58" si="111">O58/N58</f>
        <v>1.796737345078352E-2</v>
      </c>
      <c r="R58" s="848">
        <f t="shared" ref="R58" si="112">+(((O58*1)+M58)/L58)*1</f>
        <v>1.6489052860774431E-2</v>
      </c>
    </row>
    <row r="59" spans="2:18" s="7" customFormat="1" ht="15.6">
      <c r="B59" s="817"/>
      <c r="C59" s="804"/>
      <c r="D59" s="804"/>
      <c r="E59" s="19" t="s">
        <v>38</v>
      </c>
      <c r="F59" s="43">
        <f t="shared" ref="F59" si="113">+D58*$D$45</f>
        <v>1130.6362724000001</v>
      </c>
      <c r="G59" s="588">
        <f>-300.946+22.8225+22.8225+12.5</f>
        <v>-242.80100000000004</v>
      </c>
      <c r="H59" s="363">
        <f>F59+G59+J58</f>
        <v>1707.6824494000002</v>
      </c>
      <c r="I59" s="421">
        <f>+E96</f>
        <v>2.0190000000000001</v>
      </c>
      <c r="J59" s="44">
        <f t="shared" si="78"/>
        <v>1705.6634494000002</v>
      </c>
      <c r="K59" s="45">
        <f t="shared" si="81"/>
        <v>1.1823041225898774E-3</v>
      </c>
      <c r="L59" s="829"/>
      <c r="M59" s="829"/>
      <c r="N59" s="847"/>
      <c r="O59" s="829"/>
      <c r="P59" s="830"/>
      <c r="Q59" s="831"/>
      <c r="R59" s="848">
        <f t="shared" si="79"/>
        <v>6.9316377917682151E-7</v>
      </c>
    </row>
    <row r="60" spans="2:18" s="7" customFormat="1" ht="15.6">
      <c r="B60" s="817"/>
      <c r="C60" s="812" t="s">
        <v>475</v>
      </c>
      <c r="D60" s="812">
        <v>1.4999999999999999E-2</v>
      </c>
      <c r="E60" s="401" t="s">
        <v>52</v>
      </c>
      <c r="F60" s="43">
        <f t="shared" ref="F60" si="114">+D60*$D$43</f>
        <v>15.975</v>
      </c>
      <c r="G60" s="399"/>
      <c r="H60" s="363">
        <f t="shared" ref="H60" si="115">F60+G60</f>
        <v>15.975</v>
      </c>
      <c r="I60" s="421"/>
      <c r="J60" s="399">
        <f t="shared" ref="J60:J61" si="116">H60-I60</f>
        <v>15.975</v>
      </c>
      <c r="K60" s="400">
        <f t="shared" ref="K60:K61" si="117">I60/H60</f>
        <v>0</v>
      </c>
      <c r="L60" s="828">
        <f>F60+F61</f>
        <v>45.644999999999996</v>
      </c>
      <c r="M60" s="829">
        <f t="shared" ref="M60" si="118">G60+G61</f>
        <v>0</v>
      </c>
      <c r="N60" s="847">
        <f t="shared" ref="N60" si="119">L60+M60</f>
        <v>45.644999999999996</v>
      </c>
      <c r="O60" s="829">
        <f t="shared" ref="O60" si="120">I60+I61</f>
        <v>0</v>
      </c>
      <c r="P60" s="830">
        <f t="shared" ref="P60" si="121">N60-O60</f>
        <v>45.644999999999996</v>
      </c>
      <c r="Q60" s="831">
        <f t="shared" ref="Q60" si="122">O60/N60</f>
        <v>0</v>
      </c>
      <c r="R60" s="848">
        <f t="shared" ref="R60" si="123">+(((O60*1)+M60)/L60)*1</f>
        <v>0</v>
      </c>
    </row>
    <row r="61" spans="2:18" s="7" customFormat="1" ht="15.6">
      <c r="B61" s="817"/>
      <c r="C61" s="804"/>
      <c r="D61" s="804"/>
      <c r="E61" s="401" t="s">
        <v>38</v>
      </c>
      <c r="F61" s="43">
        <f t="shared" ref="F61" si="124">+D60*$D$45</f>
        <v>29.669999999999998</v>
      </c>
      <c r="G61" s="399"/>
      <c r="H61" s="363">
        <f>F61+G61+J60</f>
        <v>45.644999999999996</v>
      </c>
      <c r="I61" s="421"/>
      <c r="J61" s="399">
        <f t="shared" si="116"/>
        <v>45.644999999999996</v>
      </c>
      <c r="K61" s="400">
        <f t="shared" si="117"/>
        <v>0</v>
      </c>
      <c r="L61" s="829"/>
      <c r="M61" s="829"/>
      <c r="N61" s="847"/>
      <c r="O61" s="829"/>
      <c r="P61" s="830"/>
      <c r="Q61" s="831"/>
      <c r="R61" s="848">
        <f t="shared" si="79"/>
        <v>0</v>
      </c>
    </row>
    <row r="62" spans="2:18" s="7" customFormat="1" ht="15.6">
      <c r="B62" s="817"/>
      <c r="C62" s="812" t="s">
        <v>66</v>
      </c>
      <c r="D62" s="812">
        <v>1.4999999999999999E-2</v>
      </c>
      <c r="E62" s="19" t="s">
        <v>52</v>
      </c>
      <c r="F62" s="500">
        <f t="shared" ref="F62" si="125">+D62*$D$43</f>
        <v>15.975</v>
      </c>
      <c r="G62" s="501"/>
      <c r="H62" s="502">
        <f t="shared" ref="H62" si="126">F62+G62</f>
        <v>15.975</v>
      </c>
      <c r="I62" s="503"/>
      <c r="J62" s="501">
        <f t="shared" si="78"/>
        <v>15.975</v>
      </c>
      <c r="K62" s="504">
        <f t="shared" si="81"/>
        <v>0</v>
      </c>
      <c r="L62" s="845">
        <f>F62+F63</f>
        <v>45.644999999999996</v>
      </c>
      <c r="M62" s="842">
        <f t="shared" ref="M62" si="127">G62+G63</f>
        <v>-45.645000000000003</v>
      </c>
      <c r="N62" s="832">
        <f t="shared" ref="N62" si="128">L62+M62</f>
        <v>0</v>
      </c>
      <c r="O62" s="842">
        <f t="shared" ref="O62" si="129">I62+I63</f>
        <v>0</v>
      </c>
      <c r="P62" s="843">
        <f t="shared" ref="P62" si="130">N62-O62</f>
        <v>0</v>
      </c>
      <c r="Q62" s="844">
        <v>0</v>
      </c>
      <c r="R62" s="848">
        <f t="shared" ref="R62" si="131">+(((O62*1)+M62)/L62)*1</f>
        <v>-1.0000000000000002</v>
      </c>
    </row>
    <row r="63" spans="2:18" s="7" customFormat="1" ht="15.6">
      <c r="B63" s="804"/>
      <c r="C63" s="804"/>
      <c r="D63" s="804"/>
      <c r="E63" s="19" t="s">
        <v>38</v>
      </c>
      <c r="F63" s="500">
        <f t="shared" ref="F63" si="132">+D62*$D$45</f>
        <v>29.669999999999998</v>
      </c>
      <c r="G63" s="501">
        <f>-22.8225-22.8225</f>
        <v>-45.645000000000003</v>
      </c>
      <c r="H63" s="502">
        <f>F63+G63+J62</f>
        <v>0</v>
      </c>
      <c r="I63" s="503"/>
      <c r="J63" s="501">
        <f t="shared" si="78"/>
        <v>0</v>
      </c>
      <c r="K63" s="504">
        <v>0</v>
      </c>
      <c r="L63" s="842"/>
      <c r="M63" s="842"/>
      <c r="N63" s="832"/>
      <c r="O63" s="842"/>
      <c r="P63" s="843"/>
      <c r="Q63" s="844"/>
      <c r="R63" s="848" t="e">
        <f t="shared" si="79"/>
        <v>#DIV/0!</v>
      </c>
    </row>
    <row r="64" spans="2:18" s="13" customFormat="1" ht="15.6">
      <c r="B64" s="819" t="s">
        <v>452</v>
      </c>
      <c r="C64" s="819"/>
      <c r="D64" s="819">
        <f>SUM(D50:D63)</f>
        <v>1.0000001000000001</v>
      </c>
      <c r="E64" s="19" t="s">
        <v>52</v>
      </c>
      <c r="F64" s="24">
        <f>F50+F52+F54+F56+F58++F60+F62</f>
        <v>1065.0001065000001</v>
      </c>
      <c r="G64" s="24">
        <f>G50+G52+G54+G56+G58++G60+G62</f>
        <v>541.22057938</v>
      </c>
      <c r="H64" s="357">
        <f>F64+G64</f>
        <v>1606.22068588</v>
      </c>
      <c r="I64" s="24">
        <f>I50+I52+I54+I56+I58++I60+I62</f>
        <v>29.187999999999999</v>
      </c>
      <c r="J64" s="24">
        <f>H64-I64</f>
        <v>1577.0326858799999</v>
      </c>
      <c r="K64" s="22">
        <f>(I64/H64)</f>
        <v>1.817184914662506E-2</v>
      </c>
      <c r="L64" s="820">
        <f>F64+F65</f>
        <v>3043.0003043000006</v>
      </c>
      <c r="M64" s="821">
        <f>G64+G65</f>
        <v>252.77457937999998</v>
      </c>
      <c r="N64" s="821">
        <f t="shared" ref="N64" si="133">L64+M64</f>
        <v>3295.7748836800006</v>
      </c>
      <c r="O64" s="821">
        <f>I64+I65</f>
        <v>31.207000000000001</v>
      </c>
      <c r="P64" s="821">
        <f>N64-O64</f>
        <v>3264.5678836800007</v>
      </c>
      <c r="Q64" s="822">
        <f t="shared" ref="Q64" si="134">O64/N64</f>
        <v>9.4687899208561379E-3</v>
      </c>
      <c r="R64" s="822">
        <f t="shared" ref="R64" si="135">+M64/L64</f>
        <v>8.3067549820093498E-2</v>
      </c>
    </row>
    <row r="65" spans="2:18" s="13" customFormat="1" ht="15.6">
      <c r="B65" s="819"/>
      <c r="C65" s="819"/>
      <c r="D65" s="819"/>
      <c r="E65" s="19" t="s">
        <v>38</v>
      </c>
      <c r="F65" s="24">
        <f>F51+F53+F55+F57+F59++F61+F63</f>
        <v>1978.0001978000003</v>
      </c>
      <c r="G65" s="24">
        <f>G51+G53+G55+G57+G59++G61+G63</f>
        <v>-288.44600000000003</v>
      </c>
      <c r="H65" s="357">
        <f>F65+G65</f>
        <v>1689.5541978000001</v>
      </c>
      <c r="I65" s="24">
        <f>I51+I53+I55+I57+I59++I61+I63</f>
        <v>2.0190000000000001</v>
      </c>
      <c r="J65" s="24">
        <f>H65-I65</f>
        <v>1687.5351978000001</v>
      </c>
      <c r="K65" s="22">
        <f>(I65/H65)</f>
        <v>1.1949897805166461E-3</v>
      </c>
      <c r="L65" s="820"/>
      <c r="M65" s="821"/>
      <c r="N65" s="821"/>
      <c r="O65" s="821"/>
      <c r="P65" s="821"/>
      <c r="Q65" s="822"/>
      <c r="R65" s="822"/>
    </row>
    <row r="66" spans="2:18" ht="15" thickBot="1">
      <c r="B66" s="46"/>
      <c r="C66" s="46"/>
      <c r="D66" s="46"/>
      <c r="E66" s="46"/>
      <c r="F66" s="46"/>
      <c r="G66" s="46"/>
      <c r="H66" s="352"/>
      <c r="I66" s="46"/>
      <c r="J66" s="46"/>
      <c r="K66" s="46"/>
      <c r="L66" s="46"/>
      <c r="M66" s="46"/>
      <c r="N66" s="46"/>
      <c r="O66" s="46"/>
      <c r="P66" s="46"/>
      <c r="Q66" s="46"/>
    </row>
    <row r="67" spans="2:18" s="13" customFormat="1" ht="16.2" thickBot="1">
      <c r="B67" s="839" t="s">
        <v>63</v>
      </c>
      <c r="C67" s="840"/>
      <c r="D67" s="840"/>
      <c r="E67" s="841"/>
      <c r="F67" s="47">
        <f>SUM(F50:F63)</f>
        <v>3043.0003043000006</v>
      </c>
      <c r="G67" s="583">
        <f>SUM(G50:G63)</f>
        <v>252.77457937999995</v>
      </c>
      <c r="H67" s="364">
        <f>+F67+G67</f>
        <v>3295.7748836800006</v>
      </c>
      <c r="I67" s="48">
        <f>SUM(I50:I63)</f>
        <v>31.207000000000001</v>
      </c>
      <c r="J67" s="47">
        <f>H67-I67</f>
        <v>3264.5678836800007</v>
      </c>
      <c r="K67" s="49">
        <f>(I67/H67)</f>
        <v>9.4687899208561379E-3</v>
      </c>
      <c r="L67" s="46"/>
      <c r="M67" s="46"/>
      <c r="N67" s="46"/>
      <c r="O67" s="46"/>
      <c r="P67" s="46"/>
      <c r="Q67" s="46"/>
      <c r="R67" s="26"/>
    </row>
    <row r="68" spans="2:18">
      <c r="B68" s="46"/>
      <c r="C68" s="46"/>
      <c r="D68" s="46"/>
      <c r="E68" s="46"/>
      <c r="F68" s="46"/>
      <c r="G68" s="46"/>
      <c r="H68" s="352"/>
      <c r="I68" s="46"/>
      <c r="J68" s="46"/>
      <c r="K68" s="46"/>
      <c r="L68" s="46"/>
      <c r="M68" s="46"/>
      <c r="N68" s="46"/>
      <c r="O68" s="46"/>
      <c r="P68" s="46"/>
      <c r="Q68" s="46"/>
    </row>
    <row r="69" spans="2:18">
      <c r="B69" s="46"/>
      <c r="C69" s="46"/>
      <c r="D69" s="46"/>
      <c r="E69" s="46"/>
      <c r="F69" s="46"/>
      <c r="G69" s="46"/>
      <c r="H69" s="352"/>
      <c r="I69" s="46"/>
      <c r="J69" s="46"/>
      <c r="K69" s="46"/>
      <c r="L69" s="46"/>
      <c r="M69" s="46"/>
      <c r="N69" s="46"/>
      <c r="O69" s="46"/>
      <c r="P69" s="46"/>
      <c r="Q69" s="46"/>
    </row>
    <row r="70" spans="2:18">
      <c r="B70" s="46"/>
      <c r="C70" s="46"/>
      <c r="D70" s="46"/>
      <c r="E70" s="46"/>
      <c r="F70" s="46"/>
      <c r="G70" s="46"/>
      <c r="H70" s="352"/>
      <c r="I70" s="46"/>
      <c r="J70" s="46"/>
      <c r="K70" s="46"/>
      <c r="L70" s="46"/>
      <c r="M70" s="46"/>
      <c r="N70" s="46"/>
      <c r="O70" s="46"/>
      <c r="P70" s="46"/>
      <c r="Q70" s="46"/>
    </row>
    <row r="71" spans="2:18">
      <c r="B71" s="46"/>
      <c r="C71" s="46"/>
      <c r="D71" s="46"/>
      <c r="E71" s="46"/>
      <c r="F71" s="46"/>
      <c r="G71" s="46"/>
      <c r="H71" s="352"/>
      <c r="I71" s="46"/>
      <c r="J71" s="46"/>
      <c r="K71" s="46"/>
      <c r="L71" s="46"/>
      <c r="M71" s="46"/>
      <c r="N71" s="46"/>
      <c r="O71" s="46"/>
      <c r="P71" s="46"/>
      <c r="Q71" s="46"/>
    </row>
    <row r="72" spans="2:18">
      <c r="B72" s="836" t="s">
        <v>455</v>
      </c>
      <c r="C72" s="837"/>
      <c r="D72" s="837"/>
      <c r="E72" s="837"/>
      <c r="F72" s="838"/>
      <c r="G72" s="46"/>
      <c r="H72" s="352"/>
      <c r="I72" s="46"/>
      <c r="J72" s="46"/>
      <c r="K72" s="46"/>
      <c r="L72" s="46"/>
      <c r="M72" s="46"/>
      <c r="N72" s="46"/>
      <c r="O72" s="46"/>
      <c r="P72" s="46"/>
      <c r="Q72" s="46"/>
    </row>
    <row r="73" spans="2:18" ht="14.55" customHeight="1">
      <c r="B73" s="835" t="s">
        <v>452</v>
      </c>
      <c r="C73" s="835" t="s">
        <v>456</v>
      </c>
      <c r="D73" s="335"/>
      <c r="E73" s="334"/>
      <c r="F73" s="335"/>
      <c r="G73" s="46"/>
      <c r="H73" s="352"/>
      <c r="I73" s="46"/>
      <c r="J73" s="46"/>
      <c r="K73" s="46"/>
      <c r="L73" s="46"/>
      <c r="M73" s="46"/>
      <c r="N73" s="46"/>
      <c r="O73" s="46"/>
      <c r="P73" s="46"/>
      <c r="Q73" s="46"/>
    </row>
    <row r="74" spans="2:18" ht="12" customHeight="1">
      <c r="B74" s="835"/>
      <c r="C74" s="835"/>
      <c r="D74" s="336" t="s">
        <v>411</v>
      </c>
      <c r="E74" s="337" t="s">
        <v>412</v>
      </c>
      <c r="F74" s="336" t="s">
        <v>413</v>
      </c>
      <c r="G74" s="46"/>
      <c r="H74" s="352"/>
      <c r="I74" s="46"/>
      <c r="J74" s="46"/>
      <c r="K74" s="46"/>
      <c r="L74" s="46"/>
      <c r="M74" s="46"/>
      <c r="N74" s="46"/>
      <c r="O74" s="46"/>
      <c r="P74" s="46"/>
      <c r="Q74" s="46"/>
    </row>
    <row r="75" spans="2:18" ht="14.55" hidden="1" customHeight="1">
      <c r="B75" s="374"/>
      <c r="C75" s="374"/>
      <c r="D75" s="374"/>
      <c r="E75" s="374"/>
      <c r="F75" s="374">
        <v>0</v>
      </c>
      <c r="G75" s="46"/>
      <c r="H75" s="352"/>
      <c r="I75" s="46"/>
      <c r="J75" s="46"/>
      <c r="K75" s="46"/>
      <c r="L75" s="46"/>
      <c r="M75" s="46"/>
      <c r="N75" s="46"/>
      <c r="O75" s="46"/>
      <c r="P75" s="46"/>
      <c r="Q75" s="46"/>
    </row>
    <row r="76" spans="2:18">
      <c r="B76" s="375" t="s">
        <v>56</v>
      </c>
      <c r="C76" s="376"/>
      <c r="D76" s="376">
        <v>66.421000000000006</v>
      </c>
      <c r="E76" s="376">
        <v>29.187999999999999</v>
      </c>
      <c r="F76" s="376">
        <f>SUM(C76:E76)</f>
        <v>95.609000000000009</v>
      </c>
      <c r="G76" s="46"/>
      <c r="H76" s="352"/>
      <c r="I76" s="46"/>
      <c r="J76" s="46"/>
      <c r="K76" s="46"/>
      <c r="L76" s="46"/>
      <c r="M76" s="46"/>
      <c r="N76" s="46"/>
      <c r="O76" s="46"/>
      <c r="P76" s="46"/>
      <c r="Q76" s="46"/>
    </row>
    <row r="77" spans="2:18">
      <c r="B77" s="375" t="s">
        <v>67</v>
      </c>
      <c r="C77" s="376"/>
      <c r="D77" s="376">
        <v>186.16500000000002</v>
      </c>
      <c r="E77" s="376"/>
      <c r="F77" s="376">
        <f t="shared" ref="F77:F79" si="136">SUM(C77:E77)</f>
        <v>186.16500000000002</v>
      </c>
      <c r="G77" s="46"/>
      <c r="H77" s="352"/>
      <c r="I77" s="46"/>
      <c r="J77" s="46"/>
      <c r="K77" s="46"/>
      <c r="L77" s="46"/>
      <c r="M77" s="46"/>
      <c r="N77" s="46"/>
      <c r="O77" s="46"/>
      <c r="P77" s="46"/>
      <c r="Q77" s="46"/>
    </row>
    <row r="78" spans="2:18">
      <c r="B78" s="375" t="s">
        <v>68</v>
      </c>
      <c r="C78" s="376"/>
      <c r="D78" s="376">
        <v>187.41200000000003</v>
      </c>
      <c r="E78" s="376"/>
      <c r="F78" s="376">
        <f t="shared" si="136"/>
        <v>187.41200000000003</v>
      </c>
      <c r="G78" s="46"/>
      <c r="H78" s="352"/>
      <c r="I78" s="46"/>
      <c r="J78" s="46"/>
      <c r="K78" s="46"/>
      <c r="L78" s="46"/>
      <c r="M78" s="46"/>
      <c r="N78" s="46"/>
      <c r="O78" s="46"/>
      <c r="P78" s="46"/>
      <c r="Q78" s="46"/>
    </row>
    <row r="79" spans="2:18">
      <c r="B79" s="667" t="s">
        <v>451</v>
      </c>
      <c r="C79" s="668">
        <v>0</v>
      </c>
      <c r="D79" s="668"/>
      <c r="E79" s="668"/>
      <c r="F79" s="668">
        <f t="shared" si="136"/>
        <v>0</v>
      </c>
      <c r="G79" s="46"/>
      <c r="H79" s="352"/>
      <c r="I79" s="46"/>
      <c r="J79" s="46"/>
      <c r="K79" s="46"/>
      <c r="L79" s="46"/>
      <c r="M79" s="46"/>
      <c r="N79" s="46"/>
      <c r="O79" s="46"/>
      <c r="P79" s="46"/>
      <c r="Q79" s="46"/>
    </row>
    <row r="80" spans="2:18">
      <c r="B80" s="669" t="s">
        <v>413</v>
      </c>
      <c r="C80" s="670">
        <v>0</v>
      </c>
      <c r="D80" s="670">
        <f>SUM(D76:D78)</f>
        <v>439.99800000000005</v>
      </c>
      <c r="E80" s="670">
        <f>SUM(E76:E78)</f>
        <v>29.187999999999999</v>
      </c>
      <c r="F80" s="670">
        <f>SUM(F75:F79)</f>
        <v>469.18600000000004</v>
      </c>
      <c r="G80" s="46"/>
      <c r="H80" s="352"/>
      <c r="I80" s="46"/>
      <c r="J80" s="46"/>
      <c r="K80" s="46"/>
      <c r="L80" s="46"/>
      <c r="M80" s="46"/>
      <c r="N80" s="46"/>
      <c r="O80" s="46"/>
      <c r="P80" s="46"/>
      <c r="Q80" s="46"/>
    </row>
    <row r="81" spans="2:17" ht="4.2" customHeight="1">
      <c r="B81" s="46"/>
      <c r="C81" s="46"/>
      <c r="D81" s="46">
        <f>-I43-I42</f>
        <v>0</v>
      </c>
      <c r="E81" s="46"/>
      <c r="F81" s="46"/>
      <c r="G81" s="46"/>
      <c r="H81" s="352"/>
      <c r="I81" s="46"/>
      <c r="J81" s="46"/>
      <c r="K81" s="46"/>
      <c r="L81" s="46"/>
      <c r="M81" s="46"/>
      <c r="N81" s="46"/>
      <c r="O81" s="46"/>
      <c r="P81" s="46"/>
      <c r="Q81" s="46"/>
    </row>
    <row r="82" spans="2:17" hidden="1">
      <c r="B82" s="46"/>
      <c r="C82" s="46"/>
      <c r="D82" s="46"/>
      <c r="E82" s="46"/>
      <c r="F82" s="46"/>
      <c r="G82" s="338">
        <v>305.55599999999998</v>
      </c>
      <c r="H82" s="352"/>
      <c r="I82" s="46"/>
      <c r="J82" s="46"/>
      <c r="K82" s="46"/>
      <c r="L82" s="46"/>
      <c r="M82" s="46"/>
      <c r="N82" s="46"/>
      <c r="O82" s="46"/>
      <c r="P82" s="46"/>
      <c r="Q82" s="46"/>
    </row>
    <row r="83" spans="2:17" hidden="1">
      <c r="B83" s="46"/>
      <c r="C83" s="46"/>
      <c r="D83" s="46"/>
      <c r="E83" s="46"/>
      <c r="F83" s="46"/>
      <c r="G83" s="338">
        <v>106</v>
      </c>
      <c r="H83" s="352"/>
      <c r="I83" s="46"/>
      <c r="J83" s="46"/>
      <c r="K83" s="46"/>
      <c r="L83" s="46"/>
      <c r="M83" s="46"/>
      <c r="N83" s="46"/>
      <c r="O83" s="46"/>
      <c r="P83" s="46"/>
      <c r="Q83" s="46"/>
    </row>
    <row r="84" spans="2:17" hidden="1">
      <c r="B84" s="46"/>
      <c r="C84" s="46"/>
      <c r="D84" s="46"/>
      <c r="E84" s="46"/>
      <c r="F84" s="46"/>
      <c r="G84" s="338">
        <v>193.87899999999999</v>
      </c>
      <c r="H84" s="352"/>
      <c r="I84" s="46"/>
      <c r="J84" s="46"/>
      <c r="K84" s="46"/>
      <c r="L84" s="46"/>
      <c r="M84" s="46"/>
      <c r="N84" s="46"/>
      <c r="O84" s="46"/>
      <c r="P84" s="46"/>
      <c r="Q84" s="46"/>
    </row>
    <row r="85" spans="2:17" hidden="1">
      <c r="B85" s="46"/>
      <c r="C85" s="46"/>
      <c r="D85" s="46"/>
      <c r="E85" s="46"/>
      <c r="F85" s="46"/>
      <c r="G85" s="338">
        <v>27.254000000000001</v>
      </c>
      <c r="H85" s="352"/>
      <c r="I85" s="46"/>
      <c r="J85" s="46"/>
      <c r="K85" s="46"/>
      <c r="L85" s="46"/>
      <c r="M85" s="46"/>
      <c r="N85" s="46"/>
      <c r="O85" s="46"/>
      <c r="P85" s="46"/>
      <c r="Q85" s="46"/>
    </row>
    <row r="86" spans="2:17" hidden="1">
      <c r="B86" s="46"/>
      <c r="C86" s="46"/>
      <c r="D86" s="46"/>
      <c r="E86" s="46"/>
      <c r="F86" s="46"/>
      <c r="G86" s="339">
        <v>722.274</v>
      </c>
      <c r="H86" s="352"/>
      <c r="I86" s="46"/>
      <c r="J86" s="46"/>
      <c r="K86" s="46"/>
      <c r="L86" s="46"/>
      <c r="M86" s="46"/>
      <c r="N86" s="46"/>
      <c r="O86" s="46"/>
      <c r="P86" s="46"/>
      <c r="Q86" s="46"/>
    </row>
    <row r="87" spans="2:17" hidden="1">
      <c r="B87" s="46"/>
      <c r="C87" s="46"/>
      <c r="D87" s="46"/>
      <c r="E87" s="46"/>
      <c r="F87" s="46"/>
      <c r="G87" s="338">
        <v>1402.471</v>
      </c>
      <c r="H87" s="352"/>
      <c r="I87" s="46"/>
      <c r="J87" s="46"/>
      <c r="K87" s="46"/>
      <c r="L87" s="46"/>
      <c r="M87" s="46"/>
      <c r="N87" s="46"/>
      <c r="O87" s="46"/>
      <c r="P87" s="46"/>
      <c r="Q87" s="46"/>
    </row>
    <row r="88" spans="2:17" hidden="1">
      <c r="B88" s="46"/>
      <c r="C88" s="46"/>
      <c r="D88" s="46"/>
      <c r="E88" s="46"/>
      <c r="F88" s="46"/>
      <c r="G88" s="46">
        <v>1363.3109999999999</v>
      </c>
      <c r="H88" s="352"/>
      <c r="I88" s="46"/>
      <c r="J88" s="46"/>
      <c r="K88" s="46"/>
      <c r="L88" s="46"/>
      <c r="M88" s="46"/>
      <c r="N88" s="46"/>
      <c r="O88" s="46"/>
      <c r="P88" s="46"/>
      <c r="Q88" s="46"/>
    </row>
    <row r="89" spans="2:17" hidden="1">
      <c r="B89" s="46"/>
      <c r="C89" s="46"/>
      <c r="D89" s="46"/>
      <c r="E89" s="46"/>
      <c r="F89" s="46"/>
      <c r="G89" s="46">
        <f>SUM(G82:G88)</f>
        <v>4120.7449999999999</v>
      </c>
      <c r="H89" s="352"/>
      <c r="I89" s="46"/>
      <c r="J89" s="46"/>
      <c r="K89" s="46"/>
      <c r="L89" s="46"/>
      <c r="M89" s="46"/>
      <c r="N89" s="46"/>
      <c r="O89" s="46"/>
      <c r="P89" s="46"/>
      <c r="Q89" s="46"/>
    </row>
    <row r="90" spans="2:17" hidden="1">
      <c r="B90" s="46"/>
      <c r="C90" s="46"/>
      <c r="D90" s="50">
        <f>+D80+D81</f>
        <v>439.99800000000005</v>
      </c>
      <c r="E90" s="46"/>
      <c r="F90" s="46"/>
      <c r="G90" s="46"/>
      <c r="H90" s="352"/>
      <c r="I90" s="46"/>
      <c r="J90" s="46"/>
      <c r="K90" s="46"/>
      <c r="L90" s="46"/>
      <c r="M90" s="46"/>
      <c r="N90" s="46"/>
      <c r="O90" s="46"/>
      <c r="P90" s="46"/>
      <c r="Q90" s="46"/>
    </row>
    <row r="91" spans="2:17">
      <c r="B91" s="46"/>
      <c r="C91" s="46"/>
      <c r="D91" s="46"/>
      <c r="E91" s="46"/>
      <c r="F91" s="46"/>
      <c r="G91" s="46"/>
      <c r="H91" s="352"/>
      <c r="I91" s="46"/>
      <c r="J91" s="46"/>
      <c r="K91" s="46"/>
      <c r="L91" s="46"/>
      <c r="M91" s="46"/>
      <c r="N91" s="46"/>
      <c r="O91" s="46"/>
      <c r="P91" s="46"/>
      <c r="Q91" s="46"/>
    </row>
    <row r="92" spans="2:17">
      <c r="B92" s="834" t="s">
        <v>457</v>
      </c>
      <c r="C92" s="834"/>
      <c r="D92" s="834"/>
      <c r="E92" s="834"/>
      <c r="F92" s="834"/>
      <c r="G92" s="46"/>
      <c r="H92" s="352"/>
      <c r="I92" s="46"/>
      <c r="J92" s="46"/>
      <c r="K92" s="46"/>
      <c r="L92" s="46"/>
      <c r="M92" s="46"/>
      <c r="N92" s="46"/>
      <c r="O92" s="46"/>
      <c r="P92" s="46"/>
      <c r="Q92" s="46"/>
    </row>
    <row r="93" spans="2:17">
      <c r="B93" s="835" t="s">
        <v>452</v>
      </c>
      <c r="C93" s="835" t="s">
        <v>456</v>
      </c>
      <c r="D93" s="335"/>
      <c r="E93" s="334" t="s">
        <v>456</v>
      </c>
      <c r="F93" s="335"/>
      <c r="G93" s="46"/>
      <c r="H93" s="352"/>
      <c r="I93" s="46"/>
      <c r="J93" s="46"/>
      <c r="K93" s="46"/>
      <c r="L93" s="46"/>
      <c r="M93" s="46"/>
      <c r="N93" s="46"/>
      <c r="O93" s="46"/>
      <c r="P93" s="46"/>
      <c r="Q93" s="46"/>
    </row>
    <row r="94" spans="2:17" ht="12" customHeight="1">
      <c r="B94" s="835"/>
      <c r="C94" s="835"/>
      <c r="D94" s="336" t="s">
        <v>411</v>
      </c>
      <c r="E94" s="337" t="s">
        <v>412</v>
      </c>
      <c r="F94" s="336" t="s">
        <v>413</v>
      </c>
      <c r="G94" s="46"/>
      <c r="H94" s="352"/>
      <c r="I94" s="46"/>
      <c r="J94" s="46"/>
      <c r="K94" s="46"/>
      <c r="L94" s="46"/>
      <c r="M94" s="46"/>
      <c r="N94" s="46"/>
      <c r="O94" s="46"/>
      <c r="P94" s="46"/>
      <c r="Q94" s="46"/>
    </row>
    <row r="95" spans="2:17" hidden="1">
      <c r="B95" s="374"/>
      <c r="C95" s="374"/>
      <c r="D95" s="374"/>
      <c r="E95" s="374"/>
      <c r="F95" s="374">
        <v>0</v>
      </c>
      <c r="G95" s="46"/>
      <c r="H95" s="352"/>
      <c r="I95" s="46"/>
      <c r="J95" s="46"/>
      <c r="K95" s="46"/>
      <c r="L95" s="46"/>
      <c r="M95" s="46"/>
      <c r="N95" s="46"/>
      <c r="O95" s="46"/>
      <c r="P95" s="46"/>
      <c r="Q95" s="46"/>
    </row>
    <row r="96" spans="2:17">
      <c r="B96" s="375" t="s">
        <v>56</v>
      </c>
      <c r="C96" s="648"/>
      <c r="D96" s="764">
        <v>642.16999999999996</v>
      </c>
      <c r="E96" s="764">
        <v>2.0190000000000001</v>
      </c>
      <c r="F96" s="376">
        <f>SUM(C96:E96)</f>
        <v>644.18899999999996</v>
      </c>
      <c r="G96" s="46"/>
      <c r="H96" s="352"/>
      <c r="I96" s="46"/>
      <c r="J96" s="46"/>
      <c r="K96" s="46"/>
      <c r="L96" s="46"/>
      <c r="M96" s="46"/>
      <c r="N96" s="46"/>
      <c r="O96" s="46"/>
      <c r="P96" s="46"/>
      <c r="Q96" s="46"/>
    </row>
    <row r="97" spans="2:17">
      <c r="B97" s="666" t="s">
        <v>51</v>
      </c>
      <c r="C97" s="648"/>
      <c r="D97" s="764"/>
      <c r="E97" s="764">
        <v>188.43</v>
      </c>
      <c r="F97" s="376">
        <f>SUM(C97:E97)</f>
        <v>188.43</v>
      </c>
      <c r="G97" s="46"/>
      <c r="H97" s="352"/>
      <c r="I97" s="46"/>
      <c r="J97" s="46"/>
      <c r="K97" s="46"/>
      <c r="L97" s="46"/>
      <c r="M97" s="46"/>
      <c r="N97" s="46"/>
      <c r="O97" s="46"/>
      <c r="P97" s="46"/>
      <c r="Q97" s="46"/>
    </row>
    <row r="98" spans="2:17">
      <c r="B98" s="375" t="s">
        <v>67</v>
      </c>
      <c r="C98" s="648"/>
      <c r="D98" s="764">
        <v>661.88900000000001</v>
      </c>
      <c r="E98" s="764"/>
      <c r="F98" s="376">
        <f t="shared" ref="F98" si="137">SUM(C98:E98)</f>
        <v>661.88900000000001</v>
      </c>
      <c r="G98" s="46"/>
      <c r="H98" s="352"/>
      <c r="I98" s="46"/>
      <c r="J98" s="46"/>
      <c r="K98" s="46"/>
      <c r="L98" s="46"/>
      <c r="M98" s="46"/>
      <c r="N98" s="46"/>
      <c r="O98" s="46"/>
      <c r="P98" s="46"/>
      <c r="Q98" s="46"/>
    </row>
    <row r="99" spans="2:17">
      <c r="B99" s="375" t="s">
        <v>567</v>
      </c>
      <c r="C99" s="402">
        <v>11.648000000000001</v>
      </c>
      <c r="D99" s="764">
        <v>867.31000000000006</v>
      </c>
      <c r="E99" s="764"/>
      <c r="F99" s="376">
        <f>SUM(C99:D99)</f>
        <v>878.95800000000008</v>
      </c>
      <c r="G99" s="46"/>
      <c r="H99" s="352"/>
      <c r="I99" s="46"/>
      <c r="J99" s="46"/>
      <c r="K99" s="46"/>
      <c r="L99" s="46"/>
      <c r="M99" s="46"/>
      <c r="N99" s="46"/>
      <c r="O99" s="46"/>
      <c r="P99" s="46"/>
      <c r="Q99" s="46"/>
    </row>
    <row r="100" spans="2:17">
      <c r="B100" s="375" t="s">
        <v>568</v>
      </c>
      <c r="C100" s="402">
        <v>2.0169999999999999</v>
      </c>
      <c r="D100" s="376"/>
      <c r="E100" s="376"/>
      <c r="F100" s="376">
        <f>SUM(C100:E100)</f>
        <v>2.0169999999999999</v>
      </c>
      <c r="G100" s="46"/>
      <c r="H100" s="352"/>
      <c r="I100" s="46"/>
      <c r="J100" s="46"/>
      <c r="K100" s="46"/>
      <c r="L100" s="46"/>
      <c r="M100" s="46"/>
      <c r="N100" s="46"/>
      <c r="O100" s="46"/>
      <c r="P100" s="46"/>
      <c r="Q100" s="46"/>
    </row>
    <row r="101" spans="2:17">
      <c r="B101" s="377" t="s">
        <v>413</v>
      </c>
      <c r="C101" s="378">
        <f>SUM(C96:C100)</f>
        <v>13.665000000000001</v>
      </c>
      <c r="D101" s="378">
        <f>SUM(D96:D100)</f>
        <v>2171.3690000000001</v>
      </c>
      <c r="E101" s="378">
        <f>SUM(E96:E100)</f>
        <v>190.44900000000001</v>
      </c>
      <c r="F101" s="378">
        <f>SUM(F96:F100)</f>
        <v>2375.4829999999997</v>
      </c>
      <c r="G101" s="46"/>
      <c r="H101" s="352"/>
      <c r="I101" s="46"/>
      <c r="J101" s="46"/>
      <c r="K101" s="46"/>
      <c r="L101" s="46"/>
      <c r="M101" s="46"/>
      <c r="N101" s="46"/>
      <c r="O101" s="46"/>
      <c r="P101" s="46"/>
      <c r="Q101" s="46"/>
    </row>
    <row r="102" spans="2:17">
      <c r="B102" s="46"/>
      <c r="C102" s="46"/>
      <c r="D102" s="46"/>
      <c r="E102" s="46"/>
      <c r="F102" s="46"/>
      <c r="G102" s="46"/>
      <c r="H102" s="352"/>
      <c r="I102" s="46"/>
      <c r="J102" s="46"/>
      <c r="K102" s="46"/>
      <c r="L102" s="46"/>
      <c r="M102" s="46"/>
      <c r="N102" s="46"/>
      <c r="O102" s="46"/>
      <c r="P102" s="46"/>
      <c r="Q102" s="46"/>
    </row>
    <row r="103" spans="2:17" hidden="1">
      <c r="B103" s="46"/>
      <c r="C103" s="46"/>
      <c r="D103" s="46"/>
      <c r="E103" s="46"/>
      <c r="F103" s="46">
        <f>+F101+F80</f>
        <v>2844.6689999999999</v>
      </c>
      <c r="G103" s="46"/>
      <c r="H103" s="352"/>
      <c r="I103" s="46"/>
      <c r="J103" s="46"/>
      <c r="K103" s="46"/>
      <c r="L103" s="46"/>
      <c r="M103" s="46"/>
      <c r="N103" s="46"/>
      <c r="O103" s="46"/>
      <c r="P103" s="46"/>
      <c r="Q103" s="46"/>
    </row>
    <row r="104" spans="2:17" ht="3" customHeight="1">
      <c r="B104" s="46"/>
      <c r="C104" s="46"/>
      <c r="D104" s="46"/>
      <c r="E104" s="46"/>
      <c r="F104" s="46">
        <f>+F101+F80</f>
        <v>2844.6689999999999</v>
      </c>
      <c r="G104" s="46"/>
      <c r="H104" s="352"/>
      <c r="I104" s="46"/>
      <c r="J104" s="46"/>
      <c r="K104" s="46"/>
      <c r="L104" s="46"/>
      <c r="M104" s="46"/>
      <c r="N104" s="46"/>
      <c r="O104" s="46"/>
      <c r="P104" s="46"/>
      <c r="Q104" s="46"/>
    </row>
    <row r="105" spans="2:17" hidden="1">
      <c r="B105" s="46"/>
      <c r="C105" s="46"/>
      <c r="D105" s="46"/>
      <c r="E105" s="46"/>
      <c r="F105" s="46"/>
      <c r="G105" s="46"/>
      <c r="H105" s="352"/>
      <c r="I105" s="46"/>
      <c r="J105" s="46"/>
      <c r="K105" s="46"/>
      <c r="L105" s="46"/>
      <c r="M105" s="46"/>
      <c r="N105" s="46"/>
      <c r="O105" s="46"/>
      <c r="P105" s="46"/>
      <c r="Q105" s="46"/>
    </row>
    <row r="106" spans="2:17" hidden="1">
      <c r="B106" s="375" t="s">
        <v>514</v>
      </c>
      <c r="C106" s="46"/>
      <c r="D106" s="46"/>
      <c r="E106" s="46"/>
      <c r="F106" s="46"/>
      <c r="G106" s="46"/>
      <c r="H106" s="352"/>
      <c r="I106" s="46"/>
      <c r="J106" s="46"/>
      <c r="K106" s="46"/>
      <c r="L106" s="46"/>
      <c r="M106" s="46"/>
      <c r="N106" s="46"/>
      <c r="O106" s="46"/>
      <c r="P106" s="46"/>
      <c r="Q106" s="46"/>
    </row>
    <row r="107" spans="2:17" hidden="1">
      <c r="B107" s="571" t="s">
        <v>517</v>
      </c>
      <c r="C107" s="46"/>
      <c r="D107" s="46"/>
      <c r="E107" s="46"/>
      <c r="F107" s="46"/>
      <c r="G107" s="46"/>
      <c r="H107" s="352"/>
      <c r="I107" s="46"/>
      <c r="J107" s="46"/>
      <c r="K107" s="46"/>
      <c r="L107" s="46"/>
      <c r="M107" s="46"/>
      <c r="N107" s="46"/>
      <c r="O107" s="46"/>
      <c r="P107" s="46"/>
      <c r="Q107" s="46"/>
    </row>
    <row r="108" spans="2:17" hidden="1">
      <c r="B108" s="46"/>
      <c r="C108" s="46"/>
      <c r="D108" s="46"/>
      <c r="E108" s="46"/>
      <c r="F108" s="46"/>
      <c r="G108" s="46"/>
      <c r="H108" s="352"/>
      <c r="I108" s="46"/>
      <c r="J108" s="46"/>
      <c r="K108" s="46"/>
      <c r="L108" s="46"/>
      <c r="M108" s="46"/>
      <c r="N108" s="46"/>
      <c r="O108" s="46"/>
      <c r="P108" s="46"/>
      <c r="Q108" s="46"/>
    </row>
    <row r="109" spans="2:17" hidden="1">
      <c r="B109" s="46"/>
      <c r="C109" s="46"/>
      <c r="D109" s="46"/>
      <c r="E109" s="46"/>
      <c r="F109" s="46"/>
      <c r="G109" s="46"/>
      <c r="H109" s="352"/>
      <c r="I109" s="46"/>
      <c r="J109" s="46"/>
      <c r="K109" s="46"/>
      <c r="L109" s="46"/>
      <c r="M109" s="46"/>
      <c r="N109" s="46"/>
      <c r="O109" s="46"/>
      <c r="P109" s="46"/>
      <c r="Q109" s="46"/>
    </row>
    <row r="110" spans="2:17" hidden="1">
      <c r="B110" s="46"/>
      <c r="C110" s="46"/>
      <c r="D110" s="46"/>
      <c r="E110" s="46"/>
      <c r="F110" s="46"/>
      <c r="G110" s="46"/>
      <c r="H110" s="352"/>
      <c r="I110" s="46"/>
      <c r="J110" s="46"/>
      <c r="K110" s="46"/>
      <c r="L110" s="46"/>
      <c r="M110" s="46"/>
      <c r="N110" s="46"/>
      <c r="O110" s="46"/>
      <c r="P110" s="46"/>
      <c r="Q110" s="46"/>
    </row>
    <row r="111" spans="2:17" hidden="1">
      <c r="B111" s="375" t="s">
        <v>515</v>
      </c>
      <c r="C111" s="46"/>
      <c r="D111" s="46"/>
      <c r="E111" s="46"/>
      <c r="F111" s="46"/>
      <c r="G111" s="46"/>
      <c r="H111" s="352"/>
      <c r="I111" s="46"/>
      <c r="J111" s="46"/>
      <c r="K111" s="46"/>
      <c r="L111" s="46"/>
      <c r="M111" s="46"/>
      <c r="N111" s="46"/>
      <c r="O111" s="46"/>
      <c r="P111" s="46"/>
      <c r="Q111" s="46"/>
    </row>
    <row r="112" spans="2:17" hidden="1">
      <c r="B112" s="568" t="s">
        <v>512</v>
      </c>
      <c r="C112" s="46"/>
      <c r="D112" s="46"/>
      <c r="E112" s="46"/>
      <c r="F112" s="46"/>
      <c r="G112" s="46"/>
      <c r="H112" s="352"/>
      <c r="I112" s="46"/>
      <c r="J112" s="46"/>
      <c r="K112" s="46"/>
      <c r="L112" s="46"/>
      <c r="M112" s="46"/>
      <c r="N112" s="46"/>
      <c r="O112" s="46"/>
      <c r="P112" s="46"/>
      <c r="Q112" s="46"/>
    </row>
    <row r="113" spans="2:17" hidden="1">
      <c r="B113" s="568" t="s">
        <v>513</v>
      </c>
      <c r="C113" s="402"/>
      <c r="D113" s="46"/>
      <c r="E113" s="46"/>
      <c r="F113" s="46"/>
      <c r="G113" s="46"/>
      <c r="H113" s="352"/>
      <c r="I113" s="46"/>
      <c r="J113" s="46"/>
      <c r="K113" s="46"/>
      <c r="L113" s="46"/>
      <c r="M113" s="46"/>
      <c r="N113" s="46"/>
      <c r="O113" s="46"/>
      <c r="P113" s="46"/>
      <c r="Q113" s="46"/>
    </row>
    <row r="114" spans="2:17" hidden="1">
      <c r="B114" s="46"/>
      <c r="C114" s="46"/>
      <c r="D114" s="46"/>
      <c r="E114" s="46"/>
      <c r="F114" s="46"/>
      <c r="G114" s="46"/>
      <c r="H114" s="352"/>
      <c r="I114" s="46"/>
      <c r="J114" s="46"/>
      <c r="K114" s="46"/>
      <c r="L114" s="46"/>
      <c r="M114" s="46"/>
      <c r="N114" s="46"/>
      <c r="O114" s="46"/>
      <c r="P114" s="46"/>
      <c r="Q114" s="46"/>
    </row>
    <row r="115" spans="2:17" hidden="1">
      <c r="B115" s="46"/>
      <c r="C115" s="46"/>
      <c r="D115" s="46"/>
      <c r="E115" s="46"/>
      <c r="F115" s="46"/>
      <c r="G115" s="46"/>
      <c r="H115" s="352"/>
      <c r="I115" s="46"/>
      <c r="J115" s="46"/>
      <c r="K115" s="46"/>
      <c r="L115" s="46"/>
      <c r="M115" s="46"/>
      <c r="N115" s="46"/>
      <c r="O115" s="46"/>
      <c r="P115" s="46"/>
      <c r="Q115" s="46"/>
    </row>
    <row r="116" spans="2:17" hidden="1">
      <c r="B116" s="46"/>
      <c r="C116" s="46"/>
      <c r="D116" s="46"/>
      <c r="E116" s="46"/>
      <c r="F116" s="46"/>
      <c r="G116" s="46"/>
      <c r="H116" s="352"/>
      <c r="I116" s="46"/>
      <c r="J116" s="46"/>
      <c r="K116" s="46"/>
      <c r="L116" s="46"/>
      <c r="M116" s="46"/>
      <c r="N116" s="46"/>
      <c r="O116" s="46"/>
      <c r="P116" s="46"/>
      <c r="Q116" s="46"/>
    </row>
    <row r="117" spans="2:17" hidden="1">
      <c r="B117" s="46"/>
      <c r="C117" s="46"/>
      <c r="D117" s="46"/>
      <c r="E117" s="46"/>
      <c r="F117" s="46"/>
      <c r="G117" s="46"/>
      <c r="H117" s="352"/>
      <c r="I117" s="46"/>
      <c r="J117" s="46"/>
      <c r="K117" s="46"/>
      <c r="L117" s="46"/>
      <c r="M117" s="46"/>
      <c r="N117" s="46"/>
      <c r="O117" s="46"/>
      <c r="P117" s="46"/>
      <c r="Q117" s="46"/>
    </row>
    <row r="118" spans="2:17">
      <c r="B118" s="46"/>
      <c r="C118" s="46"/>
      <c r="D118" s="46"/>
      <c r="E118" s="46"/>
      <c r="F118" s="46"/>
      <c r="G118" s="46"/>
      <c r="H118" s="352"/>
      <c r="I118" s="46"/>
      <c r="J118" s="46"/>
      <c r="K118" s="46"/>
      <c r="L118" s="46"/>
      <c r="M118" s="46"/>
      <c r="N118" s="46"/>
      <c r="O118" s="46"/>
      <c r="P118" s="46"/>
      <c r="Q118" s="46"/>
    </row>
    <row r="119" spans="2:17">
      <c r="B119" s="46"/>
      <c r="C119" s="46"/>
      <c r="D119" s="46"/>
      <c r="E119" s="46"/>
      <c r="F119" s="671">
        <f>+F101+F80</f>
        <v>2844.6689999999999</v>
      </c>
      <c r="G119" s="46"/>
      <c r="H119" s="352"/>
      <c r="I119" s="46"/>
      <c r="J119" s="46"/>
      <c r="K119" s="46"/>
      <c r="L119" s="46"/>
      <c r="M119" s="46"/>
      <c r="N119" s="46"/>
      <c r="O119" s="46"/>
      <c r="P119" s="46"/>
      <c r="Q119" s="46"/>
    </row>
    <row r="120" spans="2:17">
      <c r="B120" s="46"/>
      <c r="C120" s="46"/>
      <c r="D120" s="46"/>
      <c r="E120" s="46"/>
      <c r="F120" s="46"/>
      <c r="G120" s="46"/>
      <c r="H120" s="352"/>
      <c r="I120" s="46"/>
      <c r="J120" s="46"/>
      <c r="K120" s="46"/>
      <c r="L120" s="46"/>
      <c r="M120" s="46"/>
      <c r="N120" s="46"/>
      <c r="O120" s="46"/>
      <c r="P120" s="46"/>
      <c r="Q120" s="46"/>
    </row>
    <row r="121" spans="2:17">
      <c r="B121" s="46"/>
      <c r="C121" s="46"/>
      <c r="D121" s="46"/>
      <c r="E121" s="46"/>
      <c r="F121" s="46"/>
      <c r="G121" s="46"/>
      <c r="H121" s="352"/>
      <c r="I121" s="46"/>
      <c r="J121" s="46"/>
      <c r="K121" s="46"/>
      <c r="L121" s="46"/>
      <c r="M121" s="46"/>
      <c r="N121" s="46"/>
      <c r="O121" s="46"/>
      <c r="P121" s="46"/>
      <c r="Q121" s="46"/>
    </row>
    <row r="122" spans="2:17">
      <c r="B122" s="46"/>
      <c r="C122" s="46"/>
      <c r="D122" s="46"/>
      <c r="E122" s="46"/>
      <c r="F122" s="46"/>
      <c r="G122" s="46"/>
      <c r="H122" s="352"/>
      <c r="I122" s="46"/>
      <c r="J122" s="46"/>
      <c r="K122" s="46"/>
      <c r="L122" s="46"/>
      <c r="M122" s="46"/>
      <c r="N122" s="46"/>
      <c r="O122" s="46"/>
      <c r="P122" s="46"/>
      <c r="Q122" s="46"/>
    </row>
    <row r="123" spans="2:17">
      <c r="B123" s="46"/>
      <c r="C123" s="46"/>
      <c r="D123" s="46"/>
      <c r="E123" s="46"/>
      <c r="F123" s="46"/>
      <c r="G123" s="46"/>
      <c r="H123" s="352"/>
      <c r="I123" s="46"/>
      <c r="J123" s="46"/>
      <c r="K123" s="46"/>
      <c r="L123" s="46"/>
      <c r="M123" s="46"/>
      <c r="N123" s="46"/>
      <c r="O123" s="46"/>
      <c r="P123" s="46"/>
      <c r="Q123" s="46"/>
    </row>
    <row r="124" spans="2:17">
      <c r="B124" s="46"/>
      <c r="C124" s="46"/>
      <c r="D124" s="46"/>
      <c r="E124" s="46"/>
      <c r="F124" s="46"/>
      <c r="G124" s="46"/>
      <c r="H124" s="352"/>
      <c r="I124" s="46"/>
      <c r="J124" s="46"/>
      <c r="K124" s="46"/>
      <c r="L124" s="46"/>
      <c r="M124" s="46"/>
      <c r="N124" s="46"/>
      <c r="O124" s="46"/>
      <c r="P124" s="46"/>
      <c r="Q124" s="46"/>
    </row>
    <row r="125" spans="2:17">
      <c r="B125" s="46"/>
      <c r="C125" s="46"/>
      <c r="D125" s="46"/>
      <c r="E125" s="46"/>
      <c r="F125" s="46"/>
      <c r="G125" s="46"/>
      <c r="H125" s="352"/>
      <c r="I125" s="46"/>
      <c r="J125" s="46"/>
      <c r="K125" s="46"/>
      <c r="L125" s="46"/>
      <c r="M125" s="46"/>
      <c r="N125" s="46"/>
      <c r="O125" s="46"/>
      <c r="P125" s="46"/>
      <c r="Q125" s="46"/>
    </row>
    <row r="126" spans="2:17">
      <c r="B126" s="46"/>
      <c r="C126" s="46"/>
      <c r="D126" s="46"/>
      <c r="E126" s="46"/>
      <c r="F126" s="46"/>
      <c r="G126" s="46"/>
      <c r="H126" s="352"/>
      <c r="I126" s="46"/>
      <c r="J126" s="46"/>
      <c r="K126" s="46"/>
      <c r="L126" s="46"/>
      <c r="M126" s="46"/>
      <c r="N126" s="46"/>
      <c r="O126" s="46"/>
      <c r="P126" s="46"/>
      <c r="Q126" s="46"/>
    </row>
    <row r="127" spans="2:17">
      <c r="B127" s="46"/>
      <c r="C127" s="46"/>
      <c r="D127" s="46"/>
      <c r="E127" s="46"/>
      <c r="F127" s="46"/>
      <c r="G127" s="46"/>
      <c r="H127" s="352"/>
      <c r="I127" s="46"/>
      <c r="J127" s="46"/>
      <c r="K127" s="46"/>
      <c r="L127" s="46"/>
      <c r="M127" s="46"/>
      <c r="N127" s="46"/>
      <c r="O127" s="46"/>
      <c r="P127" s="46"/>
      <c r="Q127" s="46"/>
    </row>
    <row r="128" spans="2:17">
      <c r="B128" s="46"/>
      <c r="C128" s="46"/>
      <c r="D128" s="46"/>
      <c r="E128" s="46"/>
      <c r="F128" s="46"/>
      <c r="G128" s="46"/>
      <c r="H128" s="352"/>
      <c r="I128" s="46"/>
      <c r="J128" s="46"/>
      <c r="K128" s="46"/>
      <c r="L128" s="46"/>
      <c r="M128" s="46"/>
      <c r="N128" s="46"/>
      <c r="O128" s="46"/>
      <c r="P128" s="46"/>
      <c r="Q128" s="46"/>
    </row>
    <row r="129" spans="2:17">
      <c r="B129" s="46"/>
      <c r="C129" s="46"/>
      <c r="D129" s="46"/>
      <c r="E129" s="46"/>
      <c r="F129" s="46"/>
      <c r="G129" s="46"/>
      <c r="H129" s="352"/>
      <c r="I129" s="46"/>
      <c r="J129" s="46"/>
      <c r="K129" s="46"/>
      <c r="L129" s="46"/>
      <c r="M129" s="46"/>
      <c r="N129" s="46"/>
      <c r="O129" s="46"/>
      <c r="P129" s="46"/>
      <c r="Q129" s="46"/>
    </row>
    <row r="130" spans="2:17">
      <c r="B130" s="46"/>
      <c r="C130" s="46"/>
      <c r="D130" s="46"/>
      <c r="E130" s="46"/>
      <c r="F130" s="46"/>
      <c r="G130" s="46"/>
      <c r="H130" s="352"/>
      <c r="I130" s="46"/>
      <c r="J130" s="46"/>
      <c r="K130" s="46"/>
      <c r="L130" s="46"/>
      <c r="M130" s="46"/>
      <c r="N130" s="46"/>
      <c r="O130" s="46"/>
      <c r="P130" s="46"/>
      <c r="Q130" s="46"/>
    </row>
    <row r="131" spans="2:17">
      <c r="B131" s="46"/>
      <c r="C131" s="46"/>
      <c r="D131" s="46"/>
      <c r="E131" s="46"/>
      <c r="F131" s="46"/>
      <c r="G131" s="46"/>
      <c r="H131" s="352"/>
      <c r="I131" s="46"/>
      <c r="J131" s="46"/>
      <c r="K131" s="46"/>
      <c r="L131" s="46"/>
      <c r="M131" s="46"/>
      <c r="N131" s="46"/>
      <c r="O131" s="46"/>
      <c r="P131" s="46"/>
      <c r="Q131" s="46"/>
    </row>
    <row r="132" spans="2:17">
      <c r="B132" s="46"/>
      <c r="C132" s="46"/>
      <c r="D132" s="46"/>
      <c r="E132" s="46"/>
      <c r="F132" s="46"/>
      <c r="G132" s="46"/>
      <c r="H132" s="352"/>
      <c r="I132" s="46"/>
      <c r="J132" s="46"/>
      <c r="K132" s="46"/>
      <c r="L132" s="46"/>
      <c r="M132" s="46"/>
      <c r="N132" s="46"/>
      <c r="O132" s="46"/>
      <c r="P132" s="46"/>
      <c r="Q132" s="46"/>
    </row>
    <row r="133" spans="2:17">
      <c r="B133" s="46"/>
      <c r="C133" s="46"/>
      <c r="D133" s="46"/>
      <c r="E133" s="46"/>
      <c r="F133" s="46"/>
      <c r="G133" s="46"/>
      <c r="H133" s="352"/>
      <c r="I133" s="46"/>
      <c r="J133" s="46"/>
      <c r="K133" s="46"/>
      <c r="L133" s="46"/>
      <c r="M133" s="46"/>
      <c r="N133" s="46"/>
      <c r="O133" s="46"/>
      <c r="P133" s="46"/>
      <c r="Q133" s="46"/>
    </row>
    <row r="134" spans="2:17">
      <c r="B134" s="46"/>
      <c r="C134" s="46"/>
      <c r="D134" s="46"/>
      <c r="E134" s="46"/>
      <c r="F134" s="46"/>
      <c r="G134" s="46"/>
      <c r="H134" s="352"/>
      <c r="I134" s="46"/>
      <c r="J134" s="46"/>
      <c r="K134" s="46"/>
      <c r="L134" s="46"/>
      <c r="M134" s="46"/>
      <c r="N134" s="46"/>
      <c r="O134" s="46"/>
      <c r="P134" s="46"/>
      <c r="Q134" s="46"/>
    </row>
    <row r="135" spans="2:17">
      <c r="B135" s="46"/>
      <c r="C135" s="46"/>
      <c r="D135" s="46"/>
      <c r="E135" s="46"/>
      <c r="F135" s="46"/>
      <c r="G135" s="46"/>
      <c r="H135" s="352"/>
      <c r="I135" s="46"/>
      <c r="J135" s="46"/>
      <c r="K135" s="46"/>
      <c r="L135" s="46"/>
      <c r="M135" s="46"/>
      <c r="N135" s="46"/>
      <c r="O135" s="46"/>
      <c r="P135" s="46"/>
      <c r="Q135" s="46"/>
    </row>
    <row r="136" spans="2:17">
      <c r="B136" s="46"/>
      <c r="C136" s="46"/>
      <c r="D136" s="46"/>
      <c r="E136" s="46"/>
      <c r="F136" s="46"/>
      <c r="G136" s="46"/>
      <c r="H136" s="352"/>
      <c r="I136" s="46"/>
      <c r="J136" s="46"/>
      <c r="K136" s="46"/>
      <c r="L136" s="46"/>
      <c r="M136" s="46"/>
      <c r="N136" s="46"/>
      <c r="O136" s="46"/>
      <c r="P136" s="46"/>
      <c r="Q136" s="46"/>
    </row>
    <row r="137" spans="2:17">
      <c r="B137" s="46"/>
      <c r="C137" s="46"/>
      <c r="D137" s="46"/>
      <c r="E137" s="46"/>
      <c r="F137" s="46"/>
      <c r="G137" s="46"/>
      <c r="H137" s="352"/>
      <c r="I137" s="46"/>
      <c r="J137" s="46"/>
      <c r="K137" s="46"/>
      <c r="L137" s="46"/>
      <c r="M137" s="46"/>
      <c r="N137" s="46"/>
      <c r="O137" s="46"/>
      <c r="P137" s="46"/>
      <c r="Q137" s="46"/>
    </row>
    <row r="138" spans="2:17">
      <c r="B138" s="46"/>
      <c r="C138" s="46"/>
      <c r="D138" s="46"/>
      <c r="E138" s="46"/>
      <c r="F138" s="46"/>
      <c r="G138" s="46"/>
      <c r="H138" s="352"/>
      <c r="I138" s="46"/>
      <c r="J138" s="46"/>
      <c r="K138" s="46"/>
      <c r="L138" s="46"/>
      <c r="M138" s="46"/>
      <c r="N138" s="46"/>
      <c r="O138" s="46"/>
      <c r="P138" s="46"/>
      <c r="Q138" s="46"/>
    </row>
    <row r="139" spans="2:17">
      <c r="B139" s="46"/>
      <c r="C139" s="46"/>
      <c r="D139" s="46"/>
      <c r="E139" s="46"/>
      <c r="F139" s="46"/>
      <c r="G139" s="46"/>
      <c r="H139" s="352"/>
      <c r="I139" s="46"/>
      <c r="J139" s="46"/>
      <c r="K139" s="46"/>
      <c r="L139" s="46"/>
      <c r="M139" s="46"/>
      <c r="N139" s="46"/>
      <c r="O139" s="46"/>
      <c r="P139" s="46"/>
      <c r="Q139" s="46"/>
    </row>
    <row r="140" spans="2:17">
      <c r="B140" s="46"/>
      <c r="C140" s="46"/>
      <c r="D140" s="46"/>
      <c r="E140" s="46"/>
      <c r="F140" s="46"/>
      <c r="G140" s="46"/>
      <c r="H140" s="352"/>
      <c r="I140" s="46"/>
      <c r="J140" s="46"/>
      <c r="K140" s="46"/>
      <c r="L140" s="46"/>
      <c r="M140" s="46"/>
      <c r="N140" s="46"/>
      <c r="O140" s="46"/>
      <c r="P140" s="46"/>
      <c r="Q140" s="46"/>
    </row>
    <row r="141" spans="2:17">
      <c r="B141" s="46"/>
      <c r="C141" s="46"/>
      <c r="D141" s="46"/>
      <c r="E141" s="46"/>
      <c r="F141" s="46"/>
      <c r="G141" s="46"/>
      <c r="H141" s="352"/>
      <c r="I141" s="46"/>
      <c r="J141" s="46"/>
      <c r="K141" s="46"/>
      <c r="L141" s="46"/>
      <c r="M141" s="46"/>
      <c r="N141" s="46"/>
      <c r="O141" s="46"/>
      <c r="P141" s="46"/>
      <c r="Q141" s="46"/>
    </row>
    <row r="142" spans="2:17">
      <c r="B142" s="46"/>
      <c r="C142" s="46"/>
      <c r="D142" s="46"/>
      <c r="E142" s="46"/>
      <c r="F142" s="46"/>
      <c r="G142" s="46"/>
      <c r="H142" s="352"/>
      <c r="I142" s="46"/>
      <c r="J142" s="46"/>
      <c r="K142" s="46"/>
      <c r="L142" s="46"/>
      <c r="M142" s="46"/>
      <c r="N142" s="46"/>
      <c r="O142" s="46"/>
      <c r="P142" s="46"/>
      <c r="Q142" s="46"/>
    </row>
    <row r="143" spans="2:17">
      <c r="B143" s="46"/>
      <c r="C143" s="46"/>
      <c r="D143" s="46"/>
      <c r="E143" s="46"/>
      <c r="F143" s="46"/>
      <c r="G143" s="46"/>
      <c r="H143" s="352"/>
      <c r="I143" s="46"/>
      <c r="J143" s="46"/>
      <c r="K143" s="46"/>
      <c r="L143" s="46"/>
      <c r="M143" s="46"/>
      <c r="N143" s="46"/>
      <c r="O143" s="46"/>
      <c r="P143" s="46"/>
      <c r="Q143" s="46"/>
    </row>
    <row r="144" spans="2:17">
      <c r="B144" s="46"/>
      <c r="C144" s="46"/>
      <c r="D144" s="46"/>
      <c r="E144" s="46"/>
      <c r="F144" s="46"/>
      <c r="G144" s="46"/>
      <c r="H144" s="352"/>
      <c r="I144" s="46"/>
      <c r="J144" s="46"/>
      <c r="K144" s="46"/>
      <c r="L144" s="46"/>
      <c r="M144" s="46"/>
      <c r="N144" s="46"/>
      <c r="O144" s="46"/>
      <c r="P144" s="46"/>
      <c r="Q144" s="46"/>
    </row>
    <row r="145" spans="2:17">
      <c r="B145" s="46"/>
      <c r="C145" s="46"/>
      <c r="D145" s="46"/>
      <c r="E145" s="46"/>
      <c r="F145" s="46"/>
      <c r="G145" s="46"/>
      <c r="H145" s="352"/>
      <c r="I145" s="46"/>
      <c r="J145" s="46"/>
      <c r="K145" s="46"/>
      <c r="L145" s="46"/>
      <c r="M145" s="46"/>
      <c r="N145" s="46"/>
      <c r="O145" s="46"/>
      <c r="P145" s="46"/>
      <c r="Q145" s="46"/>
    </row>
    <row r="146" spans="2:17">
      <c r="B146" s="46"/>
      <c r="C146" s="46"/>
      <c r="D146" s="46"/>
      <c r="E146" s="46"/>
      <c r="F146" s="46"/>
      <c r="G146" s="46"/>
      <c r="H146" s="352"/>
      <c r="I146" s="46"/>
      <c r="J146" s="46"/>
      <c r="K146" s="46"/>
      <c r="L146" s="46"/>
      <c r="M146" s="46"/>
      <c r="N146" s="46"/>
      <c r="O146" s="46"/>
      <c r="P146" s="46"/>
      <c r="Q146" s="46"/>
    </row>
    <row r="147" spans="2:17">
      <c r="B147" s="46"/>
      <c r="C147" s="46"/>
      <c r="D147" s="46"/>
      <c r="E147" s="46"/>
      <c r="F147" s="46"/>
      <c r="G147" s="46"/>
      <c r="H147" s="352"/>
      <c r="I147" s="46"/>
      <c r="J147" s="46"/>
      <c r="K147" s="46"/>
      <c r="L147" s="46"/>
      <c r="M147" s="46"/>
      <c r="N147" s="46"/>
      <c r="O147" s="46"/>
      <c r="P147" s="46"/>
      <c r="Q147" s="46"/>
    </row>
    <row r="148" spans="2:17">
      <c r="B148" s="46"/>
      <c r="C148" s="46"/>
      <c r="D148" s="46"/>
      <c r="E148" s="46"/>
      <c r="F148" s="46"/>
      <c r="G148" s="46"/>
      <c r="H148" s="352"/>
      <c r="I148" s="46"/>
      <c r="J148" s="46"/>
      <c r="K148" s="46"/>
      <c r="L148" s="46"/>
      <c r="M148" s="46"/>
      <c r="N148" s="46"/>
      <c r="O148" s="46"/>
      <c r="P148" s="46"/>
      <c r="Q148" s="46"/>
    </row>
    <row r="149" spans="2:17">
      <c r="B149" s="46"/>
      <c r="C149" s="46"/>
      <c r="D149" s="46"/>
      <c r="E149" s="46"/>
      <c r="F149" s="46"/>
      <c r="G149" s="46"/>
      <c r="H149" s="352"/>
      <c r="I149" s="46"/>
      <c r="J149" s="46"/>
      <c r="K149" s="46"/>
      <c r="L149" s="46"/>
      <c r="M149" s="46"/>
      <c r="N149" s="46"/>
      <c r="O149" s="46"/>
      <c r="P149" s="46"/>
      <c r="Q149" s="46"/>
    </row>
    <row r="150" spans="2:17">
      <c r="B150" s="46"/>
      <c r="C150" s="46"/>
      <c r="D150" s="46"/>
      <c r="E150" s="46"/>
      <c r="F150" s="46"/>
      <c r="G150" s="46"/>
      <c r="H150" s="352"/>
      <c r="I150" s="46"/>
      <c r="J150" s="46"/>
      <c r="K150" s="46"/>
      <c r="L150" s="46"/>
      <c r="M150" s="46"/>
      <c r="N150" s="46"/>
      <c r="O150" s="46"/>
      <c r="P150" s="46"/>
      <c r="Q150" s="46"/>
    </row>
    <row r="151" spans="2:17">
      <c r="B151" s="46"/>
      <c r="C151" s="46"/>
      <c r="D151" s="46"/>
      <c r="E151" s="46"/>
      <c r="F151" s="46"/>
      <c r="G151" s="46"/>
      <c r="H151" s="352"/>
      <c r="I151" s="46"/>
      <c r="J151" s="46"/>
      <c r="K151" s="46"/>
      <c r="L151" s="46"/>
      <c r="M151" s="46"/>
      <c r="N151" s="46"/>
      <c r="O151" s="46"/>
      <c r="P151" s="46"/>
      <c r="Q151" s="46"/>
    </row>
    <row r="152" spans="2:17">
      <c r="B152" s="46"/>
      <c r="C152" s="46"/>
      <c r="D152" s="46"/>
      <c r="E152" s="46"/>
      <c r="F152" s="46"/>
      <c r="G152" s="46"/>
      <c r="H152" s="352"/>
      <c r="I152" s="46"/>
      <c r="J152" s="46"/>
      <c r="K152" s="46"/>
      <c r="L152" s="46"/>
      <c r="M152" s="46"/>
      <c r="N152" s="46"/>
      <c r="O152" s="46"/>
      <c r="P152" s="46"/>
      <c r="Q152" s="46"/>
    </row>
    <row r="153" spans="2:17">
      <c r="B153" s="46"/>
      <c r="C153" s="46"/>
      <c r="D153" s="46"/>
      <c r="E153" s="46"/>
      <c r="F153" s="46"/>
      <c r="G153" s="46"/>
      <c r="H153" s="352"/>
      <c r="I153" s="46"/>
      <c r="J153" s="46"/>
      <c r="K153" s="46"/>
      <c r="L153" s="46"/>
      <c r="M153" s="46"/>
      <c r="N153" s="46"/>
      <c r="O153" s="46"/>
      <c r="P153" s="46"/>
      <c r="Q153" s="46"/>
    </row>
    <row r="154" spans="2:17">
      <c r="B154" s="46"/>
      <c r="C154" s="46"/>
      <c r="D154" s="46"/>
      <c r="E154" s="46"/>
      <c r="F154" s="46"/>
      <c r="G154" s="46"/>
      <c r="H154" s="352"/>
      <c r="I154" s="46"/>
      <c r="J154" s="46"/>
      <c r="K154" s="46"/>
      <c r="L154" s="46"/>
      <c r="M154" s="46"/>
      <c r="N154" s="46"/>
      <c r="O154" s="46"/>
      <c r="P154" s="46"/>
      <c r="Q154" s="46"/>
    </row>
    <row r="155" spans="2:17">
      <c r="B155" s="46"/>
      <c r="C155" s="46"/>
      <c r="D155" s="46"/>
      <c r="E155" s="46"/>
      <c r="F155" s="46"/>
      <c r="G155" s="46"/>
      <c r="H155" s="352"/>
      <c r="I155" s="46"/>
      <c r="J155" s="46"/>
      <c r="K155" s="46"/>
      <c r="L155" s="46"/>
      <c r="M155" s="46"/>
      <c r="N155" s="46"/>
      <c r="O155" s="46"/>
      <c r="P155" s="46"/>
      <c r="Q155" s="46"/>
    </row>
    <row r="156" spans="2:17">
      <c r="B156" s="46"/>
      <c r="C156" s="46"/>
      <c r="D156" s="46"/>
      <c r="E156" s="46"/>
      <c r="F156" s="46"/>
      <c r="G156" s="46"/>
      <c r="H156" s="352"/>
      <c r="I156" s="46"/>
      <c r="J156" s="46"/>
      <c r="K156" s="46"/>
      <c r="L156" s="46"/>
      <c r="M156" s="46"/>
      <c r="N156" s="46"/>
      <c r="O156" s="46"/>
      <c r="P156" s="46"/>
      <c r="Q156" s="46"/>
    </row>
    <row r="157" spans="2:17">
      <c r="B157" s="46"/>
      <c r="C157" s="46"/>
      <c r="D157" s="46"/>
      <c r="E157" s="46"/>
      <c r="F157" s="46"/>
      <c r="G157" s="46"/>
      <c r="H157" s="352"/>
      <c r="I157" s="46"/>
      <c r="J157" s="46"/>
      <c r="K157" s="46"/>
      <c r="L157" s="46"/>
      <c r="M157" s="46"/>
      <c r="N157" s="46"/>
      <c r="O157" s="46"/>
      <c r="P157" s="46"/>
      <c r="Q157" s="46"/>
    </row>
    <row r="158" spans="2:17">
      <c r="B158" s="46"/>
      <c r="C158" s="46"/>
      <c r="D158" s="46"/>
      <c r="E158" s="46"/>
      <c r="F158" s="46"/>
      <c r="G158" s="46"/>
      <c r="H158" s="352"/>
      <c r="I158" s="46"/>
      <c r="J158" s="46"/>
      <c r="K158" s="46"/>
      <c r="L158" s="46"/>
      <c r="M158" s="46"/>
      <c r="N158" s="46"/>
      <c r="O158" s="46"/>
      <c r="P158" s="46"/>
      <c r="Q158" s="46"/>
    </row>
    <row r="159" spans="2:17">
      <c r="B159" s="46"/>
      <c r="C159" s="46"/>
      <c r="D159" s="46"/>
      <c r="E159" s="46"/>
      <c r="F159" s="46"/>
      <c r="G159" s="46"/>
      <c r="H159" s="352"/>
      <c r="I159" s="46"/>
      <c r="J159" s="46"/>
      <c r="K159" s="46"/>
      <c r="L159" s="46"/>
      <c r="M159" s="46"/>
      <c r="N159" s="46"/>
      <c r="O159" s="46"/>
      <c r="P159" s="46"/>
      <c r="Q159" s="46"/>
    </row>
    <row r="160" spans="2:17">
      <c r="B160" s="46"/>
      <c r="C160" s="46"/>
      <c r="D160" s="46"/>
      <c r="E160" s="46"/>
      <c r="F160" s="46"/>
      <c r="G160" s="46"/>
      <c r="H160" s="352"/>
      <c r="I160" s="46"/>
      <c r="J160" s="46"/>
      <c r="K160" s="46"/>
      <c r="L160" s="46"/>
      <c r="M160" s="46"/>
      <c r="N160" s="46"/>
      <c r="O160" s="46"/>
      <c r="P160" s="46"/>
      <c r="Q160" s="46"/>
    </row>
    <row r="161" spans="2:17">
      <c r="B161" s="46"/>
      <c r="C161" s="46"/>
      <c r="D161" s="46"/>
      <c r="E161" s="46"/>
      <c r="F161" s="46"/>
      <c r="G161" s="46"/>
      <c r="H161" s="352"/>
      <c r="I161" s="46"/>
      <c r="J161" s="46"/>
      <c r="K161" s="46"/>
      <c r="L161" s="46"/>
      <c r="M161" s="46"/>
      <c r="N161" s="46"/>
      <c r="O161" s="46"/>
      <c r="P161" s="46"/>
      <c r="Q161" s="46"/>
    </row>
    <row r="162" spans="2:17">
      <c r="B162" s="46"/>
      <c r="C162" s="46"/>
      <c r="D162" s="46"/>
      <c r="E162" s="46"/>
      <c r="F162" s="46"/>
      <c r="G162" s="46"/>
      <c r="H162" s="352"/>
      <c r="I162" s="46"/>
      <c r="J162" s="46"/>
      <c r="K162" s="46"/>
      <c r="L162" s="46"/>
      <c r="M162" s="46"/>
      <c r="N162" s="46"/>
      <c r="O162" s="46"/>
      <c r="P162" s="46"/>
      <c r="Q162" s="46"/>
    </row>
    <row r="163" spans="2:17">
      <c r="B163" s="46"/>
      <c r="C163" s="46"/>
      <c r="D163" s="46"/>
      <c r="E163" s="46"/>
      <c r="F163" s="46"/>
      <c r="G163" s="46"/>
      <c r="H163" s="352"/>
      <c r="I163" s="46"/>
      <c r="J163" s="46"/>
      <c r="K163" s="46"/>
      <c r="L163" s="46"/>
      <c r="M163" s="46"/>
      <c r="N163" s="46"/>
      <c r="O163" s="46"/>
      <c r="P163" s="46"/>
      <c r="Q163" s="46"/>
    </row>
    <row r="164" spans="2:17">
      <c r="B164" s="46"/>
      <c r="C164" s="46"/>
      <c r="D164" s="46"/>
      <c r="E164" s="46"/>
      <c r="F164" s="46"/>
      <c r="G164" s="46"/>
      <c r="H164" s="352"/>
      <c r="I164" s="46"/>
      <c r="J164" s="46"/>
      <c r="K164" s="46"/>
      <c r="L164" s="46"/>
      <c r="M164" s="46"/>
      <c r="N164" s="46"/>
      <c r="O164" s="46"/>
      <c r="P164" s="46"/>
      <c r="Q164" s="46"/>
    </row>
    <row r="165" spans="2:17">
      <c r="B165" s="46"/>
      <c r="C165" s="46"/>
      <c r="D165" s="46"/>
      <c r="E165" s="46"/>
      <c r="F165" s="46"/>
      <c r="G165" s="46"/>
      <c r="H165" s="352"/>
      <c r="I165" s="46"/>
      <c r="J165" s="46"/>
      <c r="K165" s="46"/>
      <c r="L165" s="46"/>
      <c r="M165" s="46"/>
      <c r="N165" s="46"/>
      <c r="O165" s="46"/>
      <c r="P165" s="46"/>
      <c r="Q165" s="46"/>
    </row>
    <row r="166" spans="2:17">
      <c r="B166" s="46"/>
      <c r="C166" s="46"/>
      <c r="D166" s="46"/>
      <c r="E166" s="46"/>
      <c r="F166" s="46"/>
      <c r="G166" s="46"/>
      <c r="H166" s="352"/>
      <c r="I166" s="46"/>
      <c r="J166" s="46"/>
      <c r="K166" s="46"/>
      <c r="L166" s="46"/>
      <c r="M166" s="46"/>
      <c r="N166" s="46"/>
      <c r="O166" s="46"/>
      <c r="P166" s="46"/>
      <c r="Q166" s="46"/>
    </row>
    <row r="167" spans="2:17">
      <c r="B167" s="46"/>
      <c r="C167" s="46"/>
      <c r="D167" s="46"/>
      <c r="E167" s="46"/>
      <c r="F167" s="46"/>
      <c r="G167" s="46"/>
      <c r="H167" s="352"/>
      <c r="I167" s="46"/>
      <c r="J167" s="46"/>
      <c r="K167" s="46"/>
      <c r="L167" s="46"/>
      <c r="M167" s="46"/>
      <c r="N167" s="46"/>
      <c r="O167" s="46"/>
      <c r="P167" s="46"/>
      <c r="Q167" s="46"/>
    </row>
    <row r="168" spans="2:17">
      <c r="B168" s="46"/>
      <c r="C168" s="46"/>
      <c r="D168" s="46"/>
      <c r="E168" s="46"/>
      <c r="F168" s="46"/>
      <c r="G168" s="46"/>
      <c r="H168" s="352"/>
      <c r="I168" s="46"/>
      <c r="J168" s="46"/>
      <c r="K168" s="46"/>
      <c r="L168" s="46"/>
      <c r="M168" s="46"/>
      <c r="N168" s="46"/>
      <c r="O168" s="46"/>
      <c r="P168" s="46"/>
      <c r="Q168" s="46"/>
    </row>
    <row r="169" spans="2:17">
      <c r="B169" s="46"/>
      <c r="C169" s="46"/>
      <c r="D169" s="46"/>
      <c r="E169" s="46"/>
      <c r="F169" s="46"/>
      <c r="G169" s="46"/>
      <c r="H169" s="352"/>
      <c r="I169" s="46"/>
      <c r="J169" s="46"/>
      <c r="K169" s="46"/>
      <c r="L169" s="46"/>
      <c r="M169" s="46"/>
      <c r="N169" s="46"/>
      <c r="O169" s="46"/>
      <c r="P169" s="46"/>
      <c r="Q169" s="46"/>
    </row>
    <row r="170" spans="2:17">
      <c r="B170" s="46"/>
      <c r="C170" s="46"/>
      <c r="D170" s="46"/>
      <c r="E170" s="46"/>
      <c r="F170" s="46"/>
      <c r="G170" s="46"/>
      <c r="H170" s="352"/>
      <c r="I170" s="46"/>
      <c r="J170" s="46"/>
      <c r="K170" s="46"/>
      <c r="L170" s="46"/>
      <c r="M170" s="46"/>
      <c r="N170" s="46"/>
      <c r="O170" s="46"/>
      <c r="P170" s="46"/>
      <c r="Q170" s="46"/>
    </row>
    <row r="171" spans="2:17">
      <c r="B171" s="46"/>
      <c r="C171" s="46"/>
      <c r="D171" s="46"/>
      <c r="E171" s="46"/>
      <c r="F171" s="46"/>
      <c r="G171" s="46"/>
      <c r="H171" s="352"/>
      <c r="I171" s="46"/>
      <c r="J171" s="46"/>
      <c r="K171" s="46"/>
      <c r="L171" s="46"/>
      <c r="M171" s="46"/>
      <c r="N171" s="46"/>
      <c r="O171" s="46"/>
      <c r="P171" s="46"/>
      <c r="Q171" s="46"/>
    </row>
    <row r="172" spans="2:17">
      <c r="B172" s="46"/>
      <c r="C172" s="46"/>
      <c r="D172" s="46"/>
      <c r="E172" s="46"/>
      <c r="F172" s="46"/>
      <c r="G172" s="46"/>
      <c r="H172" s="352"/>
      <c r="I172" s="46"/>
      <c r="J172" s="46"/>
      <c r="K172" s="46"/>
      <c r="L172" s="46"/>
      <c r="M172" s="46"/>
      <c r="N172" s="46"/>
      <c r="O172" s="46"/>
      <c r="P172" s="46"/>
      <c r="Q172" s="46"/>
    </row>
    <row r="173" spans="2:17">
      <c r="B173" s="46"/>
      <c r="C173" s="46"/>
      <c r="D173" s="46"/>
      <c r="E173" s="46"/>
      <c r="F173" s="46"/>
      <c r="G173" s="46"/>
      <c r="H173" s="352"/>
      <c r="I173" s="46"/>
      <c r="J173" s="46"/>
      <c r="K173" s="46"/>
      <c r="L173" s="46"/>
      <c r="M173" s="46"/>
      <c r="N173" s="46"/>
      <c r="O173" s="46"/>
      <c r="P173" s="46"/>
      <c r="Q173" s="46"/>
    </row>
    <row r="174" spans="2:17">
      <c r="B174" s="46"/>
      <c r="C174" s="46"/>
      <c r="D174" s="46"/>
      <c r="E174" s="46"/>
      <c r="F174" s="46"/>
      <c r="G174" s="46"/>
      <c r="H174" s="352"/>
      <c r="I174" s="46"/>
      <c r="J174" s="46"/>
      <c r="K174" s="46"/>
      <c r="L174" s="46"/>
      <c r="M174" s="46"/>
      <c r="N174" s="46"/>
      <c r="O174" s="46"/>
      <c r="P174" s="46"/>
      <c r="Q174" s="46"/>
    </row>
    <row r="175" spans="2:17">
      <c r="B175" s="46"/>
      <c r="C175" s="46"/>
      <c r="D175" s="46"/>
      <c r="E175" s="46"/>
      <c r="F175" s="46"/>
      <c r="G175" s="46"/>
      <c r="H175" s="352"/>
      <c r="I175" s="46"/>
      <c r="J175" s="46"/>
      <c r="K175" s="46"/>
      <c r="L175" s="46"/>
      <c r="M175" s="46"/>
      <c r="N175" s="46"/>
      <c r="O175" s="46"/>
      <c r="P175" s="46"/>
      <c r="Q175" s="46"/>
    </row>
    <row r="176" spans="2:17">
      <c r="B176" s="46"/>
      <c r="C176" s="46"/>
      <c r="D176" s="46"/>
      <c r="E176" s="46"/>
      <c r="F176" s="46"/>
      <c r="G176" s="46"/>
      <c r="H176" s="352"/>
      <c r="I176" s="46"/>
      <c r="J176" s="46"/>
      <c r="K176" s="46"/>
      <c r="L176" s="46"/>
      <c r="M176" s="46"/>
      <c r="N176" s="46"/>
      <c r="O176" s="46"/>
      <c r="P176" s="46"/>
      <c r="Q176" s="46"/>
    </row>
    <row r="177" spans="2:17">
      <c r="B177" s="46"/>
      <c r="C177" s="46"/>
      <c r="D177" s="46"/>
      <c r="E177" s="46"/>
      <c r="F177" s="46"/>
      <c r="G177" s="46"/>
      <c r="H177" s="352"/>
      <c r="I177" s="46"/>
      <c r="J177" s="46"/>
      <c r="K177" s="46"/>
      <c r="L177" s="46"/>
      <c r="M177" s="46"/>
      <c r="N177" s="46"/>
      <c r="O177" s="46"/>
      <c r="P177" s="46"/>
      <c r="Q177" s="46"/>
    </row>
    <row r="178" spans="2:17">
      <c r="B178" s="46"/>
      <c r="C178" s="46"/>
      <c r="D178" s="46"/>
      <c r="E178" s="46"/>
      <c r="F178" s="46"/>
      <c r="G178" s="46"/>
      <c r="H178" s="352"/>
      <c r="I178" s="46"/>
      <c r="J178" s="46"/>
      <c r="K178" s="46"/>
      <c r="L178" s="46"/>
      <c r="M178" s="46"/>
      <c r="N178" s="46"/>
      <c r="O178" s="46"/>
      <c r="P178" s="46"/>
      <c r="Q178" s="46"/>
    </row>
    <row r="179" spans="2:17">
      <c r="B179" s="46"/>
      <c r="C179" s="46"/>
      <c r="D179" s="46"/>
      <c r="E179" s="46"/>
      <c r="F179" s="46"/>
      <c r="G179" s="46"/>
      <c r="H179" s="352"/>
      <c r="I179" s="46"/>
      <c r="J179" s="46"/>
      <c r="K179" s="46"/>
      <c r="L179" s="46"/>
      <c r="M179" s="46"/>
      <c r="N179" s="46"/>
      <c r="O179" s="46"/>
      <c r="P179" s="46"/>
      <c r="Q179" s="46"/>
    </row>
    <row r="180" spans="2:17">
      <c r="B180" s="46"/>
      <c r="C180" s="46"/>
      <c r="D180" s="46"/>
      <c r="E180" s="46"/>
      <c r="F180" s="46"/>
      <c r="G180" s="46"/>
      <c r="H180" s="352"/>
      <c r="I180" s="46"/>
      <c r="J180" s="46"/>
      <c r="K180" s="46"/>
      <c r="L180" s="46"/>
      <c r="M180" s="46"/>
      <c r="N180" s="46"/>
      <c r="O180" s="46"/>
      <c r="P180" s="46"/>
      <c r="Q180" s="46"/>
    </row>
    <row r="181" spans="2:17">
      <c r="B181" s="46"/>
      <c r="C181" s="46"/>
      <c r="D181" s="46"/>
      <c r="E181" s="46"/>
      <c r="F181" s="46"/>
      <c r="G181" s="46"/>
      <c r="H181" s="352"/>
      <c r="I181" s="46"/>
      <c r="J181" s="46"/>
      <c r="K181" s="46"/>
      <c r="L181" s="46"/>
      <c r="M181" s="46"/>
      <c r="N181" s="46"/>
      <c r="O181" s="46"/>
      <c r="P181" s="46"/>
      <c r="Q181" s="46"/>
    </row>
    <row r="182" spans="2:17">
      <c r="B182" s="46"/>
      <c r="C182" s="46"/>
      <c r="D182" s="46"/>
      <c r="E182" s="46"/>
      <c r="F182" s="46"/>
      <c r="G182" s="46"/>
      <c r="H182" s="352"/>
      <c r="I182" s="46"/>
      <c r="J182" s="46"/>
      <c r="K182" s="46"/>
      <c r="L182" s="46"/>
      <c r="M182" s="46"/>
      <c r="N182" s="46"/>
      <c r="O182" s="46"/>
      <c r="P182" s="46"/>
      <c r="Q182" s="46"/>
    </row>
    <row r="183" spans="2:17">
      <c r="B183" s="46"/>
      <c r="C183" s="46"/>
      <c r="D183" s="46"/>
      <c r="E183" s="46"/>
      <c r="F183" s="46"/>
      <c r="G183" s="46"/>
      <c r="H183" s="352"/>
      <c r="I183" s="46"/>
      <c r="J183" s="46"/>
      <c r="K183" s="46"/>
      <c r="L183" s="46"/>
      <c r="M183" s="46"/>
      <c r="N183" s="46"/>
      <c r="O183" s="46"/>
      <c r="P183" s="46"/>
      <c r="Q183" s="46"/>
    </row>
    <row r="184" spans="2:17">
      <c r="B184" s="46"/>
      <c r="C184" s="46"/>
      <c r="D184" s="46"/>
      <c r="E184" s="46"/>
      <c r="F184" s="46"/>
      <c r="G184" s="46"/>
      <c r="H184" s="352"/>
      <c r="I184" s="46"/>
      <c r="J184" s="46"/>
      <c r="K184" s="46"/>
      <c r="L184" s="46"/>
      <c r="M184" s="46"/>
      <c r="N184" s="46"/>
      <c r="O184" s="46"/>
      <c r="P184" s="46"/>
      <c r="Q184" s="46"/>
    </row>
    <row r="185" spans="2:17">
      <c r="B185" s="46"/>
      <c r="C185" s="46"/>
      <c r="D185" s="46"/>
      <c r="E185" s="46"/>
      <c r="F185" s="46"/>
      <c r="G185" s="46"/>
      <c r="H185" s="352"/>
      <c r="I185" s="46"/>
      <c r="J185" s="46"/>
      <c r="K185" s="46"/>
      <c r="L185" s="46"/>
      <c r="M185" s="46"/>
      <c r="N185" s="46"/>
      <c r="O185" s="46"/>
      <c r="P185" s="46"/>
      <c r="Q185" s="46"/>
    </row>
    <row r="186" spans="2:17">
      <c r="B186" s="46"/>
      <c r="C186" s="46"/>
      <c r="D186" s="46"/>
      <c r="E186" s="46"/>
      <c r="F186" s="46"/>
      <c r="G186" s="46"/>
      <c r="H186" s="352"/>
      <c r="I186" s="46"/>
      <c r="J186" s="46"/>
      <c r="K186" s="46"/>
      <c r="L186" s="46"/>
      <c r="M186" s="46"/>
      <c r="N186" s="46"/>
      <c r="O186" s="46"/>
      <c r="P186" s="46"/>
      <c r="Q186" s="46"/>
    </row>
    <row r="187" spans="2:17">
      <c r="B187" s="46"/>
      <c r="C187" s="46"/>
      <c r="D187" s="46"/>
      <c r="E187" s="46"/>
      <c r="F187" s="46"/>
      <c r="G187" s="46"/>
      <c r="H187" s="352"/>
      <c r="I187" s="46"/>
      <c r="J187" s="46"/>
      <c r="K187" s="46"/>
      <c r="L187" s="46"/>
      <c r="M187" s="46"/>
      <c r="N187" s="46"/>
      <c r="O187" s="46"/>
      <c r="P187" s="46"/>
      <c r="Q187" s="46"/>
    </row>
    <row r="188" spans="2:17">
      <c r="B188" s="46"/>
      <c r="C188" s="46"/>
      <c r="D188" s="46"/>
      <c r="E188" s="46"/>
      <c r="F188" s="46"/>
      <c r="G188" s="46"/>
      <c r="H188" s="352"/>
      <c r="I188" s="46"/>
      <c r="J188" s="46"/>
      <c r="K188" s="46"/>
      <c r="L188" s="46"/>
      <c r="M188" s="46"/>
      <c r="N188" s="46"/>
      <c r="O188" s="46"/>
      <c r="P188" s="46"/>
      <c r="Q188" s="46"/>
    </row>
    <row r="189" spans="2:17">
      <c r="B189" s="46"/>
      <c r="C189" s="46"/>
      <c r="D189" s="46"/>
      <c r="E189" s="46"/>
      <c r="F189" s="46"/>
      <c r="G189" s="46"/>
      <c r="H189" s="352"/>
      <c r="I189" s="46"/>
      <c r="J189" s="46"/>
      <c r="K189" s="46"/>
      <c r="L189" s="46"/>
      <c r="M189" s="46"/>
      <c r="N189" s="46"/>
      <c r="O189" s="46"/>
      <c r="P189" s="46"/>
      <c r="Q189" s="46"/>
    </row>
    <row r="190" spans="2:17">
      <c r="B190" s="46"/>
      <c r="C190" s="46"/>
      <c r="D190" s="46"/>
      <c r="E190" s="46"/>
      <c r="F190" s="46"/>
      <c r="G190" s="46"/>
      <c r="H190" s="352"/>
      <c r="I190" s="46"/>
      <c r="J190" s="46"/>
      <c r="K190" s="46"/>
      <c r="L190" s="46"/>
      <c r="M190" s="46"/>
      <c r="N190" s="46"/>
      <c r="O190" s="46"/>
      <c r="P190" s="46"/>
      <c r="Q190" s="46"/>
    </row>
    <row r="191" spans="2:17">
      <c r="B191" s="46"/>
      <c r="C191" s="46"/>
      <c r="D191" s="46"/>
      <c r="E191" s="46"/>
      <c r="F191" s="46"/>
      <c r="G191" s="46"/>
      <c r="H191" s="352"/>
      <c r="I191" s="46"/>
      <c r="J191" s="46"/>
      <c r="K191" s="46"/>
      <c r="L191" s="46"/>
      <c r="M191" s="46"/>
      <c r="N191" s="46"/>
      <c r="O191" s="46"/>
      <c r="P191" s="46"/>
      <c r="Q191" s="46"/>
    </row>
    <row r="192" spans="2:17">
      <c r="B192" s="46"/>
      <c r="C192" s="46"/>
      <c r="D192" s="46"/>
      <c r="E192" s="46"/>
      <c r="F192" s="46"/>
      <c r="G192" s="46"/>
      <c r="H192" s="352"/>
      <c r="I192" s="46"/>
      <c r="J192" s="46"/>
      <c r="K192" s="46"/>
      <c r="L192" s="46"/>
      <c r="M192" s="46"/>
      <c r="N192" s="46"/>
      <c r="O192" s="46"/>
      <c r="P192" s="46"/>
      <c r="Q192" s="46"/>
    </row>
    <row r="193" spans="2:17">
      <c r="B193" s="46"/>
      <c r="C193" s="46"/>
      <c r="D193" s="46"/>
      <c r="E193" s="46"/>
      <c r="F193" s="46"/>
      <c r="G193" s="46"/>
      <c r="H193" s="352"/>
      <c r="I193" s="46"/>
      <c r="J193" s="46"/>
      <c r="K193" s="46"/>
      <c r="L193" s="46"/>
      <c r="M193" s="46"/>
      <c r="N193" s="46"/>
      <c r="O193" s="46"/>
      <c r="P193" s="46"/>
      <c r="Q193" s="46"/>
    </row>
    <row r="194" spans="2:17">
      <c r="B194" s="46"/>
      <c r="C194" s="46"/>
      <c r="D194" s="46"/>
      <c r="E194" s="46"/>
      <c r="F194" s="46"/>
      <c r="G194" s="46"/>
      <c r="H194" s="352"/>
      <c r="I194" s="46"/>
      <c r="J194" s="46"/>
      <c r="K194" s="46"/>
      <c r="L194" s="46"/>
      <c r="M194" s="46"/>
      <c r="N194" s="46"/>
      <c r="O194" s="46"/>
      <c r="P194" s="46"/>
      <c r="Q194" s="46"/>
    </row>
    <row r="195" spans="2:17">
      <c r="B195" s="46"/>
      <c r="C195" s="46"/>
      <c r="D195" s="46"/>
      <c r="E195" s="46"/>
      <c r="F195" s="46"/>
      <c r="G195" s="46"/>
      <c r="H195" s="352"/>
      <c r="I195" s="46"/>
      <c r="J195" s="46"/>
      <c r="K195" s="46"/>
      <c r="L195" s="46"/>
      <c r="M195" s="46"/>
      <c r="N195" s="46"/>
      <c r="O195" s="46"/>
      <c r="P195" s="46"/>
      <c r="Q195" s="46"/>
    </row>
    <row r="196" spans="2:17">
      <c r="B196" s="46"/>
      <c r="C196" s="46"/>
      <c r="D196" s="46"/>
      <c r="E196" s="46"/>
      <c r="F196" s="46"/>
      <c r="G196" s="46"/>
      <c r="H196" s="352"/>
      <c r="I196" s="46"/>
      <c r="J196" s="46"/>
      <c r="K196" s="46"/>
      <c r="L196" s="46"/>
      <c r="M196" s="46"/>
      <c r="N196" s="46"/>
      <c r="O196" s="46"/>
      <c r="P196" s="46"/>
      <c r="Q196" s="46"/>
    </row>
    <row r="197" spans="2:17">
      <c r="B197" s="46"/>
      <c r="C197" s="46"/>
      <c r="D197" s="46"/>
      <c r="E197" s="46"/>
      <c r="F197" s="46"/>
      <c r="G197" s="46"/>
      <c r="H197" s="352"/>
      <c r="I197" s="46"/>
      <c r="J197" s="46"/>
      <c r="K197" s="46"/>
      <c r="L197" s="46"/>
      <c r="M197" s="46"/>
      <c r="N197" s="46"/>
      <c r="O197" s="46"/>
      <c r="P197" s="46"/>
      <c r="Q197" s="46"/>
    </row>
    <row r="198" spans="2:17">
      <c r="B198" s="46"/>
      <c r="C198" s="46"/>
      <c r="D198" s="46"/>
      <c r="E198" s="46"/>
      <c r="F198" s="46"/>
      <c r="G198" s="46"/>
      <c r="H198" s="352"/>
      <c r="I198" s="46"/>
      <c r="J198" s="46"/>
      <c r="K198" s="46"/>
      <c r="L198" s="46"/>
      <c r="M198" s="46"/>
      <c r="N198" s="46"/>
      <c r="O198" s="46"/>
      <c r="P198" s="46"/>
      <c r="Q198" s="46"/>
    </row>
    <row r="199" spans="2:17">
      <c r="B199" s="46"/>
      <c r="C199" s="46"/>
      <c r="D199" s="46"/>
      <c r="E199" s="46"/>
      <c r="F199" s="46"/>
      <c r="G199" s="46"/>
      <c r="H199" s="352"/>
      <c r="I199" s="46"/>
      <c r="J199" s="46"/>
      <c r="K199" s="46"/>
      <c r="L199" s="46"/>
      <c r="M199" s="46"/>
      <c r="N199" s="46"/>
      <c r="O199" s="46"/>
      <c r="P199" s="46"/>
      <c r="Q199" s="46"/>
    </row>
    <row r="200" spans="2:17">
      <c r="B200" s="46"/>
      <c r="C200" s="46"/>
      <c r="D200" s="46"/>
      <c r="E200" s="46"/>
      <c r="F200" s="46"/>
      <c r="G200" s="46"/>
      <c r="H200" s="352"/>
      <c r="I200" s="46"/>
      <c r="J200" s="46"/>
      <c r="K200" s="46"/>
      <c r="L200" s="46"/>
      <c r="M200" s="46"/>
      <c r="N200" s="46"/>
      <c r="O200" s="46"/>
      <c r="P200" s="46"/>
      <c r="Q200" s="46"/>
    </row>
    <row r="201" spans="2:17">
      <c r="B201" s="46"/>
      <c r="C201" s="46"/>
      <c r="D201" s="46"/>
      <c r="E201" s="46"/>
      <c r="F201" s="46"/>
      <c r="G201" s="46"/>
      <c r="H201" s="352"/>
      <c r="I201" s="46"/>
      <c r="J201" s="46"/>
      <c r="K201" s="46"/>
      <c r="L201" s="46"/>
      <c r="M201" s="46"/>
      <c r="N201" s="46"/>
      <c r="O201" s="46"/>
      <c r="P201" s="46"/>
      <c r="Q201" s="46"/>
    </row>
    <row r="202" spans="2:17">
      <c r="B202" s="46"/>
      <c r="C202" s="46"/>
      <c r="D202" s="46"/>
      <c r="E202" s="46"/>
      <c r="F202" s="46"/>
      <c r="G202" s="46"/>
      <c r="H202" s="352"/>
      <c r="I202" s="46"/>
      <c r="J202" s="46"/>
      <c r="K202" s="46"/>
      <c r="L202" s="46"/>
      <c r="M202" s="46"/>
      <c r="N202" s="46"/>
      <c r="O202" s="46"/>
      <c r="P202" s="46"/>
      <c r="Q202" s="46"/>
    </row>
    <row r="203" spans="2:17">
      <c r="B203" s="46"/>
      <c r="C203" s="46"/>
      <c r="D203" s="46"/>
      <c r="E203" s="46"/>
      <c r="F203" s="46"/>
      <c r="G203" s="46"/>
      <c r="H203" s="352"/>
      <c r="I203" s="46"/>
      <c r="J203" s="46"/>
      <c r="K203" s="46"/>
      <c r="L203" s="46"/>
      <c r="M203" s="46"/>
      <c r="N203" s="46"/>
      <c r="O203" s="46"/>
      <c r="P203" s="46"/>
      <c r="Q203" s="46"/>
    </row>
    <row r="204" spans="2:17">
      <c r="B204" s="46"/>
      <c r="C204" s="46"/>
      <c r="D204" s="46"/>
      <c r="E204" s="46"/>
      <c r="F204" s="46"/>
      <c r="G204" s="46"/>
      <c r="H204" s="352"/>
      <c r="I204" s="46"/>
      <c r="J204" s="46"/>
      <c r="K204" s="46"/>
      <c r="L204" s="46"/>
      <c r="M204" s="46"/>
      <c r="N204" s="46"/>
      <c r="O204" s="46"/>
      <c r="P204" s="46"/>
      <c r="Q204" s="46"/>
    </row>
    <row r="205" spans="2:17">
      <c r="B205" s="46"/>
      <c r="C205" s="46"/>
      <c r="D205" s="46"/>
      <c r="E205" s="46"/>
      <c r="F205" s="46"/>
      <c r="G205" s="46"/>
      <c r="H205" s="352"/>
      <c r="I205" s="46"/>
      <c r="J205" s="46"/>
      <c r="K205" s="46"/>
      <c r="L205" s="46"/>
      <c r="M205" s="46"/>
      <c r="N205" s="46"/>
      <c r="O205" s="46"/>
      <c r="P205" s="46"/>
      <c r="Q205" s="46"/>
    </row>
    <row r="206" spans="2:17">
      <c r="B206" s="46"/>
      <c r="C206" s="46"/>
      <c r="D206" s="46"/>
      <c r="E206" s="46"/>
      <c r="F206" s="46"/>
      <c r="G206" s="46"/>
      <c r="H206" s="352"/>
      <c r="I206" s="46"/>
      <c r="J206" s="46"/>
      <c r="K206" s="46"/>
      <c r="L206" s="46"/>
      <c r="M206" s="46"/>
      <c r="N206" s="46"/>
      <c r="O206" s="46"/>
      <c r="P206" s="46"/>
      <c r="Q206" s="46"/>
    </row>
    <row r="207" spans="2:17">
      <c r="B207" s="46"/>
      <c r="C207" s="46"/>
      <c r="D207" s="46"/>
      <c r="E207" s="46"/>
      <c r="F207" s="46"/>
      <c r="G207" s="46"/>
      <c r="H207" s="352"/>
      <c r="I207" s="46"/>
      <c r="J207" s="46"/>
      <c r="K207" s="46"/>
      <c r="L207" s="46"/>
      <c r="M207" s="46"/>
      <c r="N207" s="46"/>
      <c r="O207" s="46"/>
      <c r="P207" s="46"/>
      <c r="Q207" s="46"/>
    </row>
    <row r="208" spans="2:17">
      <c r="B208" s="46"/>
      <c r="C208" s="46"/>
      <c r="D208" s="46"/>
      <c r="E208" s="46"/>
      <c r="F208" s="46"/>
      <c r="G208" s="46"/>
      <c r="H208" s="352"/>
      <c r="I208" s="46"/>
      <c r="J208" s="46"/>
      <c r="K208" s="46"/>
      <c r="L208" s="46"/>
      <c r="M208" s="46"/>
      <c r="N208" s="46"/>
      <c r="O208" s="46"/>
      <c r="P208" s="46"/>
      <c r="Q208" s="46"/>
    </row>
    <row r="209" spans="2:17">
      <c r="B209" s="46"/>
      <c r="C209" s="46"/>
      <c r="D209" s="46"/>
      <c r="E209" s="46"/>
      <c r="F209" s="46"/>
      <c r="G209" s="46"/>
      <c r="H209" s="352"/>
      <c r="I209" s="46"/>
      <c r="J209" s="46"/>
      <c r="K209" s="46"/>
      <c r="L209" s="46"/>
      <c r="M209" s="46"/>
      <c r="N209" s="46"/>
      <c r="O209" s="46"/>
      <c r="P209" s="46"/>
      <c r="Q209" s="46"/>
    </row>
    <row r="210" spans="2:17">
      <c r="B210" s="46"/>
      <c r="C210" s="46"/>
      <c r="D210" s="46"/>
      <c r="E210" s="46"/>
      <c r="F210" s="46"/>
      <c r="G210" s="46"/>
      <c r="H210" s="352"/>
      <c r="I210" s="46"/>
      <c r="J210" s="46"/>
      <c r="K210" s="46"/>
      <c r="L210" s="46"/>
      <c r="M210" s="46"/>
      <c r="N210" s="46"/>
      <c r="O210" s="46"/>
      <c r="P210" s="46"/>
      <c r="Q210" s="46"/>
    </row>
    <row r="211" spans="2:17">
      <c r="B211" s="46"/>
      <c r="C211" s="46"/>
      <c r="D211" s="46"/>
      <c r="E211" s="46"/>
      <c r="F211" s="46"/>
      <c r="G211" s="46"/>
      <c r="H211" s="352"/>
      <c r="I211" s="46"/>
      <c r="J211" s="46"/>
      <c r="K211" s="46"/>
      <c r="L211" s="46"/>
      <c r="M211" s="46"/>
      <c r="N211" s="46"/>
      <c r="O211" s="46"/>
      <c r="P211" s="46"/>
      <c r="Q211" s="46"/>
    </row>
    <row r="212" spans="2:17">
      <c r="B212" s="46"/>
      <c r="C212" s="46"/>
      <c r="D212" s="46"/>
      <c r="E212" s="46"/>
      <c r="F212" s="46"/>
      <c r="G212" s="46"/>
      <c r="H212" s="352"/>
      <c r="I212" s="46"/>
      <c r="J212" s="46"/>
      <c r="K212" s="46"/>
      <c r="L212" s="46"/>
      <c r="M212" s="46"/>
      <c r="N212" s="46"/>
      <c r="O212" s="46"/>
      <c r="P212" s="46"/>
      <c r="Q212" s="46"/>
    </row>
    <row r="213" spans="2:17">
      <c r="B213" s="46"/>
      <c r="C213" s="46"/>
      <c r="D213" s="46"/>
      <c r="E213" s="46"/>
      <c r="F213" s="46"/>
      <c r="G213" s="46"/>
      <c r="H213" s="352"/>
      <c r="I213" s="46"/>
      <c r="J213" s="46"/>
      <c r="K213" s="46"/>
      <c r="L213" s="46"/>
      <c r="M213" s="46"/>
      <c r="N213" s="46"/>
      <c r="O213" s="46"/>
      <c r="P213" s="46"/>
      <c r="Q213" s="46"/>
    </row>
    <row r="214" spans="2:17">
      <c r="B214" s="46"/>
      <c r="C214" s="46"/>
      <c r="D214" s="46"/>
      <c r="E214" s="46"/>
      <c r="F214" s="46"/>
      <c r="G214" s="46"/>
      <c r="H214" s="352"/>
      <c r="I214" s="46"/>
      <c r="J214" s="46"/>
      <c r="K214" s="46"/>
      <c r="L214" s="46"/>
      <c r="M214" s="46"/>
      <c r="N214" s="46"/>
      <c r="O214" s="46"/>
      <c r="P214" s="46"/>
      <c r="Q214" s="46"/>
    </row>
    <row r="215" spans="2:17">
      <c r="B215" s="46"/>
      <c r="C215" s="46"/>
      <c r="D215" s="46"/>
      <c r="E215" s="46"/>
      <c r="F215" s="46"/>
      <c r="G215" s="46"/>
      <c r="H215" s="352"/>
      <c r="I215" s="46"/>
      <c r="J215" s="46"/>
      <c r="K215" s="46"/>
      <c r="L215" s="46"/>
      <c r="M215" s="46"/>
      <c r="N215" s="46"/>
      <c r="O215" s="46"/>
      <c r="P215" s="46"/>
      <c r="Q215" s="46"/>
    </row>
    <row r="216" spans="2:17">
      <c r="B216" s="46"/>
      <c r="C216" s="46"/>
      <c r="D216" s="46"/>
      <c r="E216" s="46"/>
      <c r="F216" s="46"/>
      <c r="G216" s="46"/>
      <c r="H216" s="352"/>
      <c r="I216" s="46"/>
      <c r="J216" s="46"/>
      <c r="K216" s="46"/>
      <c r="L216" s="46"/>
      <c r="M216" s="46"/>
      <c r="N216" s="46"/>
      <c r="O216" s="46"/>
      <c r="P216" s="46"/>
      <c r="Q216" s="46"/>
    </row>
    <row r="217" spans="2:17">
      <c r="B217" s="46"/>
      <c r="C217" s="46"/>
      <c r="D217" s="46"/>
      <c r="E217" s="46"/>
      <c r="F217" s="46"/>
      <c r="G217" s="46"/>
      <c r="H217" s="352"/>
      <c r="I217" s="46"/>
      <c r="J217" s="46"/>
      <c r="K217" s="46"/>
      <c r="L217" s="46"/>
      <c r="M217" s="46"/>
      <c r="N217" s="46"/>
      <c r="O217" s="46"/>
      <c r="P217" s="46"/>
      <c r="Q217" s="46"/>
    </row>
    <row r="218" spans="2:17">
      <c r="B218" s="46"/>
      <c r="C218" s="46"/>
      <c r="D218" s="46"/>
      <c r="E218" s="46"/>
      <c r="F218" s="46"/>
      <c r="G218" s="46"/>
      <c r="H218" s="352"/>
      <c r="I218" s="46"/>
      <c r="J218" s="46"/>
      <c r="K218" s="46"/>
      <c r="L218" s="46"/>
      <c r="M218" s="46"/>
      <c r="N218" s="46"/>
      <c r="O218" s="46"/>
      <c r="P218" s="46"/>
      <c r="Q218" s="46"/>
    </row>
    <row r="219" spans="2:17">
      <c r="B219" s="46"/>
      <c r="C219" s="46"/>
      <c r="D219" s="46"/>
      <c r="E219" s="46"/>
      <c r="F219" s="46"/>
      <c r="G219" s="46"/>
      <c r="H219" s="352"/>
      <c r="I219" s="46"/>
      <c r="J219" s="46"/>
      <c r="K219" s="46"/>
      <c r="L219" s="46"/>
      <c r="M219" s="46"/>
      <c r="N219" s="46"/>
      <c r="O219" s="46"/>
      <c r="P219" s="46"/>
      <c r="Q219" s="46"/>
    </row>
    <row r="220" spans="2:17">
      <c r="B220" s="46"/>
      <c r="C220" s="46"/>
      <c r="D220" s="46"/>
      <c r="E220" s="46"/>
      <c r="F220" s="46"/>
      <c r="G220" s="46"/>
      <c r="H220" s="352"/>
      <c r="I220" s="46"/>
      <c r="J220" s="46"/>
      <c r="K220" s="46"/>
      <c r="L220" s="46"/>
      <c r="M220" s="46"/>
      <c r="N220" s="46"/>
      <c r="O220" s="46"/>
      <c r="P220" s="46"/>
      <c r="Q220" s="46"/>
    </row>
    <row r="221" spans="2:17">
      <c r="B221" s="46"/>
      <c r="C221" s="46"/>
      <c r="D221" s="46"/>
      <c r="E221" s="46"/>
      <c r="F221" s="46"/>
      <c r="G221" s="46"/>
      <c r="H221" s="352"/>
      <c r="I221" s="46"/>
      <c r="J221" s="46"/>
      <c r="K221" s="46"/>
      <c r="L221" s="46"/>
      <c r="M221" s="46"/>
      <c r="N221" s="46"/>
      <c r="O221" s="46"/>
      <c r="P221" s="46"/>
      <c r="Q221" s="46"/>
    </row>
    <row r="222" spans="2:17">
      <c r="B222" s="46"/>
      <c r="C222" s="46"/>
      <c r="D222" s="46"/>
      <c r="E222" s="46"/>
      <c r="F222" s="46"/>
      <c r="G222" s="46"/>
      <c r="H222" s="352"/>
      <c r="I222" s="46"/>
      <c r="J222" s="46"/>
      <c r="K222" s="46"/>
      <c r="L222" s="46"/>
      <c r="M222" s="46"/>
      <c r="N222" s="46"/>
      <c r="O222" s="46"/>
      <c r="P222" s="46"/>
      <c r="Q222" s="46"/>
    </row>
    <row r="223" spans="2:17">
      <c r="B223" s="46"/>
      <c r="C223" s="46"/>
      <c r="D223" s="46"/>
      <c r="E223" s="46"/>
      <c r="F223" s="46"/>
      <c r="G223" s="46"/>
      <c r="H223" s="352"/>
      <c r="I223" s="46"/>
      <c r="J223" s="46"/>
      <c r="K223" s="46"/>
      <c r="L223" s="46"/>
      <c r="M223" s="46"/>
      <c r="N223" s="46"/>
      <c r="O223" s="46"/>
      <c r="P223" s="46"/>
      <c r="Q223" s="46"/>
    </row>
    <row r="224" spans="2:17">
      <c r="B224" s="46"/>
      <c r="C224" s="46"/>
      <c r="D224" s="46"/>
      <c r="E224" s="46"/>
      <c r="F224" s="46"/>
      <c r="G224" s="46"/>
      <c r="H224" s="352"/>
      <c r="I224" s="46"/>
      <c r="J224" s="46"/>
      <c r="K224" s="46"/>
      <c r="L224" s="46"/>
      <c r="M224" s="46"/>
      <c r="N224" s="46"/>
      <c r="O224" s="46"/>
      <c r="P224" s="46"/>
      <c r="Q224" s="46"/>
    </row>
    <row r="225" spans="2:17">
      <c r="B225" s="46"/>
      <c r="C225" s="46"/>
      <c r="D225" s="46"/>
      <c r="E225" s="46"/>
      <c r="F225" s="46"/>
      <c r="G225" s="46"/>
      <c r="H225" s="352"/>
      <c r="I225" s="46"/>
      <c r="J225" s="46"/>
      <c r="K225" s="46"/>
      <c r="L225" s="46"/>
      <c r="M225" s="46"/>
      <c r="N225" s="46"/>
      <c r="O225" s="46"/>
      <c r="P225" s="46"/>
      <c r="Q225" s="46"/>
    </row>
    <row r="226" spans="2:17">
      <c r="B226" s="46"/>
      <c r="C226" s="46"/>
      <c r="D226" s="46"/>
      <c r="E226" s="46"/>
      <c r="F226" s="46"/>
      <c r="G226" s="46"/>
      <c r="H226" s="352"/>
      <c r="I226" s="46"/>
      <c r="J226" s="46"/>
      <c r="K226" s="46"/>
      <c r="L226" s="46"/>
      <c r="M226" s="46"/>
      <c r="N226" s="46"/>
      <c r="O226" s="46"/>
      <c r="P226" s="46"/>
      <c r="Q226" s="46"/>
    </row>
    <row r="227" spans="2:17">
      <c r="B227" s="46"/>
      <c r="C227" s="46"/>
      <c r="D227" s="46"/>
      <c r="E227" s="46"/>
      <c r="F227" s="46"/>
      <c r="G227" s="46"/>
      <c r="H227" s="352"/>
      <c r="I227" s="46"/>
      <c r="J227" s="46"/>
      <c r="K227" s="46"/>
      <c r="L227" s="46"/>
      <c r="M227" s="46"/>
      <c r="N227" s="46"/>
      <c r="O227" s="46"/>
      <c r="P227" s="46"/>
      <c r="Q227" s="46"/>
    </row>
    <row r="228" spans="2:17">
      <c r="B228" s="46"/>
      <c r="C228" s="46"/>
      <c r="D228" s="46"/>
      <c r="E228" s="46"/>
      <c r="F228" s="46"/>
      <c r="G228" s="46"/>
      <c r="H228" s="352"/>
      <c r="I228" s="46"/>
      <c r="J228" s="46"/>
      <c r="K228" s="46"/>
      <c r="L228" s="46"/>
      <c r="M228" s="46"/>
      <c r="N228" s="46"/>
      <c r="O228" s="46"/>
      <c r="P228" s="46"/>
      <c r="Q228" s="46"/>
    </row>
    <row r="229" spans="2:17">
      <c r="B229" s="46"/>
      <c r="C229" s="46"/>
      <c r="D229" s="46"/>
      <c r="E229" s="46"/>
      <c r="F229" s="46"/>
      <c r="G229" s="46"/>
      <c r="H229" s="352"/>
      <c r="I229" s="46"/>
      <c r="J229" s="46"/>
      <c r="K229" s="46"/>
      <c r="L229" s="46"/>
      <c r="M229" s="46"/>
      <c r="N229" s="46"/>
      <c r="O229" s="46"/>
      <c r="P229" s="46"/>
      <c r="Q229" s="46"/>
    </row>
    <row r="230" spans="2:17">
      <c r="B230" s="46"/>
      <c r="C230" s="46"/>
      <c r="D230" s="46"/>
      <c r="E230" s="46"/>
      <c r="F230" s="46"/>
      <c r="G230" s="46"/>
      <c r="H230" s="352"/>
      <c r="I230" s="46"/>
      <c r="J230" s="46"/>
      <c r="K230" s="46"/>
      <c r="L230" s="46"/>
      <c r="M230" s="46"/>
      <c r="N230" s="46"/>
      <c r="O230" s="46"/>
      <c r="P230" s="46"/>
      <c r="Q230" s="46"/>
    </row>
    <row r="231" spans="2:17">
      <c r="B231" s="46"/>
      <c r="C231" s="46"/>
      <c r="D231" s="46"/>
      <c r="E231" s="46"/>
      <c r="F231" s="46"/>
      <c r="G231" s="46"/>
      <c r="H231" s="352"/>
      <c r="I231" s="46"/>
      <c r="J231" s="46"/>
      <c r="K231" s="46"/>
      <c r="L231" s="46"/>
      <c r="M231" s="46"/>
      <c r="N231" s="46"/>
      <c r="O231" s="46"/>
      <c r="P231" s="46"/>
      <c r="Q231" s="46"/>
    </row>
    <row r="232" spans="2:17">
      <c r="B232" s="46"/>
      <c r="C232" s="46"/>
      <c r="D232" s="46"/>
      <c r="E232" s="46"/>
      <c r="F232" s="46"/>
      <c r="G232" s="46"/>
      <c r="H232" s="352"/>
      <c r="I232" s="46"/>
      <c r="J232" s="46"/>
      <c r="K232" s="46"/>
      <c r="L232" s="46"/>
      <c r="M232" s="46"/>
      <c r="N232" s="46"/>
      <c r="O232" s="46"/>
      <c r="P232" s="46"/>
      <c r="Q232" s="46"/>
    </row>
    <row r="233" spans="2:17">
      <c r="B233" s="46"/>
      <c r="C233" s="46"/>
      <c r="D233" s="46"/>
      <c r="E233" s="46"/>
      <c r="F233" s="46"/>
      <c r="G233" s="46"/>
      <c r="H233" s="352"/>
      <c r="I233" s="46"/>
      <c r="J233" s="46"/>
      <c r="K233" s="46"/>
      <c r="L233" s="46"/>
      <c r="M233" s="46"/>
      <c r="N233" s="46"/>
      <c r="O233" s="46"/>
      <c r="P233" s="46"/>
      <c r="Q233" s="46"/>
    </row>
    <row r="234" spans="2:17">
      <c r="B234" s="46"/>
      <c r="C234" s="46"/>
      <c r="D234" s="46"/>
      <c r="E234" s="46"/>
      <c r="F234" s="46"/>
      <c r="G234" s="46"/>
      <c r="H234" s="352"/>
      <c r="I234" s="46"/>
      <c r="J234" s="46"/>
      <c r="K234" s="46"/>
      <c r="L234" s="46"/>
      <c r="M234" s="46"/>
      <c r="N234" s="46"/>
      <c r="O234" s="46"/>
      <c r="P234" s="46"/>
      <c r="Q234" s="46"/>
    </row>
    <row r="235" spans="2:17">
      <c r="B235" s="46"/>
      <c r="C235" s="46"/>
      <c r="D235" s="46"/>
      <c r="E235" s="46"/>
      <c r="F235" s="46"/>
      <c r="G235" s="46"/>
      <c r="H235" s="352"/>
      <c r="I235" s="46"/>
      <c r="J235" s="46"/>
      <c r="K235" s="46"/>
      <c r="L235" s="46"/>
      <c r="M235" s="46"/>
      <c r="N235" s="46"/>
      <c r="O235" s="46"/>
      <c r="P235" s="46"/>
      <c r="Q235" s="46"/>
    </row>
    <row r="236" spans="2:17">
      <c r="B236" s="46"/>
      <c r="C236" s="46"/>
      <c r="D236" s="46"/>
      <c r="E236" s="46"/>
      <c r="F236" s="46"/>
      <c r="G236" s="46"/>
      <c r="H236" s="352"/>
      <c r="I236" s="46"/>
      <c r="J236" s="46"/>
      <c r="K236" s="46"/>
      <c r="L236" s="46"/>
      <c r="M236" s="46"/>
      <c r="N236" s="46"/>
      <c r="O236" s="46"/>
      <c r="P236" s="46"/>
      <c r="Q236" s="46"/>
    </row>
    <row r="237" spans="2:17">
      <c r="B237" s="46"/>
      <c r="C237" s="46"/>
      <c r="D237" s="46"/>
      <c r="E237" s="46"/>
      <c r="F237" s="46"/>
      <c r="G237" s="46"/>
      <c r="H237" s="352"/>
      <c r="I237" s="46"/>
      <c r="J237" s="46"/>
      <c r="K237" s="46"/>
      <c r="L237" s="46"/>
      <c r="M237" s="46"/>
      <c r="N237" s="46"/>
      <c r="O237" s="46"/>
      <c r="P237" s="46"/>
      <c r="Q237" s="46"/>
    </row>
    <row r="238" spans="2:17">
      <c r="B238" s="46"/>
      <c r="C238" s="46"/>
      <c r="D238" s="46"/>
      <c r="E238" s="46"/>
      <c r="F238" s="46"/>
      <c r="G238" s="46"/>
      <c r="H238" s="352"/>
      <c r="I238" s="46"/>
      <c r="J238" s="46"/>
      <c r="K238" s="46"/>
      <c r="L238" s="46"/>
      <c r="M238" s="46"/>
      <c r="N238" s="46"/>
      <c r="O238" s="46"/>
      <c r="P238" s="46"/>
      <c r="Q238" s="46"/>
    </row>
    <row r="239" spans="2:17">
      <c r="B239" s="46"/>
      <c r="C239" s="46"/>
      <c r="D239" s="46"/>
      <c r="E239" s="46"/>
      <c r="F239" s="46"/>
      <c r="G239" s="46"/>
      <c r="H239" s="352"/>
      <c r="I239" s="46"/>
      <c r="J239" s="46"/>
      <c r="K239" s="46"/>
      <c r="L239" s="46"/>
      <c r="M239" s="46"/>
      <c r="N239" s="46"/>
      <c r="O239" s="46"/>
      <c r="P239" s="46"/>
      <c r="Q239" s="46"/>
    </row>
    <row r="240" spans="2:17">
      <c r="B240" s="46"/>
      <c r="C240" s="46"/>
      <c r="D240" s="46"/>
      <c r="E240" s="46"/>
      <c r="F240" s="46"/>
      <c r="G240" s="46"/>
      <c r="H240" s="352"/>
      <c r="I240" s="46"/>
      <c r="J240" s="46"/>
      <c r="K240" s="46"/>
      <c r="L240" s="46"/>
      <c r="M240" s="46"/>
      <c r="N240" s="46"/>
      <c r="O240" s="46"/>
      <c r="P240" s="46"/>
      <c r="Q240" s="46"/>
    </row>
    <row r="241" spans="2:17">
      <c r="B241" s="46"/>
      <c r="C241" s="46"/>
      <c r="D241" s="46"/>
      <c r="E241" s="46"/>
      <c r="F241" s="46"/>
      <c r="G241" s="46"/>
      <c r="H241" s="352"/>
      <c r="I241" s="46"/>
      <c r="J241" s="46"/>
      <c r="K241" s="46"/>
      <c r="L241" s="46"/>
      <c r="M241" s="46"/>
      <c r="N241" s="46"/>
      <c r="O241" s="46"/>
      <c r="P241" s="46"/>
      <c r="Q241" s="46"/>
    </row>
    <row r="242" spans="2:17">
      <c r="B242" s="46"/>
      <c r="C242" s="46"/>
      <c r="D242" s="46"/>
      <c r="E242" s="46"/>
      <c r="F242" s="46"/>
      <c r="G242" s="46"/>
      <c r="H242" s="352"/>
      <c r="I242" s="46"/>
      <c r="J242" s="46"/>
      <c r="K242" s="46"/>
      <c r="L242" s="46"/>
      <c r="M242" s="46"/>
      <c r="N242" s="46"/>
      <c r="O242" s="46"/>
      <c r="P242" s="46"/>
      <c r="Q242" s="46"/>
    </row>
    <row r="243" spans="2:17">
      <c r="B243" s="46"/>
      <c r="C243" s="46"/>
      <c r="D243" s="46"/>
      <c r="E243" s="46"/>
      <c r="F243" s="46"/>
      <c r="G243" s="46"/>
      <c r="H243" s="352"/>
      <c r="I243" s="46"/>
      <c r="J243" s="46"/>
      <c r="K243" s="46"/>
      <c r="L243" s="46"/>
      <c r="M243" s="46"/>
      <c r="N243" s="46"/>
      <c r="O243" s="46"/>
      <c r="P243" s="46"/>
      <c r="Q243" s="46"/>
    </row>
    <row r="244" spans="2:17">
      <c r="B244" s="46"/>
      <c r="C244" s="46"/>
      <c r="D244" s="46"/>
      <c r="E244" s="46"/>
      <c r="F244" s="46"/>
      <c r="G244" s="46"/>
      <c r="H244" s="352"/>
      <c r="I244" s="46"/>
      <c r="J244" s="46"/>
      <c r="K244" s="46"/>
      <c r="L244" s="46"/>
      <c r="M244" s="46"/>
      <c r="N244" s="46"/>
      <c r="O244" s="46"/>
      <c r="P244" s="46"/>
      <c r="Q244" s="46"/>
    </row>
    <row r="245" spans="2:17">
      <c r="B245" s="46"/>
      <c r="C245" s="46"/>
      <c r="D245" s="46"/>
      <c r="E245" s="46"/>
      <c r="F245" s="46"/>
      <c r="G245" s="46"/>
      <c r="H245" s="352"/>
      <c r="I245" s="46"/>
      <c r="J245" s="46"/>
      <c r="K245" s="46"/>
      <c r="L245" s="46"/>
      <c r="M245" s="46"/>
      <c r="N245" s="46"/>
      <c r="O245" s="46"/>
      <c r="P245" s="46"/>
      <c r="Q245" s="46"/>
    </row>
    <row r="246" spans="2:17">
      <c r="B246" s="46"/>
      <c r="C246" s="46"/>
      <c r="D246" s="46"/>
      <c r="E246" s="46"/>
      <c r="F246" s="46"/>
      <c r="G246" s="46"/>
      <c r="H246" s="352"/>
      <c r="I246" s="46"/>
      <c r="J246" s="46"/>
      <c r="K246" s="46"/>
      <c r="L246" s="46"/>
      <c r="M246" s="46"/>
      <c r="N246" s="46"/>
      <c r="O246" s="46"/>
      <c r="P246" s="46"/>
      <c r="Q246" s="46"/>
    </row>
    <row r="247" spans="2:17">
      <c r="B247" s="46"/>
      <c r="C247" s="46"/>
      <c r="D247" s="46"/>
      <c r="E247" s="46"/>
      <c r="F247" s="46"/>
      <c r="G247" s="46"/>
      <c r="H247" s="352"/>
      <c r="I247" s="46"/>
      <c r="J247" s="46"/>
      <c r="K247" s="46"/>
      <c r="L247" s="46"/>
      <c r="M247" s="46"/>
      <c r="N247" s="46"/>
      <c r="O247" s="46"/>
      <c r="P247" s="46"/>
      <c r="Q247" s="46"/>
    </row>
    <row r="248" spans="2:17">
      <c r="B248" s="46"/>
      <c r="C248" s="46"/>
      <c r="D248" s="46"/>
      <c r="E248" s="46"/>
      <c r="F248" s="46"/>
      <c r="G248" s="46"/>
      <c r="H248" s="352"/>
      <c r="I248" s="46"/>
      <c r="J248" s="46"/>
      <c r="K248" s="46"/>
      <c r="L248" s="46"/>
      <c r="M248" s="46"/>
      <c r="N248" s="46"/>
      <c r="O248" s="46"/>
      <c r="P248" s="46"/>
      <c r="Q248" s="46"/>
    </row>
    <row r="249" spans="2:17">
      <c r="B249" s="46"/>
      <c r="C249" s="46"/>
      <c r="D249" s="46"/>
      <c r="E249" s="46"/>
      <c r="F249" s="46"/>
      <c r="G249" s="46"/>
      <c r="H249" s="352"/>
      <c r="I249" s="46"/>
      <c r="J249" s="46"/>
      <c r="K249" s="46"/>
      <c r="L249" s="46"/>
      <c r="M249" s="46"/>
      <c r="N249" s="46"/>
      <c r="O249" s="46"/>
      <c r="P249" s="46"/>
      <c r="Q249" s="46"/>
    </row>
    <row r="250" spans="2:17">
      <c r="B250" s="46"/>
      <c r="C250" s="46"/>
      <c r="D250" s="46"/>
      <c r="E250" s="46"/>
      <c r="F250" s="46"/>
      <c r="G250" s="46"/>
      <c r="H250" s="352"/>
      <c r="I250" s="46"/>
      <c r="J250" s="46"/>
      <c r="K250" s="46"/>
      <c r="L250" s="46"/>
      <c r="M250" s="46"/>
      <c r="N250" s="46"/>
      <c r="O250" s="46"/>
      <c r="P250" s="46"/>
      <c r="Q250" s="46"/>
    </row>
    <row r="251" spans="2:17">
      <c r="B251" s="46"/>
      <c r="C251" s="46"/>
      <c r="D251" s="46"/>
      <c r="E251" s="46"/>
      <c r="F251" s="46"/>
      <c r="G251" s="46"/>
      <c r="H251" s="352"/>
      <c r="I251" s="46"/>
      <c r="J251" s="46"/>
      <c r="K251" s="46"/>
      <c r="L251" s="46"/>
      <c r="M251" s="46"/>
      <c r="N251" s="46"/>
      <c r="O251" s="46"/>
      <c r="P251" s="46"/>
      <c r="Q251" s="46"/>
    </row>
    <row r="252" spans="2:17">
      <c r="B252" s="46"/>
      <c r="C252" s="46"/>
      <c r="D252" s="46"/>
      <c r="E252" s="46"/>
      <c r="F252" s="46"/>
      <c r="G252" s="46"/>
      <c r="H252" s="352"/>
      <c r="I252" s="46"/>
      <c r="J252" s="46"/>
      <c r="K252" s="46"/>
      <c r="L252" s="46"/>
      <c r="M252" s="46"/>
      <c r="N252" s="46"/>
      <c r="O252" s="46"/>
      <c r="P252" s="46"/>
      <c r="Q252" s="46"/>
    </row>
    <row r="253" spans="2:17">
      <c r="B253" s="46"/>
      <c r="C253" s="46"/>
      <c r="D253" s="46"/>
      <c r="E253" s="46"/>
      <c r="F253" s="46"/>
      <c r="G253" s="46"/>
      <c r="H253" s="352"/>
      <c r="I253" s="46"/>
      <c r="J253" s="46"/>
      <c r="K253" s="46"/>
      <c r="L253" s="46"/>
      <c r="M253" s="46"/>
      <c r="N253" s="46"/>
      <c r="O253" s="46"/>
      <c r="P253" s="46"/>
      <c r="Q253" s="46"/>
    </row>
    <row r="254" spans="2:17">
      <c r="B254" s="46"/>
      <c r="C254" s="46"/>
      <c r="D254" s="46"/>
      <c r="E254" s="46"/>
      <c r="F254" s="46"/>
      <c r="G254" s="46"/>
      <c r="H254" s="352"/>
      <c r="I254" s="46"/>
      <c r="J254" s="46"/>
      <c r="K254" s="46"/>
      <c r="L254" s="46"/>
      <c r="M254" s="46"/>
      <c r="N254" s="46"/>
      <c r="O254" s="46"/>
      <c r="P254" s="46"/>
      <c r="Q254" s="46"/>
    </row>
    <row r="255" spans="2:17">
      <c r="B255" s="46"/>
      <c r="C255" s="46"/>
      <c r="D255" s="46"/>
      <c r="E255" s="46"/>
      <c r="F255" s="46"/>
      <c r="G255" s="46"/>
      <c r="H255" s="352"/>
      <c r="I255" s="46"/>
      <c r="J255" s="46"/>
      <c r="K255" s="46"/>
      <c r="L255" s="46"/>
      <c r="M255" s="46"/>
      <c r="N255" s="46"/>
      <c r="O255" s="46"/>
      <c r="P255" s="46"/>
      <c r="Q255" s="46"/>
    </row>
    <row r="256" spans="2:17">
      <c r="B256" s="46"/>
      <c r="C256" s="46"/>
      <c r="D256" s="46"/>
      <c r="E256" s="46"/>
      <c r="F256" s="46"/>
      <c r="G256" s="46"/>
      <c r="H256" s="352"/>
      <c r="I256" s="46"/>
      <c r="J256" s="46"/>
      <c r="K256" s="46"/>
      <c r="L256" s="46"/>
      <c r="M256" s="46"/>
      <c r="N256" s="46"/>
      <c r="O256" s="46"/>
      <c r="P256" s="46"/>
      <c r="Q256" s="46"/>
    </row>
    <row r="257" spans="2:17">
      <c r="B257" s="46"/>
      <c r="C257" s="46"/>
      <c r="D257" s="46"/>
      <c r="E257" s="46"/>
      <c r="F257" s="46"/>
      <c r="G257" s="46"/>
      <c r="H257" s="352"/>
      <c r="I257" s="46"/>
      <c r="J257" s="46"/>
      <c r="K257" s="46"/>
      <c r="L257" s="46"/>
      <c r="M257" s="46"/>
      <c r="N257" s="46"/>
      <c r="O257" s="46"/>
      <c r="P257" s="46"/>
      <c r="Q257" s="46"/>
    </row>
    <row r="258" spans="2:17">
      <c r="B258" s="46"/>
      <c r="C258" s="46"/>
      <c r="D258" s="46"/>
      <c r="E258" s="46"/>
      <c r="F258" s="46"/>
      <c r="G258" s="46"/>
      <c r="H258" s="352"/>
      <c r="I258" s="46"/>
      <c r="J258" s="46"/>
      <c r="K258" s="46"/>
      <c r="L258" s="46"/>
      <c r="M258" s="46"/>
      <c r="N258" s="46"/>
      <c r="O258" s="46"/>
      <c r="P258" s="46"/>
      <c r="Q258" s="46"/>
    </row>
    <row r="259" spans="2:17">
      <c r="B259" s="46"/>
      <c r="C259" s="46"/>
      <c r="D259" s="46"/>
      <c r="E259" s="46"/>
      <c r="F259" s="46"/>
      <c r="G259" s="46"/>
      <c r="H259" s="352"/>
      <c r="I259" s="46"/>
      <c r="J259" s="46"/>
      <c r="K259" s="46"/>
      <c r="L259" s="46"/>
      <c r="M259" s="46"/>
      <c r="N259" s="46"/>
      <c r="O259" s="46"/>
      <c r="P259" s="46"/>
      <c r="Q259" s="46"/>
    </row>
    <row r="260" spans="2:17">
      <c r="B260" s="46"/>
      <c r="C260" s="46"/>
      <c r="D260" s="46"/>
      <c r="E260" s="46"/>
      <c r="F260" s="46"/>
      <c r="G260" s="46"/>
      <c r="H260" s="352"/>
      <c r="I260" s="46"/>
      <c r="J260" s="46"/>
      <c r="K260" s="46"/>
      <c r="L260" s="46"/>
      <c r="M260" s="46"/>
      <c r="N260" s="46"/>
      <c r="O260" s="46"/>
      <c r="P260" s="46"/>
      <c r="Q260" s="46"/>
    </row>
    <row r="261" spans="2:17">
      <c r="B261" s="46"/>
      <c r="C261" s="46"/>
      <c r="D261" s="46"/>
      <c r="E261" s="46"/>
      <c r="F261" s="46"/>
      <c r="G261" s="46"/>
      <c r="H261" s="352"/>
      <c r="I261" s="46"/>
      <c r="J261" s="46"/>
      <c r="K261" s="46"/>
      <c r="L261" s="46"/>
      <c r="M261" s="46"/>
      <c r="N261" s="46"/>
      <c r="O261" s="46"/>
      <c r="P261" s="46"/>
      <c r="Q261" s="46"/>
    </row>
    <row r="262" spans="2:17">
      <c r="B262" s="46"/>
      <c r="C262" s="46"/>
      <c r="D262" s="46"/>
      <c r="E262" s="46"/>
      <c r="F262" s="46"/>
      <c r="G262" s="46"/>
      <c r="H262" s="352"/>
      <c r="I262" s="46"/>
      <c r="J262" s="46"/>
      <c r="K262" s="46"/>
      <c r="L262" s="46"/>
      <c r="M262" s="46"/>
      <c r="N262" s="46"/>
      <c r="O262" s="46"/>
      <c r="P262" s="46"/>
      <c r="Q262" s="46"/>
    </row>
    <row r="263" spans="2:17">
      <c r="B263" s="46"/>
      <c r="C263" s="46"/>
      <c r="D263" s="46"/>
      <c r="E263" s="46"/>
      <c r="F263" s="46"/>
      <c r="G263" s="46"/>
      <c r="H263" s="352"/>
      <c r="I263" s="46"/>
      <c r="J263" s="46"/>
      <c r="K263" s="46"/>
      <c r="L263" s="46"/>
      <c r="M263" s="46"/>
      <c r="N263" s="46"/>
      <c r="O263" s="46"/>
      <c r="P263" s="46"/>
      <c r="Q263" s="46"/>
    </row>
    <row r="264" spans="2:17">
      <c r="B264" s="46"/>
      <c r="C264" s="46"/>
      <c r="D264" s="46"/>
      <c r="E264" s="46"/>
      <c r="F264" s="46"/>
      <c r="G264" s="46"/>
      <c r="H264" s="352"/>
      <c r="I264" s="46"/>
      <c r="J264" s="46"/>
      <c r="K264" s="46"/>
      <c r="L264" s="46"/>
      <c r="M264" s="46"/>
      <c r="N264" s="46"/>
      <c r="O264" s="46"/>
      <c r="P264" s="46"/>
      <c r="Q264" s="46"/>
    </row>
    <row r="265" spans="2:17">
      <c r="B265" s="46"/>
      <c r="C265" s="46"/>
      <c r="D265" s="46"/>
      <c r="E265" s="46"/>
      <c r="F265" s="46"/>
      <c r="G265" s="46"/>
      <c r="H265" s="352"/>
      <c r="I265" s="46"/>
      <c r="J265" s="46"/>
      <c r="K265" s="46"/>
      <c r="L265" s="46"/>
      <c r="M265" s="46"/>
      <c r="N265" s="46"/>
      <c r="O265" s="46"/>
      <c r="P265" s="46"/>
      <c r="Q265" s="46"/>
    </row>
    <row r="266" spans="2:17">
      <c r="B266" s="46"/>
      <c r="C266" s="46"/>
      <c r="D266" s="46"/>
      <c r="E266" s="46"/>
      <c r="F266" s="46"/>
      <c r="G266" s="46"/>
      <c r="H266" s="352"/>
      <c r="I266" s="46"/>
      <c r="J266" s="46"/>
      <c r="K266" s="46"/>
      <c r="L266" s="46"/>
      <c r="M266" s="46"/>
      <c r="N266" s="46"/>
      <c r="O266" s="46"/>
      <c r="P266" s="46"/>
      <c r="Q266" s="46"/>
    </row>
    <row r="267" spans="2:17">
      <c r="B267" s="46"/>
      <c r="C267" s="46"/>
      <c r="D267" s="46"/>
      <c r="E267" s="46"/>
      <c r="F267" s="46"/>
      <c r="G267" s="46"/>
      <c r="H267" s="352"/>
      <c r="I267" s="46"/>
      <c r="J267" s="46"/>
      <c r="K267" s="46"/>
      <c r="L267" s="46"/>
      <c r="M267" s="46"/>
      <c r="N267" s="46"/>
      <c r="O267" s="46"/>
      <c r="P267" s="46"/>
      <c r="Q267" s="46"/>
    </row>
    <row r="268" spans="2:17">
      <c r="B268" s="46"/>
      <c r="C268" s="46"/>
      <c r="D268" s="46"/>
      <c r="E268" s="46"/>
      <c r="F268" s="46"/>
      <c r="G268" s="46"/>
      <c r="H268" s="352"/>
      <c r="I268" s="46"/>
      <c r="J268" s="46"/>
      <c r="K268" s="46"/>
      <c r="L268" s="46"/>
      <c r="M268" s="46"/>
      <c r="N268" s="46"/>
      <c r="O268" s="46"/>
      <c r="P268" s="46"/>
      <c r="Q268" s="46"/>
    </row>
    <row r="269" spans="2:17">
      <c r="B269" s="46"/>
      <c r="C269" s="46"/>
      <c r="D269" s="46"/>
      <c r="E269" s="46"/>
      <c r="F269" s="46"/>
      <c r="G269" s="46"/>
      <c r="H269" s="352"/>
      <c r="I269" s="46"/>
      <c r="J269" s="46"/>
      <c r="K269" s="46"/>
      <c r="L269" s="46"/>
      <c r="M269" s="46"/>
      <c r="N269" s="46"/>
      <c r="O269" s="46"/>
      <c r="P269" s="46"/>
      <c r="Q269" s="46"/>
    </row>
    <row r="270" spans="2:17">
      <c r="B270" s="46"/>
      <c r="C270" s="46"/>
      <c r="D270" s="46"/>
      <c r="E270" s="46"/>
      <c r="F270" s="46"/>
      <c r="G270" s="46"/>
      <c r="H270" s="352"/>
      <c r="I270" s="46"/>
      <c r="J270" s="46"/>
      <c r="K270" s="46"/>
      <c r="L270" s="46"/>
      <c r="M270" s="46"/>
      <c r="N270" s="46"/>
      <c r="O270" s="46"/>
      <c r="P270" s="46"/>
      <c r="Q270" s="46"/>
    </row>
    <row r="271" spans="2:17">
      <c r="B271" s="46"/>
      <c r="C271" s="46"/>
      <c r="D271" s="46"/>
      <c r="E271" s="46"/>
      <c r="F271" s="46"/>
      <c r="G271" s="46"/>
      <c r="H271" s="352"/>
      <c r="I271" s="46"/>
      <c r="J271" s="46"/>
      <c r="K271" s="46"/>
      <c r="L271" s="46"/>
      <c r="M271" s="46"/>
      <c r="N271" s="46"/>
      <c r="O271" s="46"/>
      <c r="P271" s="46"/>
      <c r="Q271" s="46"/>
    </row>
    <row r="272" spans="2:17">
      <c r="B272" s="46"/>
      <c r="C272" s="46"/>
      <c r="D272" s="46"/>
      <c r="E272" s="46"/>
      <c r="F272" s="46"/>
      <c r="G272" s="46"/>
      <c r="H272" s="352"/>
      <c r="I272" s="46"/>
      <c r="J272" s="46"/>
      <c r="K272" s="46"/>
      <c r="L272" s="46"/>
      <c r="M272" s="46"/>
      <c r="N272" s="46"/>
      <c r="O272" s="46"/>
      <c r="P272" s="46"/>
      <c r="Q272" s="46"/>
    </row>
    <row r="273" spans="2:17">
      <c r="B273" s="46"/>
      <c r="C273" s="46"/>
      <c r="D273" s="46"/>
      <c r="E273" s="46"/>
      <c r="F273" s="46"/>
      <c r="G273" s="46"/>
      <c r="H273" s="352"/>
      <c r="I273" s="46"/>
      <c r="J273" s="46"/>
      <c r="K273" s="46"/>
      <c r="L273" s="46"/>
      <c r="M273" s="46"/>
      <c r="N273" s="46"/>
      <c r="O273" s="46"/>
      <c r="P273" s="46"/>
      <c r="Q273" s="46"/>
    </row>
    <row r="274" spans="2:17">
      <c r="B274" s="46"/>
      <c r="C274" s="46"/>
      <c r="D274" s="46"/>
      <c r="E274" s="46"/>
      <c r="F274" s="46"/>
      <c r="G274" s="46"/>
      <c r="H274" s="352"/>
      <c r="I274" s="46"/>
      <c r="J274" s="46"/>
      <c r="K274" s="46"/>
      <c r="L274" s="46"/>
      <c r="M274" s="46"/>
      <c r="N274" s="46"/>
      <c r="O274" s="46"/>
      <c r="P274" s="46"/>
      <c r="Q274" s="46"/>
    </row>
    <row r="275" spans="2:17">
      <c r="B275" s="46"/>
      <c r="C275" s="46"/>
      <c r="D275" s="46"/>
      <c r="E275" s="46"/>
      <c r="F275" s="46"/>
      <c r="G275" s="46"/>
      <c r="H275" s="352"/>
      <c r="I275" s="46"/>
      <c r="J275" s="46"/>
      <c r="K275" s="46"/>
      <c r="L275" s="46"/>
      <c r="M275" s="46"/>
      <c r="N275" s="46"/>
      <c r="O275" s="46"/>
      <c r="P275" s="46"/>
      <c r="Q275" s="46"/>
    </row>
    <row r="276" spans="2:17">
      <c r="B276" s="46"/>
      <c r="C276" s="46"/>
      <c r="D276" s="46"/>
      <c r="E276" s="46"/>
      <c r="F276" s="46"/>
      <c r="G276" s="46"/>
      <c r="H276" s="352"/>
      <c r="I276" s="46"/>
      <c r="J276" s="46"/>
      <c r="K276" s="46"/>
      <c r="L276" s="46"/>
      <c r="M276" s="46"/>
      <c r="N276" s="46"/>
      <c r="O276" s="46"/>
      <c r="P276" s="46"/>
      <c r="Q276" s="46"/>
    </row>
    <row r="277" spans="2:17">
      <c r="B277" s="46"/>
      <c r="C277" s="46"/>
      <c r="D277" s="46"/>
      <c r="E277" s="46"/>
      <c r="F277" s="46"/>
      <c r="G277" s="46"/>
      <c r="H277" s="352"/>
      <c r="I277" s="46"/>
      <c r="J277" s="46"/>
      <c r="K277" s="46"/>
      <c r="L277" s="46"/>
      <c r="M277" s="46"/>
      <c r="N277" s="46"/>
      <c r="O277" s="46"/>
      <c r="P277" s="46"/>
      <c r="Q277" s="46"/>
    </row>
    <row r="278" spans="2:17">
      <c r="B278" s="46"/>
      <c r="C278" s="46"/>
      <c r="D278" s="46"/>
      <c r="E278" s="46"/>
      <c r="F278" s="46"/>
      <c r="G278" s="46"/>
      <c r="H278" s="352"/>
      <c r="I278" s="46"/>
      <c r="J278" s="46"/>
      <c r="K278" s="46"/>
      <c r="L278" s="46"/>
      <c r="M278" s="46"/>
      <c r="N278" s="46"/>
      <c r="O278" s="46"/>
      <c r="P278" s="46"/>
      <c r="Q278" s="46"/>
    </row>
    <row r="279" spans="2:17">
      <c r="B279" s="46"/>
      <c r="C279" s="46"/>
      <c r="D279" s="46"/>
      <c r="E279" s="46"/>
      <c r="F279" s="46"/>
      <c r="G279" s="46"/>
      <c r="H279" s="352"/>
      <c r="I279" s="46"/>
      <c r="J279" s="46"/>
      <c r="K279" s="46"/>
      <c r="L279" s="46"/>
      <c r="M279" s="46"/>
      <c r="N279" s="46"/>
      <c r="O279" s="46"/>
      <c r="P279" s="46"/>
      <c r="Q279" s="46"/>
    </row>
    <row r="280" spans="2:17">
      <c r="B280" s="46"/>
      <c r="C280" s="46"/>
      <c r="D280" s="46"/>
      <c r="E280" s="46"/>
      <c r="F280" s="46"/>
      <c r="G280" s="46"/>
      <c r="H280" s="352"/>
      <c r="I280" s="46"/>
      <c r="J280" s="46"/>
      <c r="K280" s="46"/>
      <c r="L280" s="46"/>
      <c r="M280" s="46"/>
      <c r="N280" s="46"/>
      <c r="O280" s="46"/>
      <c r="P280" s="46"/>
      <c r="Q280" s="46"/>
    </row>
    <row r="281" spans="2:17">
      <c r="B281" s="46"/>
      <c r="C281" s="46"/>
      <c r="D281" s="46"/>
      <c r="E281" s="46"/>
      <c r="F281" s="46"/>
      <c r="G281" s="46"/>
      <c r="H281" s="352"/>
      <c r="I281" s="46"/>
      <c r="J281" s="46"/>
      <c r="K281" s="46"/>
      <c r="L281" s="46"/>
      <c r="M281" s="46"/>
      <c r="N281" s="46"/>
      <c r="O281" s="46"/>
      <c r="P281" s="46"/>
      <c r="Q281" s="46"/>
    </row>
    <row r="282" spans="2:17">
      <c r="B282" s="46"/>
      <c r="C282" s="46"/>
      <c r="D282" s="46"/>
      <c r="E282" s="46"/>
      <c r="F282" s="46"/>
      <c r="G282" s="46"/>
      <c r="H282" s="352"/>
      <c r="I282" s="46"/>
      <c r="J282" s="46"/>
      <c r="K282" s="46"/>
      <c r="L282" s="46"/>
      <c r="M282" s="46"/>
      <c r="N282" s="46"/>
      <c r="O282" s="46"/>
      <c r="P282" s="46"/>
      <c r="Q282" s="46"/>
    </row>
    <row r="283" spans="2:17">
      <c r="B283" s="46"/>
      <c r="C283" s="46"/>
      <c r="D283" s="46"/>
      <c r="E283" s="46"/>
      <c r="F283" s="46"/>
      <c r="G283" s="46"/>
      <c r="H283" s="352"/>
      <c r="I283" s="46"/>
      <c r="J283" s="46"/>
      <c r="K283" s="46"/>
      <c r="L283" s="46"/>
      <c r="M283" s="46"/>
      <c r="N283" s="46"/>
      <c r="O283" s="46"/>
      <c r="P283" s="46"/>
      <c r="Q283" s="46"/>
    </row>
    <row r="284" spans="2:17">
      <c r="B284" s="46"/>
      <c r="C284" s="46"/>
      <c r="D284" s="46"/>
      <c r="E284" s="46"/>
      <c r="F284" s="46"/>
      <c r="G284" s="46"/>
      <c r="H284" s="352"/>
      <c r="I284" s="46"/>
      <c r="J284" s="46"/>
      <c r="K284" s="46"/>
      <c r="L284" s="46"/>
      <c r="M284" s="46"/>
      <c r="N284" s="46"/>
      <c r="O284" s="46"/>
      <c r="P284" s="46"/>
      <c r="Q284" s="46"/>
    </row>
    <row r="285" spans="2:17">
      <c r="B285" s="46"/>
      <c r="C285" s="46"/>
      <c r="D285" s="46"/>
      <c r="E285" s="46"/>
      <c r="F285" s="46"/>
      <c r="G285" s="46"/>
      <c r="H285" s="352"/>
      <c r="I285" s="46"/>
      <c r="J285" s="46"/>
      <c r="K285" s="46"/>
      <c r="L285" s="46"/>
      <c r="M285" s="46"/>
      <c r="N285" s="46"/>
      <c r="O285" s="46"/>
      <c r="P285" s="46"/>
      <c r="Q285" s="46"/>
    </row>
    <row r="286" spans="2:17">
      <c r="B286" s="46"/>
      <c r="C286" s="46"/>
      <c r="D286" s="46"/>
      <c r="E286" s="46"/>
      <c r="F286" s="46"/>
      <c r="G286" s="46"/>
      <c r="H286" s="352"/>
      <c r="I286" s="46"/>
      <c r="J286" s="46"/>
      <c r="K286" s="46"/>
      <c r="L286" s="46"/>
      <c r="M286" s="46"/>
      <c r="N286" s="46"/>
      <c r="O286" s="46"/>
      <c r="P286" s="46"/>
      <c r="Q286" s="46"/>
    </row>
    <row r="287" spans="2:17">
      <c r="B287" s="46"/>
      <c r="C287" s="46"/>
      <c r="D287" s="46"/>
      <c r="E287" s="46"/>
      <c r="F287" s="46"/>
      <c r="G287" s="46"/>
      <c r="H287" s="352"/>
      <c r="I287" s="46"/>
      <c r="J287" s="46"/>
      <c r="K287" s="46"/>
      <c r="L287" s="46"/>
      <c r="M287" s="46"/>
      <c r="N287" s="46"/>
      <c r="O287" s="46"/>
      <c r="P287" s="46"/>
      <c r="Q287" s="46"/>
    </row>
    <row r="288" spans="2:17">
      <c r="B288" s="46"/>
      <c r="C288" s="46"/>
      <c r="D288" s="46"/>
      <c r="E288" s="46"/>
      <c r="F288" s="46"/>
      <c r="G288" s="46"/>
      <c r="H288" s="352"/>
      <c r="I288" s="46"/>
      <c r="J288" s="46"/>
      <c r="K288" s="46"/>
      <c r="L288" s="46"/>
      <c r="M288" s="46"/>
      <c r="N288" s="46"/>
      <c r="O288" s="46"/>
      <c r="P288" s="46"/>
      <c r="Q288" s="46"/>
    </row>
    <row r="289" spans="2:17">
      <c r="B289" s="46"/>
      <c r="C289" s="46"/>
      <c r="D289" s="46"/>
      <c r="E289" s="46"/>
      <c r="F289" s="46"/>
      <c r="G289" s="46"/>
      <c r="H289" s="352"/>
      <c r="I289" s="46"/>
      <c r="J289" s="46"/>
      <c r="K289" s="46"/>
      <c r="L289" s="46"/>
      <c r="M289" s="46"/>
      <c r="N289" s="46"/>
      <c r="O289" s="46"/>
      <c r="P289" s="46"/>
      <c r="Q289" s="46"/>
    </row>
    <row r="290" spans="2:17">
      <c r="B290" s="46"/>
      <c r="C290" s="46"/>
      <c r="D290" s="46"/>
      <c r="E290" s="46"/>
      <c r="F290" s="46"/>
      <c r="G290" s="46"/>
      <c r="H290" s="352"/>
      <c r="I290" s="46"/>
      <c r="J290" s="46"/>
      <c r="K290" s="46"/>
      <c r="L290" s="46"/>
      <c r="M290" s="46"/>
      <c r="N290" s="46"/>
      <c r="O290" s="46"/>
      <c r="P290" s="46"/>
      <c r="Q290" s="46"/>
    </row>
    <row r="291" spans="2:17">
      <c r="B291" s="46"/>
      <c r="C291" s="46"/>
      <c r="D291" s="46"/>
      <c r="E291" s="46"/>
      <c r="F291" s="46"/>
      <c r="G291" s="46"/>
      <c r="H291" s="352"/>
      <c r="I291" s="46"/>
      <c r="J291" s="46"/>
      <c r="K291" s="46"/>
      <c r="L291" s="46"/>
      <c r="M291" s="46"/>
      <c r="N291" s="46"/>
      <c r="O291" s="46"/>
      <c r="P291" s="46"/>
      <c r="Q291" s="46"/>
    </row>
    <row r="292" spans="2:17">
      <c r="B292" s="46"/>
      <c r="C292" s="46"/>
      <c r="D292" s="46"/>
      <c r="E292" s="46"/>
      <c r="F292" s="46"/>
      <c r="G292" s="46"/>
      <c r="H292" s="352"/>
      <c r="I292" s="46"/>
      <c r="J292" s="46"/>
      <c r="K292" s="46"/>
      <c r="L292" s="46"/>
      <c r="M292" s="46"/>
      <c r="N292" s="46"/>
      <c r="O292" s="46"/>
      <c r="P292" s="46"/>
      <c r="Q292" s="46"/>
    </row>
    <row r="293" spans="2:17">
      <c r="B293" s="46"/>
      <c r="C293" s="46"/>
      <c r="D293" s="46"/>
      <c r="E293" s="46"/>
      <c r="F293" s="46"/>
      <c r="G293" s="46"/>
      <c r="H293" s="352"/>
      <c r="I293" s="46"/>
      <c r="J293" s="46"/>
      <c r="K293" s="46"/>
      <c r="L293" s="46"/>
      <c r="M293" s="46"/>
      <c r="N293" s="46"/>
      <c r="O293" s="46"/>
      <c r="P293" s="46"/>
      <c r="Q293" s="46"/>
    </row>
    <row r="294" spans="2:17">
      <c r="B294" s="46"/>
      <c r="C294" s="46"/>
      <c r="D294" s="46"/>
      <c r="E294" s="46"/>
      <c r="F294" s="46"/>
      <c r="G294" s="46"/>
      <c r="H294" s="352"/>
      <c r="I294" s="46"/>
      <c r="J294" s="46"/>
      <c r="K294" s="46"/>
      <c r="L294" s="46"/>
      <c r="M294" s="46"/>
      <c r="N294" s="46"/>
      <c r="O294" s="46"/>
      <c r="P294" s="46"/>
      <c r="Q294" s="46"/>
    </row>
    <row r="295" spans="2:17">
      <c r="B295" s="46"/>
      <c r="C295" s="46"/>
      <c r="D295" s="46"/>
      <c r="E295" s="46"/>
      <c r="F295" s="46"/>
      <c r="G295" s="46"/>
      <c r="H295" s="352"/>
      <c r="I295" s="46"/>
      <c r="J295" s="46"/>
      <c r="K295" s="46"/>
      <c r="L295" s="46"/>
      <c r="M295" s="46"/>
      <c r="N295" s="46"/>
      <c r="O295" s="46"/>
      <c r="P295" s="46"/>
      <c r="Q295" s="46"/>
    </row>
    <row r="296" spans="2:17">
      <c r="B296" s="46"/>
      <c r="C296" s="46"/>
      <c r="D296" s="46"/>
      <c r="E296" s="46"/>
      <c r="F296" s="46"/>
      <c r="G296" s="46"/>
      <c r="H296" s="352"/>
      <c r="I296" s="46"/>
      <c r="J296" s="46"/>
      <c r="K296" s="46"/>
      <c r="L296" s="46"/>
      <c r="M296" s="46"/>
      <c r="N296" s="46"/>
      <c r="O296" s="46"/>
      <c r="P296" s="46"/>
      <c r="Q296" s="46"/>
    </row>
    <row r="297" spans="2:17">
      <c r="B297" s="46"/>
      <c r="C297" s="46"/>
      <c r="D297" s="46"/>
      <c r="E297" s="46"/>
      <c r="F297" s="46"/>
      <c r="G297" s="46"/>
      <c r="H297" s="352"/>
      <c r="I297" s="46"/>
      <c r="J297" s="46"/>
      <c r="K297" s="46"/>
      <c r="L297" s="46"/>
      <c r="M297" s="46"/>
      <c r="N297" s="46"/>
      <c r="O297" s="46"/>
      <c r="P297" s="46"/>
      <c r="Q297" s="46"/>
    </row>
    <row r="298" spans="2:17">
      <c r="B298" s="46"/>
      <c r="C298" s="46"/>
      <c r="D298" s="46"/>
      <c r="E298" s="46"/>
      <c r="F298" s="46"/>
      <c r="G298" s="46"/>
      <c r="H298" s="352"/>
      <c r="I298" s="46"/>
      <c r="J298" s="46"/>
      <c r="K298" s="46"/>
      <c r="L298" s="46"/>
      <c r="M298" s="46"/>
      <c r="N298" s="46"/>
      <c r="O298" s="46"/>
      <c r="P298" s="46"/>
      <c r="Q298" s="46"/>
    </row>
    <row r="299" spans="2:17">
      <c r="B299" s="46"/>
      <c r="C299" s="46"/>
      <c r="D299" s="46"/>
      <c r="E299" s="46"/>
      <c r="F299" s="46"/>
      <c r="G299" s="46"/>
      <c r="H299" s="352"/>
      <c r="I299" s="46"/>
      <c r="J299" s="46"/>
      <c r="K299" s="46"/>
      <c r="L299" s="46"/>
      <c r="M299" s="46"/>
      <c r="N299" s="46"/>
      <c r="O299" s="46"/>
      <c r="P299" s="46"/>
      <c r="Q299" s="46"/>
    </row>
    <row r="300" spans="2:17">
      <c r="B300" s="46"/>
      <c r="C300" s="46"/>
      <c r="D300" s="46"/>
      <c r="E300" s="46"/>
      <c r="F300" s="46"/>
      <c r="G300" s="46"/>
      <c r="H300" s="352"/>
      <c r="I300" s="46"/>
      <c r="J300" s="46"/>
      <c r="K300" s="46"/>
      <c r="L300" s="46"/>
      <c r="M300" s="46"/>
      <c r="N300" s="46"/>
      <c r="O300" s="46"/>
      <c r="P300" s="46"/>
      <c r="Q300" s="46"/>
    </row>
    <row r="301" spans="2:17">
      <c r="B301" s="46"/>
      <c r="C301" s="46"/>
      <c r="D301" s="46"/>
      <c r="E301" s="46"/>
      <c r="F301" s="46"/>
      <c r="G301" s="46"/>
      <c r="H301" s="352"/>
      <c r="I301" s="46"/>
      <c r="J301" s="46"/>
      <c r="K301" s="46"/>
      <c r="L301" s="46"/>
      <c r="M301" s="46"/>
      <c r="N301" s="46"/>
      <c r="O301" s="46"/>
      <c r="P301" s="46"/>
      <c r="Q301" s="46"/>
    </row>
    <row r="302" spans="2:17">
      <c r="B302" s="46"/>
      <c r="C302" s="46"/>
      <c r="D302" s="46"/>
      <c r="E302" s="46"/>
      <c r="F302" s="46"/>
      <c r="G302" s="46"/>
      <c r="H302" s="352"/>
      <c r="I302" s="46"/>
      <c r="J302" s="46"/>
      <c r="K302" s="46"/>
      <c r="L302" s="46"/>
      <c r="M302" s="46"/>
      <c r="N302" s="46"/>
      <c r="O302" s="46"/>
      <c r="P302" s="46"/>
      <c r="Q302" s="46"/>
    </row>
    <row r="303" spans="2:17">
      <c r="B303" s="46"/>
      <c r="C303" s="46"/>
      <c r="D303" s="46"/>
      <c r="E303" s="46"/>
      <c r="F303" s="46"/>
      <c r="G303" s="46"/>
      <c r="H303" s="352"/>
      <c r="I303" s="46"/>
      <c r="J303" s="46"/>
      <c r="K303" s="46"/>
      <c r="L303" s="46"/>
      <c r="M303" s="46"/>
      <c r="N303" s="46"/>
      <c r="O303" s="46"/>
      <c r="P303" s="46"/>
      <c r="Q303" s="46"/>
    </row>
    <row r="304" spans="2:17">
      <c r="B304" s="46"/>
      <c r="C304" s="46"/>
      <c r="D304" s="46"/>
      <c r="E304" s="46"/>
      <c r="F304" s="46"/>
      <c r="G304" s="46"/>
      <c r="H304" s="352"/>
      <c r="I304" s="46"/>
      <c r="J304" s="46"/>
      <c r="K304" s="46"/>
      <c r="L304" s="46"/>
      <c r="M304" s="46"/>
      <c r="N304" s="46"/>
      <c r="O304" s="46"/>
      <c r="P304" s="46"/>
      <c r="Q304" s="46"/>
    </row>
    <row r="305" spans="2:17">
      <c r="B305" s="46"/>
      <c r="C305" s="46"/>
      <c r="D305" s="46"/>
      <c r="E305" s="46"/>
      <c r="F305" s="46"/>
      <c r="G305" s="46"/>
      <c r="H305" s="352"/>
      <c r="I305" s="46"/>
      <c r="J305" s="46"/>
      <c r="K305" s="46"/>
      <c r="L305" s="46"/>
      <c r="M305" s="46"/>
      <c r="N305" s="46"/>
      <c r="O305" s="46"/>
      <c r="P305" s="46"/>
      <c r="Q305" s="46"/>
    </row>
    <row r="306" spans="2:17">
      <c r="B306" s="46"/>
      <c r="C306" s="46"/>
      <c r="D306" s="46"/>
      <c r="E306" s="46"/>
      <c r="F306" s="46"/>
      <c r="G306" s="46"/>
      <c r="H306" s="352"/>
      <c r="I306" s="46"/>
      <c r="J306" s="46"/>
      <c r="K306" s="46"/>
      <c r="L306" s="46"/>
      <c r="M306" s="46"/>
      <c r="N306" s="46"/>
      <c r="O306" s="46"/>
      <c r="P306" s="46"/>
      <c r="Q306" s="46"/>
    </row>
    <row r="307" spans="2:17">
      <c r="B307" s="46"/>
      <c r="C307" s="46"/>
      <c r="D307" s="46"/>
      <c r="E307" s="46"/>
      <c r="F307" s="46"/>
      <c r="G307" s="46"/>
      <c r="H307" s="352"/>
      <c r="I307" s="46"/>
      <c r="J307" s="46"/>
      <c r="K307" s="46"/>
      <c r="L307" s="46"/>
      <c r="M307" s="46"/>
      <c r="N307" s="46"/>
      <c r="O307" s="46"/>
      <c r="P307" s="46"/>
      <c r="Q307" s="46"/>
    </row>
    <row r="308" spans="2:17">
      <c r="B308" s="46"/>
      <c r="C308" s="46"/>
      <c r="D308" s="46"/>
      <c r="E308" s="46"/>
      <c r="F308" s="46"/>
      <c r="G308" s="46"/>
      <c r="H308" s="352"/>
      <c r="I308" s="46"/>
      <c r="J308" s="46"/>
      <c r="K308" s="46"/>
      <c r="L308" s="46"/>
      <c r="M308" s="46"/>
      <c r="N308" s="46"/>
      <c r="O308" s="46"/>
      <c r="P308" s="46"/>
      <c r="Q308" s="46"/>
    </row>
    <row r="309" spans="2:17">
      <c r="B309" s="46"/>
      <c r="C309" s="46"/>
      <c r="D309" s="46"/>
      <c r="E309" s="46"/>
      <c r="F309" s="46"/>
      <c r="G309" s="46"/>
      <c r="H309" s="352"/>
      <c r="I309" s="46"/>
      <c r="J309" s="46"/>
      <c r="K309" s="46"/>
      <c r="L309" s="46"/>
      <c r="M309" s="46"/>
      <c r="N309" s="46"/>
      <c r="O309" s="46"/>
      <c r="P309" s="46"/>
      <c r="Q309" s="46"/>
    </row>
    <row r="310" spans="2:17">
      <c r="B310" s="46"/>
      <c r="C310" s="46"/>
      <c r="D310" s="46"/>
      <c r="E310" s="46"/>
      <c r="F310" s="46"/>
      <c r="G310" s="46"/>
      <c r="H310" s="352"/>
      <c r="I310" s="46"/>
      <c r="J310" s="46"/>
      <c r="K310" s="46"/>
      <c r="L310" s="46"/>
      <c r="M310" s="46"/>
      <c r="N310" s="46"/>
      <c r="O310" s="46"/>
      <c r="P310" s="46"/>
      <c r="Q310" s="46"/>
    </row>
    <row r="311" spans="2:17">
      <c r="B311" s="46"/>
      <c r="C311" s="46"/>
      <c r="D311" s="46"/>
      <c r="E311" s="46"/>
      <c r="F311" s="46"/>
      <c r="G311" s="46"/>
      <c r="H311" s="352"/>
      <c r="I311" s="46"/>
      <c r="J311" s="46"/>
      <c r="K311" s="46"/>
      <c r="L311" s="46"/>
      <c r="M311" s="46"/>
      <c r="N311" s="46"/>
      <c r="O311" s="46"/>
      <c r="P311" s="46"/>
      <c r="Q311" s="46"/>
    </row>
    <row r="312" spans="2:17">
      <c r="B312" s="46"/>
      <c r="C312" s="46"/>
      <c r="D312" s="46"/>
      <c r="E312" s="46"/>
      <c r="F312" s="46"/>
      <c r="G312" s="46"/>
      <c r="H312" s="352"/>
      <c r="I312" s="46"/>
      <c r="J312" s="46"/>
      <c r="K312" s="46"/>
      <c r="L312" s="46"/>
      <c r="M312" s="46"/>
      <c r="N312" s="46"/>
      <c r="O312" s="46"/>
      <c r="P312" s="46"/>
      <c r="Q312" s="46"/>
    </row>
    <row r="313" spans="2:17">
      <c r="B313" s="46"/>
      <c r="C313" s="46"/>
      <c r="D313" s="46"/>
      <c r="E313" s="46"/>
      <c r="F313" s="46"/>
      <c r="G313" s="46"/>
      <c r="H313" s="352"/>
      <c r="I313" s="46"/>
      <c r="J313" s="46"/>
      <c r="K313" s="46"/>
      <c r="L313" s="46"/>
      <c r="M313" s="46"/>
      <c r="N313" s="46"/>
      <c r="O313" s="46"/>
      <c r="P313" s="46"/>
      <c r="Q313" s="46"/>
    </row>
    <row r="314" spans="2:17">
      <c r="B314" s="46"/>
      <c r="C314" s="46"/>
      <c r="D314" s="46"/>
      <c r="E314" s="46"/>
      <c r="F314" s="46"/>
      <c r="G314" s="46"/>
      <c r="H314" s="352"/>
      <c r="I314" s="46"/>
      <c r="J314" s="46"/>
      <c r="K314" s="46"/>
      <c r="L314" s="46"/>
      <c r="M314" s="46"/>
      <c r="N314" s="46"/>
      <c r="O314" s="46"/>
      <c r="P314" s="46"/>
      <c r="Q314" s="46"/>
    </row>
    <row r="315" spans="2:17">
      <c r="B315" s="46"/>
      <c r="C315" s="46"/>
      <c r="D315" s="46"/>
      <c r="E315" s="46"/>
      <c r="F315" s="46"/>
      <c r="G315" s="46"/>
      <c r="H315" s="352"/>
      <c r="I315" s="46"/>
      <c r="J315" s="46"/>
      <c r="K315" s="46"/>
      <c r="L315" s="46"/>
      <c r="M315" s="46"/>
      <c r="N315" s="46"/>
      <c r="O315" s="46"/>
      <c r="P315" s="46"/>
      <c r="Q315" s="46"/>
    </row>
    <row r="316" spans="2:17">
      <c r="B316" s="46"/>
      <c r="C316" s="46"/>
      <c r="D316" s="46"/>
      <c r="E316" s="46"/>
      <c r="F316" s="46"/>
      <c r="G316" s="46"/>
      <c r="H316" s="352"/>
      <c r="I316" s="46"/>
      <c r="J316" s="46"/>
      <c r="K316" s="46"/>
      <c r="L316" s="46"/>
      <c r="M316" s="46"/>
      <c r="N316" s="46"/>
      <c r="O316" s="46"/>
      <c r="P316" s="46"/>
      <c r="Q316" s="46"/>
    </row>
    <row r="317" spans="2:17">
      <c r="B317" s="46"/>
      <c r="C317" s="46"/>
      <c r="D317" s="46"/>
      <c r="E317" s="46"/>
      <c r="F317" s="46"/>
      <c r="G317" s="46"/>
      <c r="H317" s="352"/>
      <c r="I317" s="46"/>
      <c r="J317" s="46"/>
      <c r="K317" s="46"/>
      <c r="L317" s="46"/>
      <c r="M317" s="46"/>
      <c r="N317" s="46"/>
      <c r="O317" s="46"/>
      <c r="P317" s="46"/>
      <c r="Q317" s="46"/>
    </row>
    <row r="318" spans="2:17">
      <c r="B318" s="46"/>
      <c r="C318" s="46"/>
      <c r="D318" s="46"/>
      <c r="E318" s="46"/>
      <c r="F318" s="46"/>
      <c r="G318" s="46"/>
      <c r="H318" s="352"/>
      <c r="I318" s="46"/>
      <c r="J318" s="46"/>
      <c r="K318" s="46"/>
      <c r="L318" s="46"/>
      <c r="M318" s="46"/>
      <c r="N318" s="46"/>
      <c r="O318" s="46"/>
      <c r="P318" s="46"/>
      <c r="Q318" s="46"/>
    </row>
    <row r="319" spans="2:17">
      <c r="B319" s="46"/>
      <c r="C319" s="46"/>
      <c r="D319" s="46"/>
      <c r="E319" s="46"/>
      <c r="F319" s="46"/>
      <c r="G319" s="46"/>
      <c r="H319" s="352"/>
      <c r="I319" s="46"/>
      <c r="J319" s="46"/>
      <c r="K319" s="46"/>
      <c r="L319" s="46"/>
      <c r="M319" s="46"/>
      <c r="N319" s="46"/>
      <c r="O319" s="46"/>
      <c r="P319" s="46"/>
      <c r="Q319" s="46"/>
    </row>
    <row r="320" spans="2:17">
      <c r="B320" s="46"/>
      <c r="C320" s="46"/>
      <c r="D320" s="46"/>
      <c r="E320" s="46"/>
      <c r="F320" s="46"/>
      <c r="G320" s="46"/>
      <c r="H320" s="352"/>
      <c r="I320" s="46"/>
      <c r="J320" s="46"/>
      <c r="K320" s="46"/>
      <c r="L320" s="46"/>
      <c r="M320" s="46"/>
      <c r="N320" s="46"/>
      <c r="O320" s="46"/>
      <c r="P320" s="46"/>
      <c r="Q320" s="46"/>
    </row>
    <row r="321" spans="2:17">
      <c r="B321" s="46"/>
      <c r="C321" s="46"/>
      <c r="D321" s="46"/>
      <c r="E321" s="46"/>
      <c r="F321" s="46"/>
      <c r="G321" s="46"/>
      <c r="H321" s="352"/>
      <c r="I321" s="46"/>
      <c r="J321" s="46"/>
      <c r="K321" s="46"/>
      <c r="L321" s="46"/>
      <c r="M321" s="46"/>
      <c r="N321" s="46"/>
      <c r="O321" s="46"/>
      <c r="P321" s="46"/>
      <c r="Q321" s="46"/>
    </row>
    <row r="322" spans="2:17">
      <c r="B322" s="46"/>
      <c r="C322" s="46"/>
      <c r="D322" s="46"/>
      <c r="E322" s="46"/>
      <c r="F322" s="46"/>
      <c r="G322" s="46"/>
      <c r="H322" s="352"/>
      <c r="I322" s="46"/>
      <c r="J322" s="46"/>
      <c r="K322" s="46"/>
      <c r="L322" s="46"/>
      <c r="M322" s="46"/>
      <c r="N322" s="46"/>
      <c r="O322" s="46"/>
      <c r="P322" s="46"/>
      <c r="Q322" s="46"/>
    </row>
    <row r="323" spans="2:17">
      <c r="B323" s="46"/>
      <c r="C323" s="46"/>
      <c r="D323" s="46"/>
      <c r="E323" s="46"/>
      <c r="F323" s="46"/>
      <c r="G323" s="46"/>
      <c r="H323" s="352"/>
      <c r="I323" s="46"/>
      <c r="J323" s="46"/>
      <c r="K323" s="46"/>
      <c r="L323" s="46"/>
      <c r="M323" s="46"/>
      <c r="N323" s="46"/>
      <c r="O323" s="46"/>
      <c r="P323" s="46"/>
      <c r="Q323" s="46"/>
    </row>
    <row r="324" spans="2:17">
      <c r="B324" s="46"/>
      <c r="C324" s="46"/>
      <c r="D324" s="46"/>
      <c r="E324" s="46"/>
      <c r="F324" s="46"/>
      <c r="G324" s="46"/>
      <c r="H324" s="352"/>
      <c r="I324" s="46"/>
      <c r="J324" s="46"/>
      <c r="K324" s="46"/>
      <c r="L324" s="46"/>
      <c r="M324" s="46"/>
      <c r="N324" s="46"/>
      <c r="O324" s="46"/>
      <c r="P324" s="46"/>
      <c r="Q324" s="46"/>
    </row>
    <row r="325" spans="2:17">
      <c r="B325" s="46"/>
      <c r="C325" s="46"/>
      <c r="D325" s="46"/>
      <c r="E325" s="46"/>
      <c r="F325" s="46"/>
      <c r="G325" s="46"/>
      <c r="H325" s="352"/>
      <c r="I325" s="46"/>
      <c r="J325" s="46"/>
      <c r="K325" s="46"/>
      <c r="L325" s="46"/>
      <c r="M325" s="46"/>
      <c r="N325" s="46"/>
      <c r="O325" s="46"/>
      <c r="P325" s="46"/>
      <c r="Q325" s="46"/>
    </row>
    <row r="326" spans="2:17">
      <c r="B326" s="46"/>
      <c r="C326" s="46"/>
      <c r="D326" s="46"/>
      <c r="E326" s="46"/>
      <c r="F326" s="46"/>
      <c r="G326" s="46"/>
      <c r="H326" s="352"/>
      <c r="I326" s="46"/>
      <c r="J326" s="46"/>
      <c r="K326" s="46"/>
      <c r="L326" s="46"/>
      <c r="M326" s="46"/>
      <c r="N326" s="46"/>
      <c r="O326" s="46"/>
      <c r="P326" s="46"/>
      <c r="Q326" s="46"/>
    </row>
    <row r="327" spans="2:17">
      <c r="B327" s="46"/>
      <c r="C327" s="46"/>
      <c r="D327" s="46"/>
      <c r="E327" s="46"/>
      <c r="F327" s="46"/>
      <c r="G327" s="46"/>
      <c r="H327" s="352"/>
      <c r="I327" s="46"/>
      <c r="J327" s="46"/>
      <c r="K327" s="46"/>
      <c r="L327" s="46"/>
      <c r="M327" s="46"/>
      <c r="N327" s="46"/>
      <c r="O327" s="46"/>
      <c r="P327" s="46"/>
      <c r="Q327" s="46"/>
    </row>
    <row r="328" spans="2:17">
      <c r="B328" s="46"/>
      <c r="C328" s="46"/>
      <c r="D328" s="46"/>
      <c r="E328" s="46"/>
      <c r="F328" s="46"/>
      <c r="G328" s="46"/>
      <c r="H328" s="352"/>
      <c r="I328" s="46"/>
      <c r="J328" s="46"/>
      <c r="K328" s="46"/>
      <c r="L328" s="46"/>
      <c r="M328" s="46"/>
      <c r="N328" s="46"/>
      <c r="O328" s="46"/>
      <c r="P328" s="46"/>
      <c r="Q328" s="46"/>
    </row>
    <row r="329" spans="2:17">
      <c r="B329" s="46"/>
      <c r="C329" s="46"/>
      <c r="D329" s="46"/>
      <c r="E329" s="46"/>
      <c r="F329" s="46"/>
      <c r="G329" s="46"/>
      <c r="H329" s="352"/>
      <c r="I329" s="46"/>
      <c r="J329" s="46"/>
      <c r="K329" s="46"/>
      <c r="L329" s="46"/>
      <c r="M329" s="46"/>
      <c r="N329" s="46"/>
      <c r="O329" s="46"/>
      <c r="P329" s="46"/>
      <c r="Q329" s="46"/>
    </row>
    <row r="330" spans="2:17">
      <c r="B330" s="46"/>
      <c r="C330" s="46"/>
      <c r="D330" s="46"/>
      <c r="E330" s="46"/>
      <c r="F330" s="46"/>
      <c r="G330" s="46"/>
      <c r="H330" s="352"/>
      <c r="I330" s="46"/>
      <c r="J330" s="46"/>
      <c r="K330" s="46"/>
      <c r="L330" s="46"/>
      <c r="M330" s="46"/>
      <c r="N330" s="46"/>
      <c r="O330" s="46"/>
      <c r="P330" s="46"/>
      <c r="Q330" s="46"/>
    </row>
    <row r="331" spans="2:17">
      <c r="B331" s="46"/>
      <c r="C331" s="46"/>
      <c r="D331" s="46"/>
      <c r="E331" s="46"/>
      <c r="F331" s="46"/>
      <c r="G331" s="46"/>
      <c r="H331" s="352"/>
      <c r="I331" s="46"/>
      <c r="J331" s="46"/>
      <c r="K331" s="46"/>
      <c r="L331" s="46"/>
      <c r="M331" s="46"/>
      <c r="N331" s="46"/>
      <c r="O331" s="46"/>
      <c r="P331" s="46"/>
      <c r="Q331" s="46"/>
    </row>
    <row r="332" spans="2:17">
      <c r="B332" s="46"/>
      <c r="C332" s="46"/>
      <c r="D332" s="46"/>
      <c r="E332" s="46"/>
      <c r="F332" s="46"/>
      <c r="G332" s="46"/>
      <c r="H332" s="352"/>
      <c r="I332" s="46"/>
      <c r="J332" s="46"/>
      <c r="K332" s="46"/>
      <c r="L332" s="46"/>
      <c r="M332" s="46"/>
      <c r="N332" s="46"/>
      <c r="O332" s="46"/>
      <c r="P332" s="46"/>
      <c r="Q332" s="46"/>
    </row>
    <row r="333" spans="2:17">
      <c r="B333" s="46"/>
      <c r="C333" s="46"/>
      <c r="D333" s="46"/>
      <c r="E333" s="46"/>
      <c r="F333" s="46"/>
      <c r="G333" s="46"/>
      <c r="H333" s="352"/>
      <c r="I333" s="46"/>
      <c r="J333" s="46"/>
      <c r="K333" s="46"/>
      <c r="L333" s="46"/>
      <c r="M333" s="46"/>
      <c r="N333" s="46"/>
      <c r="O333" s="46"/>
      <c r="P333" s="46"/>
      <c r="Q333" s="46"/>
    </row>
    <row r="334" spans="2:17">
      <c r="B334" s="46"/>
      <c r="C334" s="46"/>
      <c r="D334" s="46"/>
      <c r="E334" s="46"/>
      <c r="F334" s="46"/>
      <c r="G334" s="46"/>
      <c r="H334" s="352"/>
      <c r="I334" s="46"/>
      <c r="J334" s="46"/>
      <c r="K334" s="46"/>
      <c r="L334" s="46"/>
      <c r="M334" s="46"/>
      <c r="N334" s="46"/>
      <c r="O334" s="46"/>
      <c r="P334" s="46"/>
      <c r="Q334" s="46"/>
    </row>
    <row r="335" spans="2:17">
      <c r="B335" s="46"/>
      <c r="C335" s="46"/>
      <c r="D335" s="46"/>
      <c r="E335" s="46"/>
      <c r="F335" s="46"/>
      <c r="G335" s="46"/>
      <c r="H335" s="352"/>
      <c r="I335" s="46"/>
      <c r="J335" s="46"/>
      <c r="K335" s="46"/>
      <c r="L335" s="46"/>
      <c r="M335" s="46"/>
      <c r="N335" s="46"/>
      <c r="O335" s="46"/>
      <c r="P335" s="46"/>
      <c r="Q335" s="46"/>
    </row>
    <row r="336" spans="2:17">
      <c r="B336" s="46"/>
      <c r="C336" s="46"/>
      <c r="D336" s="46"/>
      <c r="E336" s="46"/>
      <c r="F336" s="46"/>
      <c r="G336" s="46"/>
      <c r="H336" s="352"/>
      <c r="I336" s="46"/>
      <c r="J336" s="46"/>
      <c r="K336" s="46"/>
      <c r="L336" s="46"/>
      <c r="M336" s="46"/>
      <c r="N336" s="46"/>
      <c r="O336" s="46"/>
      <c r="P336" s="46"/>
      <c r="Q336" s="46"/>
    </row>
    <row r="337" spans="2:17">
      <c r="B337" s="46"/>
      <c r="C337" s="46"/>
      <c r="D337" s="46"/>
      <c r="E337" s="46"/>
      <c r="F337" s="46"/>
      <c r="G337" s="46"/>
      <c r="H337" s="352"/>
      <c r="I337" s="46"/>
      <c r="J337" s="46"/>
      <c r="K337" s="46"/>
      <c r="L337" s="46"/>
      <c r="M337" s="46"/>
      <c r="N337" s="46"/>
      <c r="O337" s="46"/>
      <c r="P337" s="46"/>
      <c r="Q337" s="46"/>
    </row>
    <row r="338" spans="2:17">
      <c r="B338" s="46"/>
      <c r="C338" s="46"/>
      <c r="D338" s="46"/>
      <c r="E338" s="46"/>
      <c r="F338" s="46"/>
      <c r="G338" s="46"/>
      <c r="H338" s="352"/>
      <c r="I338" s="46"/>
      <c r="J338" s="46"/>
      <c r="K338" s="46"/>
      <c r="L338" s="46"/>
      <c r="M338" s="46"/>
      <c r="N338" s="46"/>
      <c r="O338" s="46"/>
      <c r="P338" s="46"/>
      <c r="Q338" s="46"/>
    </row>
    <row r="339" spans="2:17">
      <c r="B339" s="46"/>
      <c r="C339" s="46"/>
      <c r="D339" s="46"/>
      <c r="E339" s="46"/>
      <c r="F339" s="46"/>
      <c r="G339" s="46"/>
      <c r="H339" s="352"/>
      <c r="I339" s="46"/>
      <c r="J339" s="46"/>
      <c r="K339" s="46"/>
      <c r="L339" s="46"/>
      <c r="M339" s="46"/>
      <c r="N339" s="46"/>
      <c r="O339" s="46"/>
      <c r="P339" s="46"/>
      <c r="Q339" s="46"/>
    </row>
    <row r="340" spans="2:17">
      <c r="B340" s="46"/>
      <c r="C340" s="46"/>
      <c r="D340" s="46"/>
      <c r="E340" s="46"/>
      <c r="F340" s="46"/>
      <c r="G340" s="46"/>
      <c r="H340" s="352"/>
      <c r="I340" s="46"/>
      <c r="J340" s="46"/>
      <c r="K340" s="46"/>
      <c r="L340" s="46"/>
      <c r="M340" s="46"/>
      <c r="N340" s="46"/>
      <c r="O340" s="46"/>
      <c r="P340" s="46"/>
      <c r="Q340" s="46"/>
    </row>
    <row r="341" spans="2:17">
      <c r="B341" s="46"/>
      <c r="C341" s="46"/>
      <c r="D341" s="46"/>
      <c r="E341" s="46"/>
      <c r="F341" s="46"/>
      <c r="G341" s="46"/>
      <c r="H341" s="352"/>
      <c r="I341" s="46"/>
      <c r="J341" s="46"/>
      <c r="K341" s="46"/>
      <c r="L341" s="46"/>
      <c r="M341" s="46"/>
      <c r="N341" s="46"/>
      <c r="O341" s="46"/>
      <c r="P341" s="46"/>
      <c r="Q341" s="46"/>
    </row>
    <row r="342" spans="2:17">
      <c r="B342" s="46"/>
      <c r="C342" s="46"/>
      <c r="D342" s="46"/>
      <c r="E342" s="46"/>
      <c r="F342" s="46"/>
      <c r="G342" s="46"/>
      <c r="H342" s="352"/>
      <c r="I342" s="46"/>
      <c r="J342" s="46"/>
      <c r="K342" s="46"/>
      <c r="L342" s="46"/>
      <c r="M342" s="46"/>
      <c r="N342" s="46"/>
      <c r="O342" s="46"/>
      <c r="P342" s="46"/>
      <c r="Q342" s="46"/>
    </row>
    <row r="343" spans="2:17">
      <c r="B343" s="46"/>
      <c r="C343" s="46"/>
      <c r="D343" s="46"/>
      <c r="E343" s="46"/>
      <c r="F343" s="46"/>
      <c r="G343" s="46"/>
      <c r="H343" s="352"/>
      <c r="I343" s="46"/>
      <c r="J343" s="46"/>
      <c r="K343" s="46"/>
      <c r="L343" s="46"/>
      <c r="M343" s="46"/>
      <c r="N343" s="46"/>
      <c r="O343" s="46"/>
      <c r="P343" s="46"/>
      <c r="Q343" s="46"/>
    </row>
    <row r="344" spans="2:17">
      <c r="B344" s="46"/>
      <c r="C344" s="46"/>
      <c r="D344" s="46"/>
      <c r="E344" s="46"/>
      <c r="F344" s="46"/>
      <c r="G344" s="46"/>
      <c r="H344" s="352"/>
      <c r="I344" s="46"/>
      <c r="J344" s="46"/>
      <c r="K344" s="46"/>
      <c r="L344" s="46"/>
      <c r="M344" s="46"/>
      <c r="N344" s="46"/>
      <c r="O344" s="46"/>
      <c r="P344" s="46"/>
      <c r="Q344" s="46"/>
    </row>
    <row r="345" spans="2:17">
      <c r="B345" s="46"/>
      <c r="C345" s="46"/>
      <c r="D345" s="46"/>
      <c r="E345" s="46"/>
      <c r="F345" s="46"/>
      <c r="G345" s="46"/>
      <c r="H345" s="352"/>
      <c r="I345" s="46"/>
      <c r="J345" s="46"/>
      <c r="K345" s="46"/>
      <c r="L345" s="46"/>
      <c r="M345" s="46"/>
      <c r="N345" s="46"/>
      <c r="O345" s="46"/>
      <c r="P345" s="46"/>
      <c r="Q345" s="46"/>
    </row>
    <row r="346" spans="2:17">
      <c r="B346" s="46"/>
      <c r="C346" s="46"/>
      <c r="D346" s="46"/>
      <c r="E346" s="46"/>
      <c r="F346" s="46"/>
      <c r="G346" s="46"/>
      <c r="H346" s="352"/>
      <c r="I346" s="46"/>
      <c r="J346" s="46"/>
      <c r="K346" s="46"/>
      <c r="L346" s="46"/>
      <c r="M346" s="46"/>
      <c r="N346" s="46"/>
      <c r="O346" s="46"/>
      <c r="P346" s="46"/>
      <c r="Q346" s="46"/>
    </row>
    <row r="347" spans="2:17">
      <c r="B347" s="46"/>
      <c r="C347" s="46"/>
      <c r="D347" s="46"/>
      <c r="E347" s="46"/>
      <c r="F347" s="46"/>
      <c r="G347" s="46"/>
      <c r="H347" s="352"/>
      <c r="I347" s="46"/>
      <c r="J347" s="46"/>
      <c r="K347" s="46"/>
      <c r="L347" s="46"/>
      <c r="M347" s="46"/>
      <c r="N347" s="46"/>
      <c r="O347" s="46"/>
      <c r="P347" s="46"/>
      <c r="Q347" s="46"/>
    </row>
    <row r="348" spans="2:17">
      <c r="B348" s="46"/>
      <c r="C348" s="46"/>
      <c r="D348" s="46"/>
      <c r="E348" s="46"/>
      <c r="F348" s="46"/>
      <c r="G348" s="46"/>
      <c r="H348" s="352"/>
      <c r="I348" s="46"/>
      <c r="J348" s="46"/>
      <c r="K348" s="46"/>
      <c r="L348" s="46"/>
      <c r="M348" s="46"/>
      <c r="N348" s="46"/>
      <c r="O348" s="46"/>
      <c r="P348" s="46"/>
      <c r="Q348" s="46"/>
    </row>
    <row r="349" spans="2:17">
      <c r="B349" s="46"/>
      <c r="C349" s="46"/>
      <c r="D349" s="46"/>
      <c r="E349" s="46"/>
      <c r="F349" s="46"/>
      <c r="G349" s="46"/>
      <c r="H349" s="352"/>
      <c r="I349" s="46"/>
      <c r="J349" s="46"/>
      <c r="K349" s="46"/>
      <c r="L349" s="46"/>
      <c r="M349" s="46"/>
      <c r="N349" s="46"/>
      <c r="O349" s="46"/>
      <c r="P349" s="46"/>
      <c r="Q349" s="46"/>
    </row>
    <row r="350" spans="2:17">
      <c r="B350" s="46"/>
      <c r="C350" s="46"/>
      <c r="D350" s="46"/>
      <c r="E350" s="46"/>
      <c r="F350" s="46"/>
      <c r="G350" s="46"/>
      <c r="H350" s="352"/>
      <c r="I350" s="46"/>
      <c r="J350" s="46"/>
      <c r="K350" s="46"/>
      <c r="L350" s="46"/>
      <c r="M350" s="46"/>
      <c r="N350" s="46"/>
      <c r="O350" s="46"/>
      <c r="P350" s="46"/>
      <c r="Q350" s="46"/>
    </row>
    <row r="351" spans="2:17">
      <c r="B351" s="46"/>
      <c r="C351" s="46"/>
      <c r="D351" s="46"/>
      <c r="E351" s="46"/>
      <c r="F351" s="46"/>
      <c r="G351" s="46"/>
      <c r="H351" s="352"/>
      <c r="I351" s="46"/>
      <c r="J351" s="46"/>
      <c r="K351" s="46"/>
      <c r="L351" s="46"/>
      <c r="M351" s="46"/>
      <c r="N351" s="46"/>
      <c r="O351" s="46"/>
      <c r="P351" s="46"/>
      <c r="Q351" s="46"/>
    </row>
    <row r="352" spans="2:17">
      <c r="B352" s="46"/>
      <c r="C352" s="46"/>
      <c r="D352" s="46"/>
      <c r="E352" s="46"/>
      <c r="F352" s="46"/>
      <c r="G352" s="46"/>
      <c r="H352" s="352"/>
      <c r="I352" s="46"/>
      <c r="J352" s="46"/>
      <c r="K352" s="46"/>
      <c r="L352" s="46"/>
      <c r="M352" s="46"/>
      <c r="N352" s="46"/>
      <c r="O352" s="46"/>
      <c r="P352" s="46"/>
      <c r="Q352" s="46"/>
    </row>
    <row r="353" spans="2:17">
      <c r="B353" s="46"/>
      <c r="C353" s="46"/>
      <c r="D353" s="46"/>
      <c r="E353" s="46"/>
      <c r="F353" s="46"/>
      <c r="G353" s="46"/>
      <c r="H353" s="352"/>
      <c r="I353" s="46"/>
      <c r="J353" s="46"/>
      <c r="K353" s="46"/>
      <c r="L353" s="46"/>
      <c r="M353" s="46"/>
      <c r="N353" s="46"/>
      <c r="O353" s="46"/>
      <c r="P353" s="46"/>
      <c r="Q353" s="46"/>
    </row>
    <row r="354" spans="2:17">
      <c r="B354" s="46"/>
      <c r="C354" s="46"/>
      <c r="D354" s="46"/>
      <c r="E354" s="46"/>
      <c r="F354" s="46"/>
      <c r="G354" s="46"/>
      <c r="H354" s="352"/>
      <c r="I354" s="46"/>
      <c r="J354" s="46"/>
      <c r="K354" s="46"/>
      <c r="L354" s="46"/>
      <c r="M354" s="46"/>
      <c r="N354" s="46"/>
      <c r="O354" s="46"/>
      <c r="P354" s="46"/>
      <c r="Q354" s="46"/>
    </row>
    <row r="355" spans="2:17">
      <c r="B355" s="46"/>
      <c r="C355" s="46"/>
      <c r="D355" s="46"/>
      <c r="E355" s="46"/>
      <c r="F355" s="46"/>
      <c r="G355" s="46"/>
      <c r="H355" s="352"/>
      <c r="I355" s="46"/>
      <c r="J355" s="46"/>
      <c r="K355" s="46"/>
      <c r="L355" s="46"/>
      <c r="M355" s="46"/>
      <c r="N355" s="46"/>
      <c r="O355" s="46"/>
      <c r="P355" s="46"/>
      <c r="Q355" s="46"/>
    </row>
    <row r="356" spans="2:17">
      <c r="B356" s="46"/>
      <c r="C356" s="46"/>
      <c r="D356" s="46"/>
      <c r="E356" s="46"/>
      <c r="F356" s="46"/>
      <c r="G356" s="46"/>
      <c r="H356" s="352"/>
      <c r="I356" s="46"/>
      <c r="J356" s="46"/>
      <c r="K356" s="46"/>
      <c r="L356" s="46"/>
      <c r="M356" s="46"/>
      <c r="N356" s="46"/>
      <c r="O356" s="46"/>
      <c r="P356" s="46"/>
      <c r="Q356" s="46"/>
    </row>
    <row r="357" spans="2:17">
      <c r="B357" s="46"/>
      <c r="C357" s="46"/>
      <c r="D357" s="46"/>
      <c r="E357" s="46"/>
      <c r="F357" s="46"/>
      <c r="G357" s="46"/>
      <c r="H357" s="352"/>
      <c r="I357" s="46"/>
      <c r="J357" s="46"/>
      <c r="K357" s="46"/>
      <c r="L357" s="46"/>
      <c r="M357" s="46"/>
      <c r="N357" s="46"/>
      <c r="O357" s="46"/>
      <c r="P357" s="46"/>
      <c r="Q357" s="46"/>
    </row>
    <row r="358" spans="2:17">
      <c r="B358" s="46"/>
      <c r="C358" s="46"/>
      <c r="D358" s="46"/>
      <c r="E358" s="46"/>
      <c r="F358" s="46"/>
      <c r="G358" s="46"/>
      <c r="H358" s="352"/>
      <c r="I358" s="46"/>
      <c r="J358" s="46"/>
      <c r="K358" s="46"/>
      <c r="L358" s="46"/>
      <c r="M358" s="46"/>
      <c r="N358" s="46"/>
      <c r="O358" s="46"/>
      <c r="P358" s="46"/>
      <c r="Q358" s="46"/>
    </row>
    <row r="359" spans="2:17">
      <c r="B359" s="46"/>
      <c r="C359" s="46"/>
      <c r="D359" s="46"/>
      <c r="E359" s="46"/>
      <c r="F359" s="46"/>
      <c r="G359" s="46"/>
      <c r="H359" s="352"/>
      <c r="I359" s="46"/>
      <c r="J359" s="46"/>
      <c r="K359" s="46"/>
      <c r="L359" s="46"/>
      <c r="M359" s="46"/>
      <c r="N359" s="46"/>
      <c r="O359" s="46"/>
      <c r="P359" s="46"/>
      <c r="Q359" s="46"/>
    </row>
    <row r="360" spans="2:17">
      <c r="B360" s="46"/>
      <c r="C360" s="46"/>
      <c r="D360" s="46"/>
      <c r="E360" s="46"/>
      <c r="F360" s="46"/>
      <c r="G360" s="46"/>
      <c r="H360" s="352"/>
      <c r="I360" s="46"/>
      <c r="J360" s="46"/>
      <c r="K360" s="46"/>
      <c r="L360" s="46"/>
      <c r="M360" s="46"/>
      <c r="N360" s="46"/>
      <c r="O360" s="46"/>
      <c r="P360" s="46"/>
      <c r="Q360" s="46"/>
    </row>
    <row r="361" spans="2:17">
      <c r="B361" s="46"/>
      <c r="C361" s="46"/>
      <c r="D361" s="46"/>
      <c r="E361" s="46"/>
      <c r="F361" s="46"/>
      <c r="G361" s="46"/>
      <c r="H361" s="352"/>
      <c r="I361" s="46"/>
      <c r="J361" s="46"/>
      <c r="K361" s="46"/>
      <c r="L361" s="46"/>
      <c r="M361" s="46"/>
      <c r="N361" s="46"/>
      <c r="O361" s="46"/>
      <c r="P361" s="46"/>
      <c r="Q361" s="46"/>
    </row>
    <row r="362" spans="2:17">
      <c r="B362" s="46"/>
      <c r="C362" s="46"/>
      <c r="D362" s="46"/>
      <c r="E362" s="46"/>
      <c r="F362" s="46"/>
      <c r="G362" s="46"/>
      <c r="H362" s="352"/>
      <c r="I362" s="46"/>
      <c r="J362" s="46"/>
      <c r="K362" s="46"/>
      <c r="L362" s="46"/>
      <c r="M362" s="46"/>
      <c r="N362" s="46"/>
      <c r="O362" s="46"/>
      <c r="P362" s="46"/>
      <c r="Q362" s="46"/>
    </row>
    <row r="363" spans="2:17">
      <c r="B363" s="46"/>
      <c r="C363" s="46"/>
      <c r="D363" s="46"/>
      <c r="E363" s="46"/>
      <c r="F363" s="46"/>
      <c r="G363" s="46"/>
      <c r="H363" s="352"/>
      <c r="I363" s="46"/>
      <c r="J363" s="46"/>
      <c r="K363" s="46"/>
      <c r="L363" s="46"/>
      <c r="M363" s="46"/>
      <c r="N363" s="46"/>
      <c r="O363" s="46"/>
      <c r="P363" s="46"/>
      <c r="Q363" s="46"/>
    </row>
    <row r="364" spans="2:17">
      <c r="B364" s="46"/>
      <c r="C364" s="46"/>
      <c r="D364" s="46"/>
      <c r="E364" s="46"/>
      <c r="F364" s="46"/>
      <c r="G364" s="46"/>
      <c r="H364" s="352"/>
      <c r="I364" s="46"/>
      <c r="J364" s="46"/>
      <c r="K364" s="46"/>
      <c r="L364" s="46"/>
      <c r="M364" s="46"/>
      <c r="N364" s="46"/>
      <c r="O364" s="46"/>
      <c r="P364" s="46"/>
      <c r="Q364" s="46"/>
    </row>
    <row r="365" spans="2:17">
      <c r="B365" s="46"/>
      <c r="C365" s="46"/>
      <c r="D365" s="46"/>
      <c r="E365" s="46"/>
      <c r="F365" s="46"/>
      <c r="G365" s="46"/>
      <c r="H365" s="352"/>
      <c r="I365" s="46"/>
      <c r="J365" s="46"/>
      <c r="K365" s="46"/>
      <c r="L365" s="46"/>
      <c r="M365" s="46"/>
      <c r="N365" s="46"/>
      <c r="O365" s="46"/>
      <c r="P365" s="46"/>
      <c r="Q365" s="46"/>
    </row>
    <row r="366" spans="2:17">
      <c r="B366" s="46"/>
      <c r="C366" s="46"/>
      <c r="D366" s="46"/>
      <c r="E366" s="46"/>
      <c r="F366" s="46"/>
      <c r="G366" s="46"/>
      <c r="H366" s="352"/>
      <c r="I366" s="46"/>
      <c r="J366" s="46"/>
      <c r="K366" s="46"/>
      <c r="L366" s="46"/>
      <c r="M366" s="46"/>
      <c r="N366" s="46"/>
      <c r="O366" s="46"/>
      <c r="P366" s="46"/>
      <c r="Q366" s="46"/>
    </row>
    <row r="367" spans="2:17">
      <c r="B367" s="46"/>
      <c r="C367" s="46"/>
      <c r="D367" s="46"/>
      <c r="E367" s="46"/>
      <c r="F367" s="46"/>
      <c r="G367" s="46"/>
      <c r="H367" s="352"/>
      <c r="I367" s="46"/>
      <c r="J367" s="46"/>
      <c r="K367" s="46"/>
      <c r="L367" s="46"/>
      <c r="M367" s="46"/>
      <c r="N367" s="46"/>
      <c r="O367" s="46"/>
      <c r="P367" s="46"/>
      <c r="Q367" s="46"/>
    </row>
    <row r="368" spans="2:17">
      <c r="B368" s="46"/>
      <c r="C368" s="46"/>
      <c r="D368" s="46"/>
      <c r="E368" s="46"/>
      <c r="F368" s="46"/>
      <c r="G368" s="46"/>
      <c r="H368" s="352"/>
      <c r="I368" s="46"/>
      <c r="J368" s="46"/>
      <c r="K368" s="46"/>
      <c r="L368" s="46"/>
      <c r="M368" s="46"/>
      <c r="N368" s="46"/>
      <c r="O368" s="46"/>
      <c r="P368" s="46"/>
      <c r="Q368" s="46"/>
    </row>
    <row r="369" spans="2:17">
      <c r="B369" s="46"/>
      <c r="C369" s="46"/>
      <c r="D369" s="46"/>
      <c r="E369" s="46"/>
      <c r="F369" s="46"/>
      <c r="G369" s="46"/>
      <c r="H369" s="352"/>
      <c r="I369" s="46"/>
      <c r="J369" s="46"/>
      <c r="K369" s="46"/>
      <c r="L369" s="46"/>
      <c r="M369" s="46"/>
      <c r="N369" s="46"/>
      <c r="O369" s="46"/>
      <c r="P369" s="46"/>
      <c r="Q369" s="46"/>
    </row>
    <row r="370" spans="2:17">
      <c r="B370" s="46"/>
      <c r="C370" s="46"/>
      <c r="D370" s="46"/>
      <c r="E370" s="46"/>
      <c r="F370" s="46"/>
      <c r="G370" s="46"/>
      <c r="H370" s="352"/>
      <c r="I370" s="46"/>
      <c r="J370" s="46"/>
      <c r="K370" s="46"/>
      <c r="L370" s="46"/>
      <c r="M370" s="46"/>
      <c r="N370" s="46"/>
      <c r="O370" s="46"/>
      <c r="P370" s="46"/>
      <c r="Q370" s="46"/>
    </row>
    <row r="371" spans="2:17">
      <c r="B371" s="46"/>
      <c r="C371" s="46"/>
      <c r="D371" s="46"/>
      <c r="E371" s="46"/>
      <c r="F371" s="46"/>
      <c r="G371" s="46"/>
      <c r="H371" s="352"/>
      <c r="I371" s="46"/>
      <c r="J371" s="46"/>
      <c r="K371" s="46"/>
      <c r="L371" s="46"/>
      <c r="M371" s="46"/>
      <c r="N371" s="46"/>
      <c r="O371" s="46"/>
      <c r="P371" s="46"/>
      <c r="Q371" s="46"/>
    </row>
    <row r="372" spans="2:17">
      <c r="B372" s="46"/>
      <c r="C372" s="46"/>
      <c r="D372" s="46"/>
      <c r="E372" s="46"/>
      <c r="F372" s="46"/>
      <c r="G372" s="46"/>
      <c r="H372" s="352"/>
      <c r="I372" s="46"/>
      <c r="J372" s="46"/>
      <c r="K372" s="46"/>
      <c r="L372" s="46"/>
      <c r="M372" s="46"/>
      <c r="N372" s="46"/>
      <c r="O372" s="46"/>
      <c r="P372" s="46"/>
      <c r="Q372" s="46"/>
    </row>
    <row r="373" spans="2:17">
      <c r="B373" s="46"/>
      <c r="C373" s="46"/>
      <c r="D373" s="46"/>
      <c r="E373" s="46"/>
      <c r="F373" s="46"/>
      <c r="G373" s="46"/>
      <c r="H373" s="352"/>
      <c r="I373" s="46"/>
      <c r="J373" s="46"/>
      <c r="K373" s="46"/>
      <c r="L373" s="46"/>
      <c r="M373" s="46"/>
      <c r="N373" s="46"/>
      <c r="O373" s="46"/>
      <c r="P373" s="46"/>
      <c r="Q373" s="46"/>
    </row>
    <row r="374" spans="2:17">
      <c r="B374" s="46"/>
      <c r="C374" s="46"/>
      <c r="D374" s="46"/>
      <c r="E374" s="46"/>
      <c r="F374" s="46"/>
      <c r="G374" s="46"/>
      <c r="H374" s="352"/>
      <c r="I374" s="46"/>
      <c r="J374" s="46"/>
      <c r="K374" s="46"/>
      <c r="L374" s="46"/>
      <c r="M374" s="46"/>
      <c r="N374" s="46"/>
      <c r="O374" s="46"/>
      <c r="P374" s="46"/>
      <c r="Q374" s="46"/>
    </row>
    <row r="375" spans="2:17">
      <c r="B375" s="46"/>
      <c r="C375" s="46"/>
      <c r="D375" s="46"/>
      <c r="E375" s="46"/>
      <c r="F375" s="46"/>
      <c r="G375" s="46"/>
      <c r="H375" s="352"/>
      <c r="I375" s="46"/>
      <c r="J375" s="46"/>
      <c r="K375" s="46"/>
      <c r="L375" s="46"/>
      <c r="M375" s="46"/>
      <c r="N375" s="46"/>
      <c r="O375" s="46"/>
      <c r="P375" s="46"/>
      <c r="Q375" s="46"/>
    </row>
    <row r="376" spans="2:17">
      <c r="B376" s="46"/>
      <c r="C376" s="46"/>
      <c r="D376" s="46"/>
      <c r="E376" s="46"/>
      <c r="F376" s="46"/>
      <c r="G376" s="46"/>
      <c r="H376" s="352"/>
      <c r="I376" s="46"/>
      <c r="J376" s="46"/>
      <c r="K376" s="46"/>
      <c r="L376" s="46"/>
      <c r="M376" s="46"/>
      <c r="N376" s="46"/>
      <c r="O376" s="46"/>
      <c r="P376" s="46"/>
      <c r="Q376" s="46"/>
    </row>
    <row r="377" spans="2:17">
      <c r="B377" s="46"/>
      <c r="C377" s="46"/>
      <c r="D377" s="46"/>
      <c r="E377" s="46"/>
      <c r="F377" s="46"/>
      <c r="G377" s="46"/>
      <c r="H377" s="352"/>
      <c r="I377" s="46"/>
      <c r="J377" s="46"/>
      <c r="K377" s="46"/>
      <c r="L377" s="46"/>
      <c r="M377" s="46"/>
      <c r="N377" s="46"/>
      <c r="O377" s="46"/>
      <c r="P377" s="46"/>
      <c r="Q377" s="46"/>
    </row>
    <row r="378" spans="2:17">
      <c r="B378" s="46"/>
      <c r="C378" s="46"/>
      <c r="D378" s="46"/>
      <c r="E378" s="46"/>
      <c r="F378" s="46"/>
      <c r="G378" s="46"/>
      <c r="H378" s="352"/>
      <c r="I378" s="46"/>
      <c r="J378" s="46"/>
      <c r="K378" s="46"/>
      <c r="L378" s="46"/>
      <c r="M378" s="46"/>
      <c r="N378" s="46"/>
      <c r="O378" s="46"/>
      <c r="P378" s="46"/>
      <c r="Q378" s="46"/>
    </row>
    <row r="379" spans="2:17">
      <c r="B379" s="46"/>
      <c r="C379" s="46"/>
      <c r="D379" s="46"/>
      <c r="E379" s="46"/>
      <c r="F379" s="46"/>
      <c r="G379" s="46"/>
      <c r="H379" s="352"/>
      <c r="I379" s="46"/>
      <c r="J379" s="46"/>
      <c r="K379" s="46"/>
      <c r="L379" s="46"/>
      <c r="M379" s="46"/>
      <c r="N379" s="46"/>
      <c r="O379" s="46"/>
      <c r="P379" s="46"/>
      <c r="Q379" s="46"/>
    </row>
    <row r="380" spans="2:17">
      <c r="B380" s="46"/>
      <c r="C380" s="46"/>
      <c r="D380" s="46"/>
      <c r="E380" s="46"/>
      <c r="F380" s="46"/>
      <c r="G380" s="46"/>
      <c r="H380" s="352"/>
      <c r="I380" s="46"/>
      <c r="J380" s="46"/>
      <c r="K380" s="46"/>
      <c r="L380" s="46"/>
      <c r="M380" s="46"/>
      <c r="N380" s="46"/>
      <c r="O380" s="46"/>
      <c r="P380" s="46"/>
      <c r="Q380" s="46"/>
    </row>
    <row r="381" spans="2:17">
      <c r="B381" s="46"/>
      <c r="C381" s="46"/>
      <c r="D381" s="46"/>
      <c r="E381" s="46"/>
      <c r="F381" s="46"/>
      <c r="G381" s="46"/>
      <c r="H381" s="352"/>
      <c r="I381" s="46"/>
      <c r="J381" s="46"/>
      <c r="K381" s="46"/>
      <c r="L381" s="46"/>
      <c r="M381" s="46"/>
      <c r="N381" s="46"/>
      <c r="O381" s="46"/>
      <c r="P381" s="46"/>
      <c r="Q381" s="46"/>
    </row>
    <row r="382" spans="2:17">
      <c r="B382" s="46"/>
      <c r="C382" s="46"/>
      <c r="D382" s="46"/>
      <c r="E382" s="46"/>
      <c r="F382" s="46"/>
      <c r="G382" s="46"/>
      <c r="H382" s="352"/>
      <c r="I382" s="46"/>
      <c r="J382" s="46"/>
      <c r="K382" s="46"/>
      <c r="L382" s="46"/>
      <c r="M382" s="46"/>
      <c r="N382" s="46"/>
      <c r="O382" s="46"/>
      <c r="P382" s="46"/>
      <c r="Q382" s="46"/>
    </row>
    <row r="383" spans="2:17">
      <c r="B383" s="46"/>
      <c r="C383" s="46"/>
      <c r="D383" s="46"/>
      <c r="E383" s="46"/>
      <c r="F383" s="46"/>
      <c r="G383" s="46"/>
      <c r="H383" s="352"/>
      <c r="I383" s="46"/>
      <c r="J383" s="46"/>
      <c r="K383" s="46"/>
      <c r="L383" s="46"/>
      <c r="M383" s="46"/>
      <c r="N383" s="46"/>
      <c r="O383" s="46"/>
      <c r="P383" s="46"/>
      <c r="Q383" s="46"/>
    </row>
    <row r="384" spans="2:17">
      <c r="B384" s="46"/>
      <c r="C384" s="46"/>
      <c r="D384" s="46"/>
      <c r="E384" s="46"/>
      <c r="F384" s="46"/>
      <c r="G384" s="46"/>
      <c r="H384" s="352"/>
      <c r="I384" s="46"/>
      <c r="J384" s="46"/>
      <c r="K384" s="46"/>
      <c r="L384" s="46"/>
      <c r="M384" s="46"/>
      <c r="N384" s="46"/>
      <c r="O384" s="46"/>
      <c r="P384" s="46"/>
      <c r="Q384" s="46"/>
    </row>
    <row r="385" spans="2:17">
      <c r="B385" s="46"/>
      <c r="C385" s="46"/>
      <c r="D385" s="46"/>
      <c r="E385" s="46"/>
      <c r="F385" s="46"/>
      <c r="G385" s="46"/>
      <c r="H385" s="352"/>
      <c r="I385" s="46"/>
      <c r="J385" s="46"/>
      <c r="K385" s="46"/>
      <c r="L385" s="46"/>
      <c r="M385" s="46"/>
      <c r="N385" s="46"/>
      <c r="O385" s="46"/>
      <c r="P385" s="46"/>
      <c r="Q385" s="46"/>
    </row>
    <row r="386" spans="2:17">
      <c r="B386" s="46"/>
      <c r="C386" s="46"/>
      <c r="D386" s="46"/>
      <c r="E386" s="46"/>
      <c r="F386" s="46"/>
      <c r="G386" s="46"/>
      <c r="H386" s="352"/>
      <c r="I386" s="46"/>
      <c r="J386" s="46"/>
      <c r="K386" s="46"/>
      <c r="L386" s="46"/>
      <c r="M386" s="46"/>
      <c r="N386" s="46"/>
      <c r="O386" s="46"/>
      <c r="P386" s="46"/>
      <c r="Q386" s="46"/>
    </row>
    <row r="387" spans="2:17">
      <c r="B387" s="46"/>
      <c r="C387" s="46"/>
      <c r="D387" s="46"/>
      <c r="E387" s="46"/>
      <c r="F387" s="46"/>
      <c r="G387" s="46"/>
      <c r="H387" s="352"/>
      <c r="I387" s="46"/>
      <c r="J387" s="46"/>
      <c r="K387" s="46"/>
      <c r="L387" s="46"/>
      <c r="M387" s="46"/>
      <c r="N387" s="46"/>
      <c r="O387" s="46"/>
      <c r="P387" s="46"/>
      <c r="Q387" s="46"/>
    </row>
    <row r="388" spans="2:17">
      <c r="B388" s="46"/>
      <c r="C388" s="46"/>
      <c r="D388" s="46"/>
      <c r="E388" s="46"/>
      <c r="F388" s="46"/>
      <c r="G388" s="46"/>
      <c r="H388" s="352"/>
      <c r="I388" s="46"/>
      <c r="J388" s="46"/>
      <c r="K388" s="46"/>
      <c r="L388" s="46"/>
      <c r="M388" s="46"/>
      <c r="N388" s="46"/>
      <c r="O388" s="46"/>
      <c r="P388" s="46"/>
      <c r="Q388" s="46"/>
    </row>
    <row r="389" spans="2:17">
      <c r="B389" s="46"/>
      <c r="C389" s="46"/>
      <c r="D389" s="46"/>
      <c r="E389" s="46"/>
      <c r="F389" s="46"/>
      <c r="G389" s="46"/>
      <c r="H389" s="352"/>
      <c r="I389" s="46"/>
      <c r="J389" s="46"/>
      <c r="K389" s="46"/>
      <c r="L389" s="46"/>
      <c r="M389" s="46"/>
      <c r="N389" s="46"/>
      <c r="O389" s="46"/>
      <c r="P389" s="46"/>
      <c r="Q389" s="46"/>
    </row>
    <row r="390" spans="2:17">
      <c r="B390" s="46"/>
      <c r="C390" s="46"/>
      <c r="D390" s="46"/>
      <c r="E390" s="46"/>
      <c r="F390" s="46"/>
      <c r="G390" s="46"/>
      <c r="H390" s="352"/>
      <c r="I390" s="46"/>
      <c r="J390" s="46"/>
      <c r="K390" s="46"/>
      <c r="L390" s="46"/>
      <c r="M390" s="46"/>
      <c r="N390" s="46"/>
      <c r="O390" s="46"/>
      <c r="P390" s="46"/>
      <c r="Q390" s="46"/>
    </row>
    <row r="391" spans="2:17">
      <c r="B391" s="46"/>
      <c r="C391" s="46"/>
      <c r="D391" s="46"/>
      <c r="E391" s="46"/>
      <c r="F391" s="46"/>
      <c r="G391" s="46"/>
      <c r="H391" s="352"/>
      <c r="I391" s="46"/>
      <c r="J391" s="46"/>
      <c r="K391" s="46"/>
      <c r="L391" s="46"/>
      <c r="M391" s="46"/>
      <c r="N391" s="46"/>
      <c r="O391" s="46"/>
      <c r="P391" s="46"/>
      <c r="Q391" s="46"/>
    </row>
    <row r="392" spans="2:17">
      <c r="B392" s="46"/>
      <c r="C392" s="46"/>
      <c r="D392" s="46"/>
      <c r="E392" s="46"/>
      <c r="F392" s="46"/>
      <c r="G392" s="46"/>
      <c r="H392" s="352"/>
      <c r="I392" s="46"/>
      <c r="J392" s="46"/>
      <c r="K392" s="46"/>
      <c r="L392" s="46"/>
      <c r="M392" s="46"/>
      <c r="N392" s="46"/>
      <c r="O392" s="46"/>
      <c r="P392" s="46"/>
      <c r="Q392" s="46"/>
    </row>
    <row r="393" spans="2:17">
      <c r="B393" s="46"/>
      <c r="C393" s="46"/>
      <c r="D393" s="46"/>
      <c r="E393" s="46"/>
      <c r="F393" s="46"/>
      <c r="G393" s="46"/>
      <c r="H393" s="352"/>
      <c r="I393" s="46"/>
      <c r="J393" s="46"/>
      <c r="K393" s="46"/>
      <c r="L393" s="46"/>
      <c r="M393" s="46"/>
      <c r="N393" s="46"/>
      <c r="O393" s="46"/>
      <c r="P393" s="46"/>
      <c r="Q393" s="46"/>
    </row>
    <row r="394" spans="2:17">
      <c r="B394" s="46"/>
      <c r="C394" s="46"/>
      <c r="D394" s="46"/>
      <c r="E394" s="46"/>
      <c r="F394" s="46"/>
      <c r="G394" s="46"/>
      <c r="H394" s="352"/>
      <c r="I394" s="46"/>
      <c r="J394" s="46"/>
      <c r="K394" s="46"/>
      <c r="L394" s="46"/>
      <c r="M394" s="46"/>
      <c r="N394" s="46"/>
      <c r="O394" s="46"/>
      <c r="P394" s="46"/>
      <c r="Q394" s="46"/>
    </row>
    <row r="395" spans="2:17">
      <c r="B395" s="46"/>
      <c r="C395" s="46"/>
      <c r="D395" s="46"/>
      <c r="E395" s="46"/>
      <c r="F395" s="46"/>
      <c r="G395" s="46"/>
      <c r="H395" s="352"/>
      <c r="I395" s="46"/>
      <c r="J395" s="46"/>
      <c r="K395" s="46"/>
      <c r="L395" s="46"/>
      <c r="M395" s="46"/>
      <c r="N395" s="46"/>
      <c r="O395" s="46"/>
      <c r="P395" s="46"/>
      <c r="Q395" s="46"/>
    </row>
    <row r="396" spans="2:17">
      <c r="B396" s="46"/>
      <c r="C396" s="46"/>
      <c r="D396" s="46"/>
      <c r="E396" s="46"/>
      <c r="F396" s="46"/>
      <c r="G396" s="46"/>
      <c r="H396" s="352"/>
      <c r="I396" s="46"/>
      <c r="J396" s="46"/>
      <c r="K396" s="46"/>
      <c r="L396" s="46"/>
      <c r="M396" s="46"/>
      <c r="N396" s="46"/>
      <c r="O396" s="46"/>
      <c r="P396" s="46"/>
      <c r="Q396" s="46"/>
    </row>
    <row r="397" spans="2:17">
      <c r="B397" s="46"/>
      <c r="C397" s="46"/>
      <c r="D397" s="46"/>
      <c r="E397" s="46"/>
      <c r="F397" s="46"/>
      <c r="G397" s="46"/>
      <c r="H397" s="352"/>
      <c r="I397" s="46"/>
      <c r="J397" s="46"/>
      <c r="K397" s="46"/>
      <c r="L397" s="46"/>
      <c r="M397" s="46"/>
      <c r="N397" s="46"/>
      <c r="O397" s="46"/>
      <c r="P397" s="46"/>
      <c r="Q397" s="46"/>
    </row>
    <row r="398" spans="2:17">
      <c r="B398" s="46"/>
      <c r="C398" s="46"/>
      <c r="D398" s="46"/>
      <c r="E398" s="46"/>
      <c r="F398" s="46"/>
      <c r="G398" s="46"/>
      <c r="H398" s="352"/>
      <c r="I398" s="46"/>
      <c r="J398" s="46"/>
      <c r="K398" s="46"/>
      <c r="L398" s="46"/>
      <c r="M398" s="46"/>
      <c r="N398" s="46"/>
      <c r="O398" s="46"/>
      <c r="P398" s="46"/>
      <c r="Q398" s="46"/>
    </row>
    <row r="399" spans="2:17">
      <c r="B399" s="46"/>
      <c r="C399" s="46"/>
      <c r="D399" s="46"/>
      <c r="E399" s="46"/>
      <c r="F399" s="46"/>
      <c r="G399" s="46"/>
      <c r="H399" s="352"/>
      <c r="I399" s="46"/>
      <c r="J399" s="46"/>
      <c r="K399" s="46"/>
      <c r="L399" s="46"/>
      <c r="M399" s="46"/>
      <c r="N399" s="46"/>
      <c r="O399" s="46"/>
      <c r="P399" s="46"/>
      <c r="Q399" s="46"/>
    </row>
    <row r="400" spans="2:17">
      <c r="B400" s="46"/>
      <c r="C400" s="46"/>
      <c r="D400" s="46"/>
      <c r="E400" s="46"/>
      <c r="F400" s="46"/>
      <c r="G400" s="46"/>
      <c r="H400" s="352"/>
      <c r="I400" s="46"/>
      <c r="J400" s="46"/>
      <c r="K400" s="46"/>
      <c r="L400" s="46"/>
      <c r="M400" s="46"/>
      <c r="N400" s="46"/>
      <c r="O400" s="46"/>
      <c r="P400" s="46"/>
      <c r="Q400" s="46"/>
    </row>
    <row r="401" spans="2:17">
      <c r="B401" s="46"/>
      <c r="C401" s="46"/>
      <c r="D401" s="46"/>
      <c r="E401" s="46"/>
      <c r="F401" s="46"/>
      <c r="G401" s="46"/>
      <c r="H401" s="352"/>
      <c r="I401" s="46"/>
      <c r="J401" s="46"/>
      <c r="K401" s="46"/>
      <c r="L401" s="46"/>
      <c r="M401" s="46"/>
      <c r="N401" s="46"/>
      <c r="O401" s="46"/>
      <c r="P401" s="46"/>
      <c r="Q401" s="46"/>
    </row>
    <row r="402" spans="2:17">
      <c r="B402" s="46"/>
      <c r="C402" s="46"/>
      <c r="D402" s="46"/>
      <c r="E402" s="46"/>
      <c r="F402" s="46"/>
      <c r="G402" s="46"/>
      <c r="H402" s="352"/>
      <c r="I402" s="46"/>
      <c r="J402" s="46"/>
      <c r="K402" s="46"/>
      <c r="L402" s="46"/>
      <c r="M402" s="46"/>
      <c r="N402" s="46"/>
      <c r="O402" s="46"/>
      <c r="P402" s="46"/>
      <c r="Q402" s="46"/>
    </row>
    <row r="403" spans="2:17">
      <c r="B403" s="46"/>
      <c r="C403" s="46"/>
      <c r="D403" s="46"/>
      <c r="E403" s="46"/>
      <c r="F403" s="46"/>
      <c r="G403" s="46"/>
      <c r="H403" s="352"/>
      <c r="I403" s="46"/>
      <c r="J403" s="46"/>
      <c r="K403" s="46"/>
      <c r="L403" s="46"/>
      <c r="M403" s="46"/>
      <c r="N403" s="46"/>
      <c r="O403" s="46"/>
      <c r="P403" s="46"/>
      <c r="Q403" s="46"/>
    </row>
    <row r="404" spans="2:17">
      <c r="B404" s="46"/>
      <c r="C404" s="46"/>
      <c r="D404" s="46"/>
      <c r="E404" s="46"/>
      <c r="F404" s="46"/>
      <c r="G404" s="46"/>
      <c r="H404" s="352"/>
      <c r="I404" s="46"/>
      <c r="J404" s="46"/>
      <c r="K404" s="46"/>
      <c r="L404" s="46"/>
      <c r="M404" s="46"/>
      <c r="N404" s="46"/>
      <c r="O404" s="46"/>
      <c r="P404" s="46"/>
      <c r="Q404" s="46"/>
    </row>
    <row r="405" spans="2:17">
      <c r="B405" s="46"/>
      <c r="C405" s="46"/>
      <c r="D405" s="46"/>
      <c r="E405" s="46"/>
      <c r="F405" s="46"/>
      <c r="G405" s="46"/>
      <c r="H405" s="352"/>
      <c r="I405" s="46"/>
      <c r="J405" s="46"/>
      <c r="K405" s="46"/>
      <c r="L405" s="46"/>
      <c r="M405" s="46"/>
      <c r="N405" s="46"/>
      <c r="O405" s="46"/>
      <c r="P405" s="46"/>
      <c r="Q405" s="46"/>
    </row>
    <row r="406" spans="2:17">
      <c r="B406" s="46"/>
      <c r="C406" s="46"/>
      <c r="D406" s="46"/>
      <c r="E406" s="46"/>
      <c r="F406" s="46"/>
      <c r="G406" s="46"/>
      <c r="H406" s="352"/>
      <c r="I406" s="46"/>
      <c r="J406" s="46"/>
      <c r="K406" s="46"/>
      <c r="L406" s="46"/>
      <c r="M406" s="46"/>
      <c r="N406" s="46"/>
      <c r="O406" s="46"/>
      <c r="P406" s="46"/>
      <c r="Q406" s="46"/>
    </row>
    <row r="407" spans="2:17">
      <c r="B407" s="46"/>
      <c r="C407" s="46"/>
      <c r="D407" s="46"/>
      <c r="E407" s="46"/>
      <c r="F407" s="46"/>
      <c r="G407" s="46"/>
      <c r="H407" s="352"/>
      <c r="I407" s="46"/>
      <c r="J407" s="46"/>
      <c r="K407" s="46"/>
      <c r="L407" s="46"/>
      <c r="M407" s="46"/>
      <c r="N407" s="46"/>
      <c r="O407" s="46"/>
      <c r="P407" s="46"/>
      <c r="Q407" s="46"/>
    </row>
    <row r="408" spans="2:17">
      <c r="B408" s="46"/>
      <c r="C408" s="46"/>
      <c r="D408" s="46"/>
      <c r="E408" s="46"/>
      <c r="F408" s="46"/>
      <c r="G408" s="46"/>
      <c r="H408" s="352"/>
      <c r="I408" s="46"/>
      <c r="J408" s="46"/>
      <c r="K408" s="46"/>
      <c r="L408" s="46"/>
      <c r="M408" s="46"/>
      <c r="N408" s="46"/>
      <c r="O408" s="46"/>
      <c r="P408" s="46"/>
      <c r="Q408" s="46"/>
    </row>
    <row r="409" spans="2:17">
      <c r="B409" s="46"/>
      <c r="C409" s="46"/>
      <c r="D409" s="46"/>
      <c r="E409" s="46"/>
      <c r="F409" s="46"/>
      <c r="G409" s="46"/>
      <c r="H409" s="352"/>
      <c r="I409" s="46"/>
      <c r="J409" s="46"/>
      <c r="K409" s="46"/>
      <c r="L409" s="46"/>
      <c r="M409" s="46"/>
      <c r="N409" s="46"/>
      <c r="O409" s="46"/>
      <c r="P409" s="46"/>
      <c r="Q409" s="46"/>
    </row>
    <row r="410" spans="2:17">
      <c r="B410" s="46"/>
      <c r="C410" s="46"/>
      <c r="D410" s="46"/>
      <c r="E410" s="46"/>
      <c r="F410" s="46"/>
      <c r="G410" s="46"/>
      <c r="H410" s="352"/>
      <c r="I410" s="46"/>
      <c r="J410" s="46"/>
      <c r="K410" s="46"/>
      <c r="L410" s="46"/>
      <c r="M410" s="46"/>
      <c r="N410" s="46"/>
      <c r="O410" s="46"/>
      <c r="P410" s="46"/>
      <c r="Q410" s="46"/>
    </row>
    <row r="411" spans="2:17">
      <c r="B411" s="46"/>
      <c r="C411" s="46"/>
      <c r="D411" s="46"/>
      <c r="E411" s="46"/>
      <c r="F411" s="46"/>
      <c r="G411" s="46"/>
      <c r="H411" s="352"/>
      <c r="I411" s="46"/>
      <c r="J411" s="46"/>
      <c r="K411" s="46"/>
      <c r="L411" s="46"/>
      <c r="M411" s="46"/>
      <c r="N411" s="46"/>
      <c r="O411" s="46"/>
      <c r="P411" s="46"/>
      <c r="Q411" s="46"/>
    </row>
    <row r="412" spans="2:17">
      <c r="B412" s="46"/>
      <c r="C412" s="46"/>
      <c r="D412" s="46"/>
      <c r="E412" s="46"/>
      <c r="F412" s="46"/>
      <c r="G412" s="46"/>
      <c r="H412" s="352"/>
      <c r="I412" s="46"/>
      <c r="J412" s="46"/>
      <c r="K412" s="46"/>
      <c r="L412" s="46"/>
      <c r="M412" s="46"/>
      <c r="N412" s="46"/>
      <c r="O412" s="46"/>
      <c r="P412" s="46"/>
      <c r="Q412" s="46"/>
    </row>
    <row r="413" spans="2:17">
      <c r="B413" s="46"/>
      <c r="C413" s="46"/>
      <c r="D413" s="46"/>
      <c r="E413" s="46"/>
      <c r="F413" s="46"/>
      <c r="G413" s="46"/>
      <c r="H413" s="352"/>
      <c r="I413" s="46"/>
      <c r="J413" s="46"/>
      <c r="K413" s="46"/>
      <c r="L413" s="46"/>
      <c r="M413" s="46"/>
      <c r="N413" s="46"/>
      <c r="O413" s="46"/>
      <c r="P413" s="46"/>
      <c r="Q413" s="46"/>
    </row>
    <row r="414" spans="2:17">
      <c r="B414" s="46"/>
      <c r="C414" s="46"/>
      <c r="D414" s="46"/>
      <c r="E414" s="46"/>
      <c r="F414" s="46"/>
      <c r="G414" s="46"/>
      <c r="H414" s="352"/>
      <c r="I414" s="46"/>
      <c r="J414" s="46"/>
      <c r="K414" s="46"/>
      <c r="L414" s="46"/>
      <c r="M414" s="46"/>
      <c r="N414" s="46"/>
      <c r="O414" s="46"/>
      <c r="P414" s="46"/>
      <c r="Q414" s="46"/>
    </row>
    <row r="415" spans="2:17">
      <c r="B415" s="46"/>
      <c r="C415" s="46"/>
      <c r="D415" s="46"/>
      <c r="E415" s="46"/>
      <c r="F415" s="46"/>
      <c r="G415" s="46"/>
      <c r="H415" s="352"/>
      <c r="I415" s="46"/>
      <c r="J415" s="46"/>
      <c r="K415" s="46"/>
      <c r="L415" s="46"/>
      <c r="M415" s="46"/>
      <c r="N415" s="46"/>
      <c r="O415" s="46"/>
      <c r="P415" s="46"/>
      <c r="Q415" s="46"/>
    </row>
    <row r="416" spans="2:17">
      <c r="B416" s="46"/>
      <c r="C416" s="46"/>
      <c r="D416" s="46"/>
      <c r="E416" s="46"/>
      <c r="F416" s="46"/>
      <c r="G416" s="46"/>
      <c r="H416" s="352"/>
      <c r="I416" s="46"/>
      <c r="J416" s="46"/>
      <c r="K416" s="46"/>
      <c r="L416" s="46"/>
      <c r="M416" s="46"/>
      <c r="N416" s="46"/>
      <c r="O416" s="46"/>
      <c r="P416" s="46"/>
      <c r="Q416" s="46"/>
    </row>
    <row r="417" spans="2:17">
      <c r="B417" s="46"/>
      <c r="C417" s="46"/>
      <c r="D417" s="46"/>
      <c r="E417" s="46"/>
      <c r="F417" s="46"/>
      <c r="G417" s="46"/>
      <c r="H417" s="352"/>
      <c r="I417" s="46"/>
      <c r="J417" s="46"/>
      <c r="K417" s="46"/>
      <c r="L417" s="46"/>
      <c r="M417" s="46"/>
      <c r="N417" s="46"/>
      <c r="O417" s="46"/>
      <c r="P417" s="46"/>
      <c r="Q417" s="46"/>
    </row>
    <row r="418" spans="2:17">
      <c r="B418" s="46"/>
      <c r="C418" s="46"/>
      <c r="D418" s="46"/>
      <c r="E418" s="46"/>
      <c r="F418" s="46"/>
      <c r="G418" s="46"/>
      <c r="H418" s="352"/>
      <c r="I418" s="46"/>
      <c r="J418" s="46"/>
      <c r="K418" s="46"/>
      <c r="L418" s="46"/>
      <c r="M418" s="46"/>
      <c r="N418" s="46"/>
      <c r="O418" s="46"/>
      <c r="P418" s="46"/>
      <c r="Q418" s="46"/>
    </row>
    <row r="419" spans="2:17">
      <c r="B419" s="46"/>
      <c r="C419" s="46"/>
      <c r="D419" s="46"/>
      <c r="E419" s="46"/>
      <c r="F419" s="46"/>
      <c r="G419" s="46"/>
      <c r="H419" s="352"/>
      <c r="I419" s="46"/>
      <c r="J419" s="46"/>
      <c r="K419" s="46"/>
      <c r="L419" s="46"/>
      <c r="M419" s="46"/>
      <c r="N419" s="46"/>
      <c r="O419" s="46"/>
      <c r="P419" s="46"/>
      <c r="Q419" s="46"/>
    </row>
    <row r="420" spans="2:17">
      <c r="B420" s="46"/>
      <c r="C420" s="46"/>
      <c r="D420" s="46"/>
      <c r="E420" s="46"/>
      <c r="F420" s="46"/>
      <c r="G420" s="46"/>
      <c r="H420" s="352"/>
      <c r="I420" s="46"/>
      <c r="J420" s="46"/>
      <c r="K420" s="46"/>
      <c r="L420" s="46"/>
      <c r="M420" s="46"/>
      <c r="N420" s="46"/>
      <c r="O420" s="46"/>
      <c r="P420" s="46"/>
      <c r="Q420" s="46"/>
    </row>
    <row r="421" spans="2:17">
      <c r="B421" s="46"/>
      <c r="C421" s="46"/>
      <c r="D421" s="46"/>
      <c r="E421" s="46"/>
      <c r="F421" s="46"/>
      <c r="G421" s="46"/>
      <c r="H421" s="352"/>
      <c r="I421" s="46"/>
      <c r="J421" s="46"/>
      <c r="K421" s="46"/>
      <c r="L421" s="46"/>
      <c r="M421" s="46"/>
      <c r="N421" s="46"/>
      <c r="O421" s="46"/>
      <c r="P421" s="46"/>
      <c r="Q421" s="46"/>
    </row>
    <row r="422" spans="2:17">
      <c r="B422" s="46"/>
      <c r="C422" s="46"/>
      <c r="D422" s="46"/>
      <c r="E422" s="46"/>
      <c r="F422" s="46"/>
      <c r="G422" s="46"/>
      <c r="H422" s="352"/>
      <c r="I422" s="46"/>
      <c r="J422" s="46"/>
      <c r="K422" s="46"/>
      <c r="L422" s="46"/>
      <c r="M422" s="46"/>
      <c r="N422" s="46"/>
      <c r="O422" s="46"/>
      <c r="P422" s="46"/>
      <c r="Q422" s="46"/>
    </row>
    <row r="423" spans="2:17">
      <c r="B423" s="46"/>
      <c r="C423" s="46"/>
      <c r="D423" s="46"/>
      <c r="E423" s="46"/>
      <c r="F423" s="46"/>
      <c r="G423" s="46"/>
      <c r="H423" s="352"/>
      <c r="I423" s="46"/>
      <c r="J423" s="46"/>
      <c r="K423" s="46"/>
      <c r="L423" s="46"/>
      <c r="M423" s="46"/>
      <c r="N423" s="46"/>
      <c r="O423" s="46"/>
      <c r="P423" s="46"/>
      <c r="Q423" s="46"/>
    </row>
    <row r="424" spans="2:17">
      <c r="B424" s="46"/>
      <c r="C424" s="46"/>
      <c r="D424" s="46"/>
      <c r="E424" s="46"/>
      <c r="F424" s="46"/>
      <c r="G424" s="46"/>
      <c r="H424" s="352"/>
      <c r="I424" s="46"/>
      <c r="J424" s="46"/>
      <c r="K424" s="46"/>
      <c r="L424" s="46"/>
      <c r="M424" s="46"/>
      <c r="N424" s="46"/>
      <c r="O424" s="46"/>
      <c r="P424" s="46"/>
      <c r="Q424" s="46"/>
    </row>
    <row r="425" spans="2:17">
      <c r="B425" s="46"/>
      <c r="C425" s="46"/>
      <c r="D425" s="46"/>
      <c r="E425" s="46"/>
      <c r="F425" s="46"/>
      <c r="G425" s="46"/>
      <c r="H425" s="352"/>
      <c r="I425" s="46"/>
      <c r="J425" s="46"/>
      <c r="K425" s="46"/>
      <c r="L425" s="46"/>
      <c r="M425" s="46"/>
      <c r="N425" s="46"/>
      <c r="O425" s="46"/>
      <c r="P425" s="46"/>
      <c r="Q425" s="46"/>
    </row>
    <row r="426" spans="2:17">
      <c r="B426" s="46"/>
      <c r="C426" s="46"/>
      <c r="D426" s="46"/>
      <c r="E426" s="46"/>
      <c r="F426" s="46"/>
      <c r="G426" s="46"/>
      <c r="H426" s="352"/>
      <c r="I426" s="46"/>
      <c r="J426" s="46"/>
      <c r="K426" s="46"/>
      <c r="L426" s="46"/>
      <c r="M426" s="46"/>
      <c r="N426" s="46"/>
      <c r="O426" s="46"/>
      <c r="P426" s="46"/>
      <c r="Q426" s="46"/>
    </row>
    <row r="427" spans="2:17">
      <c r="B427" s="46"/>
      <c r="C427" s="46"/>
      <c r="D427" s="46"/>
      <c r="E427" s="46"/>
      <c r="F427" s="46"/>
      <c r="G427" s="46"/>
      <c r="H427" s="352"/>
      <c r="I427" s="46"/>
      <c r="J427" s="46"/>
      <c r="K427" s="46"/>
      <c r="L427" s="46"/>
      <c r="M427" s="46"/>
      <c r="N427" s="46"/>
      <c r="O427" s="46"/>
      <c r="P427" s="46"/>
      <c r="Q427" s="46"/>
    </row>
    <row r="428" spans="2:17">
      <c r="B428" s="46"/>
      <c r="C428" s="46"/>
      <c r="D428" s="46"/>
      <c r="E428" s="46"/>
      <c r="F428" s="46"/>
      <c r="G428" s="46"/>
      <c r="H428" s="352"/>
      <c r="I428" s="46"/>
      <c r="J428" s="46"/>
      <c r="K428" s="46"/>
      <c r="L428" s="46"/>
      <c r="M428" s="46"/>
      <c r="N428" s="46"/>
      <c r="O428" s="46"/>
      <c r="P428" s="46"/>
      <c r="Q428" s="46"/>
    </row>
    <row r="429" spans="2:17">
      <c r="B429" s="46"/>
      <c r="C429" s="46"/>
      <c r="D429" s="46"/>
      <c r="E429" s="46"/>
      <c r="F429" s="46"/>
      <c r="G429" s="46"/>
      <c r="H429" s="352"/>
      <c r="I429" s="46"/>
      <c r="J429" s="46"/>
      <c r="K429" s="46"/>
      <c r="L429" s="46"/>
      <c r="M429" s="46"/>
      <c r="N429" s="46"/>
      <c r="O429" s="46"/>
      <c r="P429" s="46"/>
      <c r="Q429" s="46"/>
    </row>
    <row r="430" spans="2:17">
      <c r="B430" s="46"/>
      <c r="C430" s="46"/>
      <c r="D430" s="46"/>
      <c r="E430" s="46"/>
      <c r="F430" s="46"/>
      <c r="G430" s="46"/>
      <c r="H430" s="352"/>
      <c r="I430" s="46"/>
      <c r="J430" s="46"/>
      <c r="K430" s="46"/>
      <c r="L430" s="46"/>
      <c r="M430" s="46"/>
      <c r="N430" s="46"/>
      <c r="O430" s="46"/>
      <c r="P430" s="46"/>
      <c r="Q430" s="46"/>
    </row>
    <row r="431" spans="2:17">
      <c r="B431" s="46"/>
      <c r="C431" s="46"/>
      <c r="D431" s="46"/>
      <c r="E431" s="46"/>
      <c r="F431" s="46"/>
      <c r="G431" s="46"/>
      <c r="H431" s="352"/>
      <c r="I431" s="46"/>
      <c r="J431" s="46"/>
      <c r="K431" s="46"/>
      <c r="L431" s="46"/>
      <c r="M431" s="46"/>
      <c r="N431" s="46"/>
      <c r="O431" s="46"/>
      <c r="P431" s="46"/>
      <c r="Q431" s="46"/>
    </row>
    <row r="432" spans="2:17">
      <c r="B432" s="46"/>
      <c r="C432" s="46"/>
      <c r="D432" s="46"/>
      <c r="E432" s="46"/>
      <c r="F432" s="46"/>
      <c r="G432" s="46"/>
      <c r="H432" s="352"/>
      <c r="I432" s="46"/>
      <c r="J432" s="46"/>
      <c r="K432" s="46"/>
      <c r="L432" s="46"/>
      <c r="M432" s="46"/>
      <c r="N432" s="46"/>
      <c r="O432" s="46"/>
      <c r="P432" s="46"/>
      <c r="Q432" s="46"/>
    </row>
    <row r="433" spans="2:17">
      <c r="B433" s="46"/>
      <c r="C433" s="46"/>
      <c r="D433" s="46"/>
      <c r="E433" s="46"/>
      <c r="F433" s="46"/>
      <c r="G433" s="46"/>
      <c r="H433" s="352"/>
      <c r="I433" s="46"/>
      <c r="J433" s="46"/>
      <c r="K433" s="46"/>
      <c r="L433" s="46"/>
      <c r="M433" s="46"/>
      <c r="N433" s="46"/>
      <c r="O433" s="46"/>
      <c r="P433" s="46"/>
      <c r="Q433" s="46"/>
    </row>
    <row r="434" spans="2:17">
      <c r="B434" s="46"/>
      <c r="C434" s="46"/>
      <c r="D434" s="46"/>
      <c r="E434" s="46"/>
      <c r="F434" s="46"/>
      <c r="G434" s="46"/>
      <c r="H434" s="352"/>
      <c r="I434" s="46"/>
      <c r="J434" s="46"/>
      <c r="K434" s="46"/>
      <c r="L434" s="46"/>
      <c r="M434" s="46"/>
      <c r="N434" s="46"/>
      <c r="O434" s="46"/>
      <c r="P434" s="46"/>
      <c r="Q434" s="46"/>
    </row>
    <row r="435" spans="2:17">
      <c r="B435" s="46"/>
      <c r="C435" s="46"/>
      <c r="D435" s="46"/>
      <c r="E435" s="46"/>
      <c r="F435" s="46"/>
      <c r="G435" s="46"/>
      <c r="H435" s="352"/>
      <c r="I435" s="46"/>
      <c r="J435" s="46"/>
      <c r="K435" s="46"/>
      <c r="L435" s="46"/>
      <c r="M435" s="46"/>
      <c r="N435" s="46"/>
      <c r="O435" s="46"/>
      <c r="P435" s="46"/>
      <c r="Q435" s="46"/>
    </row>
    <row r="436" spans="2:17">
      <c r="B436" s="46"/>
      <c r="C436" s="46"/>
      <c r="D436" s="46"/>
      <c r="E436" s="46"/>
      <c r="F436" s="46"/>
      <c r="G436" s="46"/>
      <c r="H436" s="352"/>
      <c r="I436" s="46"/>
      <c r="J436" s="46"/>
      <c r="K436" s="46"/>
      <c r="L436" s="46"/>
      <c r="M436" s="46"/>
      <c r="N436" s="46"/>
      <c r="O436" s="46"/>
      <c r="P436" s="46"/>
      <c r="Q436" s="46"/>
    </row>
    <row r="437" spans="2:17">
      <c r="B437" s="46"/>
      <c r="C437" s="46"/>
      <c r="D437" s="46"/>
      <c r="E437" s="46"/>
      <c r="F437" s="46"/>
      <c r="G437" s="46"/>
      <c r="H437" s="352"/>
      <c r="I437" s="46"/>
      <c r="J437" s="46"/>
      <c r="K437" s="46"/>
      <c r="L437" s="46"/>
      <c r="M437" s="46"/>
      <c r="N437" s="46"/>
      <c r="O437" s="46"/>
      <c r="P437" s="46"/>
      <c r="Q437" s="46"/>
    </row>
    <row r="438" spans="2:17">
      <c r="B438" s="46"/>
      <c r="C438" s="46"/>
      <c r="D438" s="46"/>
      <c r="E438" s="46"/>
      <c r="F438" s="46"/>
      <c r="G438" s="46"/>
      <c r="H438" s="352"/>
      <c r="I438" s="46"/>
      <c r="J438" s="46"/>
      <c r="K438" s="46"/>
      <c r="L438" s="46"/>
      <c r="M438" s="46"/>
      <c r="N438" s="46"/>
      <c r="O438" s="46"/>
      <c r="P438" s="46"/>
      <c r="Q438" s="46"/>
    </row>
    <row r="439" spans="2:17">
      <c r="B439" s="46"/>
      <c r="C439" s="46"/>
      <c r="D439" s="46"/>
      <c r="E439" s="46"/>
      <c r="F439" s="46"/>
      <c r="G439" s="46"/>
      <c r="H439" s="352"/>
      <c r="I439" s="46"/>
      <c r="J439" s="46"/>
      <c r="K439" s="46"/>
      <c r="L439" s="46"/>
      <c r="M439" s="46"/>
      <c r="N439" s="46"/>
      <c r="O439" s="46"/>
      <c r="P439" s="46"/>
      <c r="Q439" s="46"/>
    </row>
    <row r="440" spans="2:17">
      <c r="B440" s="46"/>
      <c r="C440" s="46"/>
      <c r="D440" s="46"/>
      <c r="E440" s="46"/>
      <c r="F440" s="46"/>
      <c r="G440" s="46"/>
      <c r="H440" s="352"/>
      <c r="I440" s="46"/>
      <c r="J440" s="46"/>
      <c r="K440" s="46"/>
      <c r="L440" s="46"/>
      <c r="M440" s="46"/>
      <c r="N440" s="46"/>
      <c r="O440" s="46"/>
      <c r="P440" s="46"/>
      <c r="Q440" s="46"/>
    </row>
    <row r="441" spans="2:17">
      <c r="B441" s="46"/>
      <c r="C441" s="46"/>
      <c r="D441" s="46"/>
      <c r="E441" s="46"/>
      <c r="F441" s="46"/>
      <c r="G441" s="46"/>
      <c r="H441" s="352"/>
      <c r="I441" s="46"/>
      <c r="J441" s="46"/>
      <c r="K441" s="46"/>
      <c r="L441" s="46"/>
      <c r="M441" s="46"/>
      <c r="N441" s="46"/>
      <c r="O441" s="46"/>
      <c r="P441" s="46"/>
      <c r="Q441" s="46"/>
    </row>
    <row r="442" spans="2:17">
      <c r="B442" s="46"/>
      <c r="C442" s="46"/>
      <c r="D442" s="46"/>
      <c r="E442" s="46"/>
      <c r="F442" s="46"/>
      <c r="G442" s="46"/>
      <c r="H442" s="352"/>
      <c r="I442" s="46"/>
      <c r="J442" s="46"/>
      <c r="K442" s="46"/>
      <c r="L442" s="46"/>
      <c r="M442" s="46"/>
      <c r="N442" s="46"/>
      <c r="O442" s="46"/>
      <c r="P442" s="46"/>
      <c r="Q442" s="46"/>
    </row>
    <row r="443" spans="2:17">
      <c r="B443" s="46"/>
      <c r="C443" s="46"/>
      <c r="D443" s="46"/>
      <c r="E443" s="46"/>
      <c r="F443" s="46"/>
      <c r="G443" s="46"/>
      <c r="H443" s="352"/>
      <c r="I443" s="46"/>
      <c r="J443" s="46"/>
      <c r="K443" s="46"/>
      <c r="L443" s="46"/>
      <c r="M443" s="46"/>
      <c r="N443" s="46"/>
      <c r="O443" s="46"/>
      <c r="P443" s="46"/>
      <c r="Q443" s="46"/>
    </row>
    <row r="444" spans="2:17">
      <c r="B444" s="46"/>
      <c r="C444" s="46"/>
      <c r="D444" s="46"/>
      <c r="E444" s="46"/>
      <c r="F444" s="46"/>
      <c r="G444" s="46"/>
      <c r="H444" s="352"/>
      <c r="I444" s="46"/>
      <c r="J444" s="46"/>
      <c r="K444" s="46"/>
      <c r="L444" s="46"/>
      <c r="M444" s="46"/>
      <c r="N444" s="46"/>
      <c r="O444" s="46"/>
      <c r="P444" s="46"/>
      <c r="Q444" s="46"/>
    </row>
    <row r="445" spans="2:17">
      <c r="B445" s="46"/>
      <c r="C445" s="46"/>
      <c r="D445" s="46"/>
      <c r="E445" s="46"/>
      <c r="F445" s="46"/>
      <c r="G445" s="46"/>
      <c r="H445" s="352"/>
      <c r="I445" s="46"/>
      <c r="J445" s="46"/>
      <c r="K445" s="46"/>
      <c r="L445" s="46"/>
      <c r="M445" s="46"/>
      <c r="N445" s="46"/>
      <c r="O445" s="46"/>
      <c r="P445" s="46"/>
      <c r="Q445" s="46"/>
    </row>
    <row r="446" spans="2:17">
      <c r="B446" s="46"/>
      <c r="C446" s="46"/>
      <c r="D446" s="46"/>
      <c r="E446" s="46"/>
      <c r="F446" s="46"/>
      <c r="G446" s="46"/>
      <c r="H446" s="352"/>
      <c r="I446" s="46"/>
      <c r="J446" s="46"/>
      <c r="K446" s="46"/>
      <c r="L446" s="46"/>
      <c r="M446" s="46"/>
      <c r="N446" s="46"/>
      <c r="O446" s="46"/>
      <c r="P446" s="46"/>
      <c r="Q446" s="46"/>
    </row>
    <row r="447" spans="2:17">
      <c r="B447" s="46"/>
      <c r="C447" s="46"/>
      <c r="D447" s="46"/>
      <c r="E447" s="46"/>
      <c r="F447" s="46"/>
      <c r="G447" s="46"/>
      <c r="H447" s="352"/>
      <c r="I447" s="46"/>
      <c r="J447" s="46"/>
      <c r="K447" s="46"/>
      <c r="L447" s="46"/>
      <c r="M447" s="46"/>
      <c r="N447" s="46"/>
      <c r="O447" s="46"/>
      <c r="P447" s="46"/>
      <c r="Q447" s="46"/>
    </row>
    <row r="448" spans="2:17">
      <c r="B448" s="46"/>
      <c r="C448" s="46"/>
      <c r="D448" s="46"/>
      <c r="E448" s="46"/>
      <c r="F448" s="46"/>
      <c r="G448" s="46"/>
      <c r="H448" s="352"/>
      <c r="I448" s="46"/>
      <c r="J448" s="46"/>
      <c r="K448" s="46"/>
      <c r="L448" s="46"/>
      <c r="M448" s="46"/>
      <c r="N448" s="46"/>
      <c r="O448" s="46"/>
      <c r="P448" s="46"/>
      <c r="Q448" s="46"/>
    </row>
    <row r="449" spans="2:17">
      <c r="B449" s="46"/>
      <c r="C449" s="46"/>
      <c r="D449" s="46"/>
      <c r="E449" s="46"/>
      <c r="F449" s="46"/>
      <c r="G449" s="46"/>
      <c r="H449" s="352"/>
      <c r="I449" s="46"/>
      <c r="J449" s="46"/>
      <c r="K449" s="46"/>
      <c r="L449" s="46"/>
      <c r="M449" s="46"/>
      <c r="N449" s="46"/>
      <c r="O449" s="46"/>
      <c r="P449" s="46"/>
      <c r="Q449" s="46"/>
    </row>
    <row r="450" spans="2:17">
      <c r="B450" s="46"/>
      <c r="C450" s="46"/>
      <c r="D450" s="46"/>
      <c r="E450" s="46"/>
      <c r="F450" s="46"/>
      <c r="G450" s="46"/>
      <c r="H450" s="352"/>
      <c r="I450" s="46"/>
      <c r="J450" s="46"/>
      <c r="K450" s="46"/>
      <c r="L450" s="46"/>
      <c r="M450" s="46"/>
      <c r="N450" s="46"/>
      <c r="O450" s="46"/>
      <c r="P450" s="46"/>
      <c r="Q450" s="46"/>
    </row>
    <row r="451" spans="2:17">
      <c r="B451" s="46"/>
      <c r="C451" s="46"/>
      <c r="D451" s="46"/>
      <c r="E451" s="46"/>
      <c r="F451" s="46"/>
      <c r="G451" s="46"/>
      <c r="H451" s="352"/>
      <c r="I451" s="46"/>
      <c r="J451" s="46"/>
      <c r="K451" s="46"/>
      <c r="L451" s="46"/>
      <c r="M451" s="46"/>
      <c r="N451" s="46"/>
      <c r="O451" s="46"/>
      <c r="P451" s="46"/>
      <c r="Q451" s="46"/>
    </row>
    <row r="452" spans="2:17">
      <c r="B452" s="46"/>
      <c r="C452" s="46"/>
      <c r="D452" s="46"/>
      <c r="E452" s="46"/>
      <c r="F452" s="46"/>
      <c r="G452" s="46"/>
      <c r="H452" s="352"/>
      <c r="I452" s="46"/>
      <c r="J452" s="46"/>
      <c r="K452" s="46"/>
      <c r="L452" s="46"/>
      <c r="M452" s="46"/>
      <c r="N452" s="46"/>
      <c r="O452" s="46"/>
      <c r="P452" s="46"/>
      <c r="Q452" s="46"/>
    </row>
    <row r="453" spans="2:17">
      <c r="B453" s="46"/>
      <c r="C453" s="46"/>
      <c r="D453" s="46"/>
      <c r="E453" s="46"/>
      <c r="F453" s="46"/>
      <c r="G453" s="46"/>
      <c r="H453" s="352"/>
      <c r="I453" s="46"/>
      <c r="J453" s="46"/>
      <c r="K453" s="46"/>
      <c r="L453" s="46"/>
      <c r="M453" s="46"/>
      <c r="N453" s="46"/>
      <c r="O453" s="46"/>
      <c r="P453" s="46"/>
      <c r="Q453" s="46"/>
    </row>
    <row r="454" spans="2:17">
      <c r="B454" s="46"/>
      <c r="C454" s="46"/>
      <c r="D454" s="46"/>
      <c r="E454" s="46"/>
      <c r="F454" s="46"/>
      <c r="G454" s="46"/>
      <c r="H454" s="352"/>
      <c r="I454" s="46"/>
      <c r="J454" s="46"/>
      <c r="K454" s="46"/>
      <c r="L454" s="46"/>
      <c r="M454" s="46"/>
      <c r="N454" s="46"/>
      <c r="O454" s="46"/>
      <c r="P454" s="46"/>
      <c r="Q454" s="46"/>
    </row>
    <row r="455" spans="2:17">
      <c r="B455" s="46"/>
      <c r="C455" s="46"/>
      <c r="D455" s="46"/>
      <c r="E455" s="46"/>
      <c r="F455" s="46"/>
      <c r="G455" s="46"/>
      <c r="H455" s="352"/>
      <c r="I455" s="46"/>
      <c r="J455" s="46"/>
      <c r="K455" s="46"/>
      <c r="L455" s="46"/>
      <c r="M455" s="46"/>
      <c r="N455" s="46"/>
      <c r="O455" s="46"/>
      <c r="P455" s="46"/>
      <c r="Q455" s="46"/>
    </row>
    <row r="456" spans="2:17">
      <c r="B456" s="46"/>
      <c r="C456" s="46"/>
      <c r="D456" s="46"/>
      <c r="E456" s="46"/>
      <c r="F456" s="46"/>
      <c r="G456" s="46"/>
      <c r="H456" s="352"/>
      <c r="I456" s="46"/>
      <c r="J456" s="46"/>
      <c r="K456" s="46"/>
      <c r="L456" s="46"/>
      <c r="M456" s="46"/>
      <c r="N456" s="46"/>
      <c r="O456" s="46"/>
      <c r="P456" s="46"/>
      <c r="Q456" s="46"/>
    </row>
    <row r="457" spans="2:17">
      <c r="B457" s="46"/>
      <c r="C457" s="46"/>
      <c r="D457" s="46"/>
      <c r="E457" s="46"/>
      <c r="F457" s="46"/>
      <c r="G457" s="46"/>
      <c r="H457" s="352"/>
      <c r="I457" s="46"/>
      <c r="J457" s="46"/>
      <c r="K457" s="46"/>
      <c r="L457" s="46"/>
      <c r="M457" s="46"/>
      <c r="N457" s="46"/>
      <c r="O457" s="46"/>
      <c r="P457" s="46"/>
      <c r="Q457" s="46"/>
    </row>
    <row r="458" spans="2:17">
      <c r="B458" s="46"/>
      <c r="C458" s="46"/>
      <c r="D458" s="46"/>
      <c r="E458" s="46"/>
      <c r="F458" s="46"/>
      <c r="G458" s="46"/>
      <c r="H458" s="352"/>
      <c r="I458" s="46"/>
      <c r="J458" s="46"/>
      <c r="K458" s="46"/>
      <c r="L458" s="46"/>
      <c r="M458" s="46"/>
      <c r="N458" s="46"/>
      <c r="O458" s="46"/>
      <c r="P458" s="46"/>
      <c r="Q458" s="46"/>
    </row>
    <row r="459" spans="2:17">
      <c r="B459" s="46"/>
      <c r="C459" s="46"/>
      <c r="D459" s="46"/>
      <c r="E459" s="46"/>
      <c r="F459" s="46"/>
      <c r="G459" s="46"/>
      <c r="H459" s="352"/>
      <c r="I459" s="46"/>
      <c r="J459" s="46"/>
      <c r="K459" s="46"/>
      <c r="L459" s="46"/>
      <c r="M459" s="46"/>
      <c r="N459" s="46"/>
      <c r="O459" s="46"/>
      <c r="P459" s="46"/>
      <c r="Q459" s="46"/>
    </row>
    <row r="460" spans="2:17">
      <c r="B460" s="46"/>
      <c r="C460" s="46"/>
      <c r="D460" s="46"/>
      <c r="E460" s="46"/>
      <c r="F460" s="46"/>
      <c r="G460" s="46"/>
      <c r="H460" s="352"/>
      <c r="I460" s="46"/>
      <c r="J460" s="46"/>
      <c r="K460" s="46"/>
      <c r="L460" s="46"/>
      <c r="M460" s="46"/>
      <c r="N460" s="46"/>
      <c r="O460" s="46"/>
      <c r="P460" s="46"/>
      <c r="Q460" s="46"/>
    </row>
    <row r="461" spans="2:17">
      <c r="B461" s="46"/>
      <c r="C461" s="46"/>
      <c r="D461" s="46"/>
      <c r="E461" s="46"/>
      <c r="F461" s="46"/>
      <c r="G461" s="46"/>
      <c r="H461" s="352"/>
      <c r="I461" s="46"/>
      <c r="J461" s="46"/>
      <c r="K461" s="46"/>
      <c r="L461" s="46"/>
      <c r="M461" s="46"/>
      <c r="N461" s="46"/>
      <c r="O461" s="46"/>
      <c r="P461" s="46"/>
      <c r="Q461" s="46"/>
    </row>
    <row r="462" spans="2:17">
      <c r="B462" s="46"/>
      <c r="C462" s="46"/>
      <c r="D462" s="46"/>
      <c r="E462" s="46"/>
      <c r="F462" s="46"/>
      <c r="G462" s="46"/>
      <c r="H462" s="352"/>
      <c r="I462" s="46"/>
      <c r="J462" s="46"/>
      <c r="K462" s="46"/>
      <c r="L462" s="46"/>
      <c r="M462" s="46"/>
      <c r="N462" s="46"/>
      <c r="O462" s="46"/>
      <c r="P462" s="46"/>
      <c r="Q462" s="46"/>
    </row>
    <row r="463" spans="2:17">
      <c r="B463" s="46"/>
      <c r="C463" s="46"/>
      <c r="D463" s="46"/>
      <c r="E463" s="46"/>
      <c r="F463" s="46"/>
      <c r="G463" s="46"/>
      <c r="H463" s="352"/>
      <c r="I463" s="46"/>
      <c r="J463" s="46"/>
      <c r="K463" s="46"/>
      <c r="L463" s="46"/>
      <c r="M463" s="46"/>
      <c r="N463" s="46"/>
      <c r="O463" s="46"/>
      <c r="P463" s="46"/>
      <c r="Q463" s="46"/>
    </row>
    <row r="464" spans="2:17">
      <c r="B464" s="46"/>
      <c r="C464" s="46"/>
      <c r="D464" s="46"/>
      <c r="E464" s="46"/>
      <c r="F464" s="46"/>
      <c r="G464" s="46"/>
      <c r="H464" s="352"/>
      <c r="I464" s="46"/>
      <c r="J464" s="46"/>
      <c r="K464" s="46"/>
      <c r="L464" s="46"/>
      <c r="M464" s="46"/>
      <c r="N464" s="46"/>
      <c r="O464" s="46"/>
      <c r="P464" s="46"/>
      <c r="Q464" s="46"/>
    </row>
    <row r="465" spans="2:17">
      <c r="B465" s="46"/>
      <c r="C465" s="46"/>
      <c r="D465" s="46"/>
      <c r="E465" s="46"/>
      <c r="F465" s="46"/>
      <c r="G465" s="46"/>
      <c r="H465" s="352"/>
      <c r="I465" s="46"/>
      <c r="J465" s="46"/>
      <c r="K465" s="46"/>
      <c r="L465" s="46"/>
      <c r="M465" s="46"/>
      <c r="N465" s="46"/>
      <c r="O465" s="46"/>
      <c r="P465" s="46"/>
      <c r="Q465" s="46"/>
    </row>
    <row r="466" spans="2:17">
      <c r="B466" s="46"/>
      <c r="C466" s="46"/>
      <c r="D466" s="46"/>
      <c r="E466" s="46"/>
      <c r="F466" s="46"/>
      <c r="G466" s="46"/>
      <c r="H466" s="352"/>
      <c r="I466" s="46"/>
      <c r="J466" s="46"/>
      <c r="K466" s="46"/>
      <c r="L466" s="46"/>
      <c r="M466" s="46"/>
      <c r="N466" s="46"/>
      <c r="O466" s="46"/>
      <c r="P466" s="46"/>
      <c r="Q466" s="46"/>
    </row>
    <row r="467" spans="2:17">
      <c r="B467" s="46"/>
      <c r="C467" s="46"/>
      <c r="D467" s="46"/>
      <c r="E467" s="46"/>
      <c r="F467" s="46"/>
      <c r="G467" s="46"/>
      <c r="H467" s="352"/>
      <c r="I467" s="46"/>
      <c r="J467" s="46"/>
      <c r="K467" s="46"/>
      <c r="L467" s="46"/>
      <c r="M467" s="46"/>
      <c r="N467" s="46"/>
      <c r="O467" s="46"/>
      <c r="P467" s="46"/>
      <c r="Q467" s="46"/>
    </row>
    <row r="468" spans="2:17">
      <c r="B468" s="46"/>
      <c r="C468" s="46"/>
      <c r="D468" s="46"/>
      <c r="E468" s="46"/>
      <c r="F468" s="46"/>
      <c r="G468" s="46"/>
      <c r="H468" s="352"/>
      <c r="I468" s="46"/>
      <c r="J468" s="46"/>
      <c r="K468" s="46"/>
      <c r="L468" s="46"/>
      <c r="M468" s="46"/>
      <c r="N468" s="46"/>
      <c r="O468" s="46"/>
      <c r="P468" s="46"/>
      <c r="Q468" s="46"/>
    </row>
    <row r="469" spans="2:17">
      <c r="B469" s="46"/>
      <c r="C469" s="46"/>
      <c r="D469" s="46"/>
      <c r="E469" s="46"/>
      <c r="F469" s="46"/>
      <c r="G469" s="46"/>
      <c r="H469" s="352"/>
      <c r="I469" s="46"/>
      <c r="J469" s="46"/>
      <c r="K469" s="46"/>
      <c r="L469" s="46"/>
      <c r="M469" s="46"/>
      <c r="N469" s="46"/>
      <c r="O469" s="46"/>
      <c r="P469" s="46"/>
      <c r="Q469" s="46"/>
    </row>
    <row r="470" spans="2:17">
      <c r="B470" s="46"/>
      <c r="C470" s="46"/>
      <c r="D470" s="46"/>
      <c r="E470" s="46"/>
      <c r="F470" s="46"/>
      <c r="G470" s="46"/>
      <c r="H470" s="352"/>
      <c r="I470" s="46"/>
      <c r="J470" s="46"/>
      <c r="K470" s="46"/>
      <c r="L470" s="46"/>
      <c r="M470" s="46"/>
      <c r="N470" s="46"/>
      <c r="O470" s="46"/>
      <c r="P470" s="46"/>
      <c r="Q470" s="46"/>
    </row>
    <row r="471" spans="2:17">
      <c r="B471" s="46"/>
      <c r="C471" s="46"/>
      <c r="D471" s="46"/>
      <c r="E471" s="46"/>
      <c r="F471" s="46"/>
      <c r="G471" s="46"/>
      <c r="H471" s="352"/>
      <c r="I471" s="46"/>
      <c r="J471" s="46"/>
      <c r="K471" s="46"/>
      <c r="L471" s="46"/>
      <c r="M471" s="46"/>
      <c r="N471" s="46"/>
      <c r="O471" s="46"/>
      <c r="P471" s="46"/>
      <c r="Q471" s="46"/>
    </row>
    <row r="472" spans="2:17">
      <c r="B472" s="46"/>
      <c r="C472" s="46"/>
      <c r="D472" s="46"/>
      <c r="E472" s="46"/>
      <c r="F472" s="46"/>
      <c r="G472" s="46"/>
      <c r="H472" s="352"/>
      <c r="I472" s="46"/>
      <c r="J472" s="46"/>
      <c r="K472" s="46"/>
      <c r="L472" s="46"/>
      <c r="M472" s="46"/>
      <c r="N472" s="46"/>
      <c r="O472" s="46"/>
      <c r="P472" s="46"/>
      <c r="Q472" s="46"/>
    </row>
    <row r="473" spans="2:17">
      <c r="B473" s="46"/>
      <c r="C473" s="46"/>
      <c r="D473" s="46"/>
      <c r="E473" s="46"/>
      <c r="F473" s="46"/>
      <c r="G473" s="46"/>
      <c r="H473" s="352"/>
      <c r="I473" s="46"/>
      <c r="J473" s="46"/>
      <c r="K473" s="46"/>
      <c r="L473" s="46"/>
      <c r="M473" s="46"/>
      <c r="N473" s="46"/>
      <c r="O473" s="46"/>
      <c r="P473" s="46"/>
      <c r="Q473" s="46"/>
    </row>
    <row r="474" spans="2:17">
      <c r="B474" s="46"/>
      <c r="C474" s="46"/>
      <c r="D474" s="46"/>
      <c r="E474" s="46"/>
      <c r="F474" s="46"/>
      <c r="G474" s="46"/>
      <c r="H474" s="352"/>
      <c r="I474" s="46"/>
      <c r="J474" s="46"/>
      <c r="K474" s="46"/>
      <c r="L474" s="46"/>
      <c r="M474" s="46"/>
      <c r="N474" s="46"/>
      <c r="O474" s="46"/>
      <c r="P474" s="46"/>
      <c r="Q474" s="46"/>
    </row>
    <row r="475" spans="2:17">
      <c r="B475" s="46"/>
      <c r="C475" s="46"/>
      <c r="D475" s="46"/>
      <c r="E475" s="46"/>
      <c r="F475" s="46"/>
      <c r="G475" s="46"/>
      <c r="H475" s="352"/>
      <c r="I475" s="46"/>
      <c r="J475" s="46"/>
      <c r="K475" s="46"/>
      <c r="L475" s="46"/>
      <c r="M475" s="46"/>
      <c r="N475" s="46"/>
      <c r="O475" s="46"/>
      <c r="P475" s="46"/>
      <c r="Q475" s="46"/>
    </row>
    <row r="476" spans="2:17">
      <c r="B476" s="46"/>
      <c r="C476" s="46"/>
      <c r="D476" s="46"/>
      <c r="E476" s="46"/>
      <c r="F476" s="46"/>
      <c r="G476" s="46"/>
      <c r="H476" s="352"/>
      <c r="I476" s="46"/>
      <c r="J476" s="46"/>
      <c r="K476" s="46"/>
      <c r="L476" s="46"/>
      <c r="M476" s="46"/>
      <c r="N476" s="46"/>
      <c r="O476" s="46"/>
      <c r="P476" s="46"/>
      <c r="Q476" s="46"/>
    </row>
    <row r="477" spans="2:17">
      <c r="B477" s="46"/>
      <c r="C477" s="46"/>
      <c r="D477" s="46"/>
      <c r="E477" s="46"/>
      <c r="F477" s="46"/>
      <c r="G477" s="46"/>
      <c r="H477" s="352"/>
      <c r="I477" s="46"/>
      <c r="J477" s="46"/>
      <c r="K477" s="46"/>
      <c r="L477" s="46"/>
      <c r="M477" s="46"/>
      <c r="N477" s="46"/>
      <c r="O477" s="46"/>
      <c r="P477" s="46"/>
      <c r="Q477" s="46"/>
    </row>
    <row r="478" spans="2:17">
      <c r="B478" s="46"/>
      <c r="C478" s="46"/>
      <c r="D478" s="46"/>
      <c r="E478" s="46"/>
      <c r="F478" s="46"/>
      <c r="G478" s="46"/>
      <c r="H478" s="352"/>
      <c r="I478" s="46"/>
      <c r="J478" s="46"/>
      <c r="K478" s="46"/>
      <c r="L478" s="46"/>
      <c r="M478" s="46"/>
      <c r="N478" s="46"/>
      <c r="O478" s="46"/>
      <c r="P478" s="46"/>
      <c r="Q478" s="46"/>
    </row>
    <row r="479" spans="2:17">
      <c r="B479" s="46"/>
      <c r="C479" s="46"/>
      <c r="D479" s="46"/>
      <c r="E479" s="46"/>
      <c r="F479" s="46"/>
      <c r="G479" s="46"/>
      <c r="H479" s="352"/>
      <c r="I479" s="46"/>
      <c r="J479" s="46"/>
      <c r="K479" s="46"/>
      <c r="L479" s="46"/>
      <c r="M479" s="46"/>
      <c r="N479" s="46"/>
      <c r="O479" s="46"/>
      <c r="P479" s="46"/>
      <c r="Q479" s="46"/>
    </row>
    <row r="480" spans="2:17">
      <c r="B480" s="46"/>
      <c r="C480" s="46"/>
      <c r="D480" s="46"/>
      <c r="E480" s="46"/>
      <c r="F480" s="46"/>
      <c r="G480" s="46"/>
      <c r="H480" s="352"/>
      <c r="I480" s="46"/>
      <c r="J480" s="46"/>
      <c r="K480" s="46"/>
      <c r="L480" s="46"/>
      <c r="M480" s="46"/>
      <c r="N480" s="46"/>
      <c r="O480" s="46"/>
      <c r="P480" s="46"/>
      <c r="Q480" s="46"/>
    </row>
    <row r="481" spans="2:17">
      <c r="B481" s="46"/>
      <c r="C481" s="46"/>
      <c r="D481" s="46"/>
      <c r="E481" s="46"/>
      <c r="F481" s="46"/>
      <c r="G481" s="46"/>
      <c r="H481" s="352"/>
      <c r="I481" s="46"/>
      <c r="J481" s="46"/>
      <c r="K481" s="46"/>
      <c r="L481" s="46"/>
      <c r="M481" s="46"/>
      <c r="N481" s="46"/>
      <c r="O481" s="46"/>
      <c r="P481" s="46"/>
      <c r="Q481" s="46"/>
    </row>
    <row r="482" spans="2:17">
      <c r="B482" s="46"/>
      <c r="C482" s="46"/>
      <c r="D482" s="46"/>
      <c r="E482" s="46"/>
      <c r="F482" s="46"/>
      <c r="G482" s="46"/>
      <c r="H482" s="352"/>
      <c r="I482" s="46"/>
      <c r="J482" s="46"/>
      <c r="K482" s="46"/>
      <c r="L482" s="46"/>
      <c r="M482" s="46"/>
      <c r="N482" s="46"/>
      <c r="O482" s="46"/>
      <c r="P482" s="46"/>
      <c r="Q482" s="46"/>
    </row>
    <row r="483" spans="2:17">
      <c r="B483" s="46"/>
      <c r="C483" s="46"/>
      <c r="D483" s="46"/>
      <c r="E483" s="46"/>
      <c r="F483" s="46"/>
      <c r="G483" s="46"/>
      <c r="H483" s="352"/>
      <c r="I483" s="46"/>
      <c r="J483" s="46"/>
      <c r="K483" s="46"/>
      <c r="L483" s="46"/>
      <c r="M483" s="46"/>
      <c r="N483" s="46"/>
      <c r="O483" s="46"/>
      <c r="P483" s="46"/>
      <c r="Q483" s="46"/>
    </row>
    <row r="484" spans="2:17">
      <c r="B484" s="46"/>
      <c r="C484" s="46"/>
      <c r="D484" s="46"/>
      <c r="E484" s="46"/>
      <c r="F484" s="46"/>
      <c r="G484" s="46"/>
      <c r="H484" s="352"/>
      <c r="I484" s="46"/>
      <c r="J484" s="46"/>
      <c r="K484" s="46"/>
      <c r="L484" s="46"/>
      <c r="M484" s="46"/>
      <c r="N484" s="46"/>
      <c r="O484" s="46"/>
      <c r="P484" s="46"/>
      <c r="Q484" s="46"/>
    </row>
    <row r="485" spans="2:17">
      <c r="B485" s="46"/>
      <c r="C485" s="46"/>
      <c r="D485" s="46"/>
      <c r="E485" s="46"/>
      <c r="F485" s="46"/>
      <c r="G485" s="46"/>
      <c r="H485" s="352"/>
      <c r="I485" s="46"/>
      <c r="J485" s="46"/>
      <c r="K485" s="46"/>
      <c r="L485" s="46"/>
      <c r="M485" s="46"/>
      <c r="N485" s="46"/>
      <c r="O485" s="46"/>
      <c r="P485" s="46"/>
      <c r="Q485" s="46"/>
    </row>
    <row r="486" spans="2:17">
      <c r="B486" s="46"/>
      <c r="C486" s="46"/>
      <c r="D486" s="46"/>
      <c r="E486" s="46"/>
      <c r="F486" s="46"/>
      <c r="G486" s="46"/>
      <c r="H486" s="352"/>
      <c r="I486" s="46"/>
      <c r="J486" s="46"/>
      <c r="K486" s="46"/>
      <c r="L486" s="46"/>
      <c r="M486" s="46"/>
      <c r="N486" s="46"/>
      <c r="O486" s="46"/>
      <c r="P486" s="46"/>
      <c r="Q486" s="46"/>
    </row>
    <row r="487" spans="2:17">
      <c r="B487" s="46"/>
      <c r="C487" s="46"/>
      <c r="D487" s="46"/>
      <c r="E487" s="46"/>
      <c r="F487" s="46"/>
      <c r="G487" s="46"/>
      <c r="H487" s="352"/>
      <c r="I487" s="46"/>
      <c r="J487" s="46"/>
      <c r="K487" s="46"/>
      <c r="L487" s="46"/>
      <c r="M487" s="46"/>
      <c r="N487" s="46"/>
      <c r="O487" s="46"/>
      <c r="P487" s="46"/>
      <c r="Q487" s="46"/>
    </row>
    <row r="488" spans="2:17">
      <c r="B488" s="46"/>
      <c r="C488" s="46"/>
      <c r="D488" s="46"/>
      <c r="E488" s="46"/>
      <c r="F488" s="46"/>
      <c r="G488" s="46"/>
      <c r="H488" s="352"/>
      <c r="I488" s="46"/>
      <c r="J488" s="46"/>
      <c r="K488" s="46"/>
      <c r="L488" s="46"/>
      <c r="M488" s="46"/>
      <c r="N488" s="46"/>
      <c r="O488" s="46"/>
      <c r="P488" s="46"/>
      <c r="Q488" s="46"/>
    </row>
    <row r="489" spans="2:17">
      <c r="B489" s="46"/>
      <c r="C489" s="46"/>
      <c r="D489" s="46"/>
      <c r="E489" s="46"/>
      <c r="F489" s="46"/>
      <c r="G489" s="46"/>
      <c r="H489" s="352"/>
      <c r="I489" s="46"/>
      <c r="J489" s="46"/>
      <c r="K489" s="46"/>
      <c r="L489" s="46"/>
      <c r="M489" s="46"/>
      <c r="N489" s="46"/>
      <c r="O489" s="46"/>
      <c r="P489" s="46"/>
      <c r="Q489" s="46"/>
    </row>
    <row r="490" spans="2:17">
      <c r="B490" s="46"/>
      <c r="C490" s="46"/>
      <c r="D490" s="46"/>
      <c r="E490" s="46"/>
      <c r="F490" s="46"/>
      <c r="G490" s="46"/>
      <c r="H490" s="352"/>
      <c r="I490" s="46"/>
      <c r="J490" s="46"/>
      <c r="K490" s="46"/>
      <c r="L490" s="46"/>
      <c r="M490" s="46"/>
      <c r="N490" s="46"/>
      <c r="O490" s="46"/>
      <c r="P490" s="46"/>
      <c r="Q490" s="46"/>
    </row>
    <row r="491" spans="2:17">
      <c r="B491" s="46"/>
      <c r="C491" s="46"/>
      <c r="D491" s="46"/>
      <c r="E491" s="46"/>
      <c r="F491" s="46"/>
      <c r="G491" s="46"/>
      <c r="H491" s="352"/>
      <c r="I491" s="46"/>
      <c r="J491" s="46"/>
      <c r="K491" s="46"/>
      <c r="L491" s="46"/>
      <c r="M491" s="46"/>
      <c r="N491" s="46"/>
      <c r="O491" s="46"/>
      <c r="P491" s="46"/>
      <c r="Q491" s="46"/>
    </row>
    <row r="492" spans="2:17">
      <c r="B492" s="46"/>
      <c r="C492" s="46"/>
      <c r="D492" s="46"/>
      <c r="E492" s="46"/>
      <c r="F492" s="46"/>
      <c r="G492" s="46"/>
      <c r="H492" s="352"/>
      <c r="I492" s="46"/>
      <c r="J492" s="46"/>
      <c r="K492" s="46"/>
      <c r="L492" s="46"/>
      <c r="M492" s="46"/>
      <c r="N492" s="46"/>
      <c r="O492" s="46"/>
      <c r="P492" s="46"/>
      <c r="Q492" s="46"/>
    </row>
    <row r="493" spans="2:17">
      <c r="B493" s="46"/>
      <c r="C493" s="46"/>
      <c r="D493" s="46"/>
      <c r="E493" s="46"/>
      <c r="F493" s="46"/>
      <c r="G493" s="46"/>
      <c r="H493" s="352"/>
      <c r="I493" s="46"/>
      <c r="J493" s="46"/>
      <c r="K493" s="46"/>
      <c r="L493" s="46"/>
      <c r="M493" s="46"/>
      <c r="N493" s="46"/>
      <c r="O493" s="46"/>
      <c r="P493" s="46"/>
      <c r="Q493" s="46"/>
    </row>
    <row r="494" spans="2:17">
      <c r="B494" s="46"/>
      <c r="C494" s="46"/>
      <c r="D494" s="46"/>
      <c r="E494" s="46"/>
      <c r="F494" s="46"/>
      <c r="G494" s="46"/>
      <c r="H494" s="352"/>
      <c r="I494" s="46"/>
      <c r="J494" s="46"/>
      <c r="K494" s="46"/>
      <c r="L494" s="46"/>
      <c r="M494" s="46"/>
      <c r="N494" s="46"/>
      <c r="O494" s="46"/>
      <c r="P494" s="46"/>
      <c r="Q494" s="46"/>
    </row>
    <row r="495" spans="2:17">
      <c r="B495" s="46"/>
      <c r="C495" s="46"/>
      <c r="D495" s="46"/>
      <c r="E495" s="46"/>
      <c r="F495" s="46"/>
      <c r="G495" s="46"/>
      <c r="H495" s="352"/>
      <c r="I495" s="46"/>
      <c r="J495" s="46"/>
      <c r="K495" s="46"/>
      <c r="L495" s="46"/>
      <c r="M495" s="46"/>
      <c r="N495" s="46"/>
      <c r="O495" s="46"/>
      <c r="P495" s="46"/>
      <c r="Q495" s="46"/>
    </row>
    <row r="496" spans="2:17">
      <c r="B496" s="46"/>
      <c r="C496" s="46"/>
      <c r="D496" s="46"/>
      <c r="E496" s="46"/>
      <c r="F496" s="46"/>
      <c r="G496" s="46"/>
      <c r="H496" s="352"/>
      <c r="I496" s="46"/>
      <c r="J496" s="46"/>
      <c r="K496" s="46"/>
      <c r="L496" s="46"/>
      <c r="M496" s="46"/>
      <c r="N496" s="46"/>
      <c r="O496" s="46"/>
      <c r="P496" s="46"/>
      <c r="Q496" s="46"/>
    </row>
    <row r="497" spans="2:17">
      <c r="B497" s="46"/>
      <c r="C497" s="46"/>
      <c r="D497" s="46"/>
      <c r="E497" s="46"/>
      <c r="F497" s="46"/>
      <c r="G497" s="46"/>
      <c r="H497" s="352"/>
      <c r="I497" s="46"/>
      <c r="J497" s="46"/>
      <c r="K497" s="46"/>
      <c r="L497" s="46"/>
      <c r="M497" s="46"/>
      <c r="N497" s="46"/>
      <c r="O497" s="46"/>
      <c r="P497" s="46"/>
      <c r="Q497" s="46"/>
    </row>
    <row r="498" spans="2:17">
      <c r="B498" s="46"/>
      <c r="C498" s="46"/>
      <c r="D498" s="46"/>
      <c r="E498" s="46"/>
      <c r="F498" s="46"/>
      <c r="G498" s="46"/>
      <c r="H498" s="352"/>
      <c r="I498" s="46"/>
      <c r="J498" s="46"/>
      <c r="K498" s="46"/>
      <c r="L498" s="46"/>
      <c r="M498" s="46"/>
      <c r="N498" s="46"/>
      <c r="O498" s="46"/>
      <c r="P498" s="46"/>
      <c r="Q498" s="46"/>
    </row>
    <row r="499" spans="2:17">
      <c r="B499" s="46"/>
      <c r="C499" s="46"/>
      <c r="D499" s="46"/>
      <c r="E499" s="46"/>
      <c r="F499" s="46"/>
      <c r="G499" s="46"/>
      <c r="H499" s="352"/>
      <c r="I499" s="46"/>
      <c r="J499" s="46"/>
      <c r="K499" s="46"/>
      <c r="L499" s="46"/>
      <c r="M499" s="46"/>
      <c r="N499" s="46"/>
      <c r="O499" s="46"/>
      <c r="P499" s="46"/>
      <c r="Q499" s="46"/>
    </row>
    <row r="500" spans="2:17">
      <c r="B500" s="46"/>
      <c r="C500" s="46"/>
      <c r="D500" s="46"/>
      <c r="E500" s="46"/>
      <c r="F500" s="46"/>
      <c r="G500" s="46"/>
      <c r="H500" s="352"/>
      <c r="I500" s="46"/>
      <c r="J500" s="46"/>
      <c r="K500" s="46"/>
      <c r="L500" s="46"/>
      <c r="M500" s="46"/>
      <c r="N500" s="46"/>
      <c r="O500" s="46"/>
      <c r="P500" s="46"/>
      <c r="Q500" s="46"/>
    </row>
    <row r="501" spans="2:17">
      <c r="B501" s="46"/>
      <c r="C501" s="46"/>
      <c r="D501" s="46"/>
      <c r="E501" s="46"/>
      <c r="F501" s="46"/>
      <c r="G501" s="46"/>
      <c r="H501" s="352"/>
      <c r="I501" s="46"/>
      <c r="J501" s="46"/>
      <c r="K501" s="46"/>
      <c r="L501" s="46"/>
      <c r="M501" s="46"/>
      <c r="N501" s="46"/>
      <c r="O501" s="46"/>
      <c r="P501" s="46"/>
      <c r="Q501" s="46"/>
    </row>
    <row r="502" spans="2:17">
      <c r="B502" s="46"/>
      <c r="C502" s="46"/>
      <c r="D502" s="46"/>
      <c r="E502" s="46"/>
      <c r="F502" s="46"/>
      <c r="G502" s="46"/>
      <c r="H502" s="352"/>
      <c r="I502" s="46"/>
      <c r="J502" s="46"/>
      <c r="K502" s="46"/>
      <c r="L502" s="46"/>
      <c r="M502" s="46"/>
      <c r="N502" s="46"/>
      <c r="O502" s="46"/>
      <c r="P502" s="46"/>
      <c r="Q502" s="46"/>
    </row>
    <row r="503" spans="2:17">
      <c r="B503" s="46"/>
      <c r="C503" s="46"/>
      <c r="D503" s="46"/>
      <c r="E503" s="46"/>
      <c r="F503" s="46"/>
      <c r="G503" s="46"/>
      <c r="H503" s="352"/>
      <c r="I503" s="46"/>
      <c r="J503" s="46"/>
      <c r="K503" s="46"/>
      <c r="L503" s="46"/>
      <c r="M503" s="46"/>
      <c r="N503" s="46"/>
      <c r="O503" s="46"/>
      <c r="P503" s="46"/>
      <c r="Q503" s="46"/>
    </row>
    <row r="504" spans="2:17">
      <c r="B504" s="46"/>
      <c r="C504" s="46"/>
      <c r="D504" s="46"/>
      <c r="E504" s="46"/>
      <c r="F504" s="46"/>
      <c r="G504" s="46"/>
      <c r="H504" s="352"/>
      <c r="I504" s="46"/>
      <c r="J504" s="46"/>
      <c r="K504" s="46"/>
      <c r="L504" s="46"/>
      <c r="M504" s="46"/>
      <c r="N504" s="46"/>
      <c r="O504" s="46"/>
      <c r="P504" s="46"/>
      <c r="Q504" s="46"/>
    </row>
    <row r="505" spans="2:17">
      <c r="B505" s="46"/>
      <c r="C505" s="46"/>
      <c r="D505" s="46"/>
      <c r="E505" s="46"/>
      <c r="F505" s="46"/>
      <c r="G505" s="46"/>
      <c r="H505" s="352"/>
      <c r="I505" s="46"/>
      <c r="J505" s="46"/>
      <c r="K505" s="46"/>
      <c r="L505" s="46"/>
      <c r="M505" s="46"/>
      <c r="N505" s="46"/>
      <c r="O505" s="46"/>
      <c r="P505" s="46"/>
      <c r="Q505" s="46"/>
    </row>
    <row r="506" spans="2:17">
      <c r="B506" s="46"/>
      <c r="C506" s="46"/>
      <c r="D506" s="46"/>
      <c r="E506" s="46"/>
      <c r="F506" s="46"/>
      <c r="G506" s="46"/>
      <c r="H506" s="352"/>
      <c r="I506" s="46"/>
      <c r="J506" s="46"/>
      <c r="K506" s="46"/>
      <c r="L506" s="46"/>
      <c r="M506" s="46"/>
      <c r="N506" s="46"/>
      <c r="O506" s="46"/>
      <c r="P506" s="46"/>
      <c r="Q506" s="46"/>
    </row>
    <row r="507" spans="2:17">
      <c r="B507" s="46"/>
      <c r="C507" s="46"/>
      <c r="D507" s="46"/>
      <c r="E507" s="46"/>
      <c r="F507" s="46"/>
      <c r="G507" s="46"/>
      <c r="H507" s="352"/>
      <c r="I507" s="46"/>
      <c r="J507" s="46"/>
      <c r="K507" s="46"/>
      <c r="L507" s="46"/>
      <c r="M507" s="46"/>
      <c r="N507" s="46"/>
      <c r="O507" s="46"/>
      <c r="P507" s="46"/>
      <c r="Q507" s="46"/>
    </row>
    <row r="508" spans="2:17">
      <c r="B508" s="46"/>
      <c r="C508" s="46"/>
      <c r="D508" s="46"/>
      <c r="E508" s="46"/>
      <c r="F508" s="46"/>
      <c r="G508" s="46"/>
      <c r="H508" s="352"/>
      <c r="I508" s="46"/>
      <c r="J508" s="46"/>
      <c r="K508" s="46"/>
      <c r="L508" s="46"/>
      <c r="M508" s="46"/>
      <c r="N508" s="46"/>
      <c r="O508" s="46"/>
      <c r="P508" s="46"/>
      <c r="Q508" s="46"/>
    </row>
    <row r="509" spans="2:17">
      <c r="B509" s="46"/>
      <c r="C509" s="46"/>
      <c r="D509" s="46"/>
      <c r="E509" s="46"/>
      <c r="F509" s="46"/>
      <c r="G509" s="46"/>
      <c r="H509" s="352"/>
      <c r="I509" s="46"/>
      <c r="J509" s="46"/>
      <c r="K509" s="46"/>
      <c r="L509" s="46"/>
      <c r="M509" s="46"/>
      <c r="N509" s="46"/>
      <c r="O509" s="46"/>
      <c r="P509" s="46"/>
      <c r="Q509" s="46"/>
    </row>
    <row r="510" spans="2:17">
      <c r="B510" s="46"/>
      <c r="C510" s="46"/>
      <c r="D510" s="46"/>
      <c r="E510" s="46"/>
      <c r="F510" s="46"/>
      <c r="G510" s="46"/>
      <c r="H510" s="352"/>
      <c r="I510" s="46"/>
      <c r="J510" s="46"/>
      <c r="K510" s="46"/>
      <c r="L510" s="46"/>
      <c r="M510" s="46"/>
      <c r="N510" s="46"/>
      <c r="O510" s="46"/>
      <c r="P510" s="46"/>
      <c r="Q510" s="46"/>
    </row>
    <row r="511" spans="2:17">
      <c r="B511" s="46"/>
      <c r="C511" s="46"/>
      <c r="D511" s="46"/>
      <c r="E511" s="46"/>
      <c r="F511" s="46"/>
      <c r="G511" s="46"/>
      <c r="H511" s="352"/>
      <c r="I511" s="46"/>
      <c r="J511" s="46"/>
      <c r="K511" s="46"/>
      <c r="L511" s="46"/>
      <c r="M511" s="46"/>
      <c r="N511" s="46"/>
      <c r="O511" s="46"/>
      <c r="P511" s="46"/>
      <c r="Q511" s="46"/>
    </row>
    <row r="512" spans="2:17">
      <c r="B512" s="46"/>
      <c r="C512" s="46"/>
      <c r="D512" s="46"/>
      <c r="E512" s="46"/>
      <c r="F512" s="46"/>
      <c r="G512" s="46"/>
      <c r="H512" s="352"/>
      <c r="I512" s="46"/>
      <c r="J512" s="46"/>
      <c r="K512" s="46"/>
      <c r="L512" s="46"/>
      <c r="M512" s="46"/>
      <c r="N512" s="46"/>
      <c r="O512" s="46"/>
      <c r="P512" s="46"/>
      <c r="Q512" s="46"/>
    </row>
    <row r="513" spans="2:17">
      <c r="B513" s="46"/>
      <c r="C513" s="46"/>
      <c r="D513" s="46"/>
      <c r="E513" s="46"/>
      <c r="F513" s="46"/>
      <c r="G513" s="46"/>
      <c r="H513" s="352"/>
      <c r="I513" s="46"/>
      <c r="J513" s="46"/>
      <c r="K513" s="46"/>
      <c r="L513" s="46"/>
      <c r="M513" s="46"/>
      <c r="N513" s="46"/>
      <c r="O513" s="46"/>
      <c r="P513" s="46"/>
      <c r="Q513" s="46"/>
    </row>
    <row r="514" spans="2:17">
      <c r="B514" s="46"/>
      <c r="C514" s="46"/>
      <c r="D514" s="46"/>
      <c r="E514" s="46"/>
      <c r="F514" s="46"/>
      <c r="G514" s="46"/>
      <c r="H514" s="352"/>
      <c r="I514" s="46"/>
      <c r="J514" s="46"/>
      <c r="K514" s="46"/>
      <c r="L514" s="46"/>
      <c r="M514" s="46"/>
      <c r="N514" s="46"/>
      <c r="O514" s="46"/>
      <c r="P514" s="46"/>
      <c r="Q514" s="46"/>
    </row>
    <row r="515" spans="2:17">
      <c r="B515" s="46"/>
      <c r="C515" s="46"/>
      <c r="D515" s="46"/>
      <c r="E515" s="46"/>
      <c r="F515" s="46"/>
      <c r="G515" s="46"/>
      <c r="H515" s="352"/>
      <c r="I515" s="46"/>
      <c r="J515" s="46"/>
      <c r="K515" s="46"/>
      <c r="L515" s="46"/>
      <c r="M515" s="46"/>
      <c r="N515" s="46"/>
      <c r="O515" s="46"/>
      <c r="P515" s="46"/>
      <c r="Q515" s="46"/>
    </row>
    <row r="516" spans="2:17">
      <c r="B516" s="46"/>
      <c r="C516" s="46"/>
      <c r="D516" s="46"/>
      <c r="E516" s="46"/>
      <c r="F516" s="46"/>
      <c r="G516" s="46"/>
      <c r="H516" s="352"/>
      <c r="I516" s="46"/>
      <c r="J516" s="46"/>
      <c r="K516" s="46"/>
      <c r="L516" s="46"/>
      <c r="M516" s="46"/>
      <c r="N516" s="46"/>
      <c r="O516" s="46"/>
      <c r="P516" s="46"/>
      <c r="Q516" s="46"/>
    </row>
    <row r="517" spans="2:17">
      <c r="B517" s="46"/>
      <c r="C517" s="46"/>
      <c r="D517" s="46"/>
      <c r="E517" s="46"/>
      <c r="F517" s="46"/>
      <c r="G517" s="46"/>
      <c r="H517" s="352"/>
      <c r="I517" s="46"/>
      <c r="J517" s="46"/>
      <c r="K517" s="46"/>
      <c r="L517" s="46"/>
      <c r="M517" s="46"/>
      <c r="N517" s="46"/>
      <c r="O517" s="46"/>
      <c r="P517" s="46"/>
      <c r="Q517" s="46"/>
    </row>
    <row r="518" spans="2:17">
      <c r="B518" s="46"/>
      <c r="C518" s="46"/>
      <c r="D518" s="46"/>
      <c r="E518" s="46"/>
      <c r="F518" s="46"/>
      <c r="G518" s="46"/>
      <c r="H518" s="352"/>
      <c r="I518" s="46"/>
      <c r="J518" s="46"/>
      <c r="K518" s="46"/>
      <c r="L518" s="46"/>
      <c r="M518" s="46"/>
      <c r="N518" s="46"/>
      <c r="O518" s="46"/>
      <c r="P518" s="46"/>
      <c r="Q518" s="46"/>
    </row>
    <row r="519" spans="2:17">
      <c r="B519" s="46"/>
      <c r="C519" s="46"/>
      <c r="D519" s="46"/>
      <c r="E519" s="46"/>
      <c r="F519" s="46"/>
      <c r="G519" s="46"/>
      <c r="H519" s="352"/>
      <c r="I519" s="46"/>
      <c r="J519" s="46"/>
      <c r="K519" s="46"/>
      <c r="L519" s="46"/>
      <c r="M519" s="46"/>
      <c r="N519" s="46"/>
      <c r="O519" s="46"/>
      <c r="P519" s="46"/>
      <c r="Q519" s="46"/>
    </row>
    <row r="520" spans="2:17">
      <c r="B520" s="46"/>
      <c r="C520" s="46"/>
      <c r="D520" s="46"/>
      <c r="E520" s="46"/>
      <c r="F520" s="46"/>
      <c r="G520" s="46"/>
      <c r="H520" s="352"/>
      <c r="I520" s="46"/>
      <c r="J520" s="46"/>
      <c r="K520" s="46"/>
      <c r="L520" s="46"/>
      <c r="M520" s="46"/>
      <c r="N520" s="46"/>
      <c r="O520" s="46"/>
      <c r="P520" s="46"/>
      <c r="Q520" s="46"/>
    </row>
    <row r="521" spans="2:17">
      <c r="B521" s="46"/>
      <c r="C521" s="46"/>
      <c r="D521" s="46"/>
      <c r="E521" s="46"/>
      <c r="F521" s="46"/>
      <c r="G521" s="46"/>
      <c r="H521" s="352"/>
      <c r="I521" s="46"/>
      <c r="J521" s="46"/>
      <c r="K521" s="46"/>
      <c r="L521" s="46"/>
      <c r="M521" s="46"/>
      <c r="N521" s="46"/>
      <c r="O521" s="46"/>
      <c r="P521" s="46"/>
      <c r="Q521" s="46"/>
    </row>
    <row r="522" spans="2:17">
      <c r="B522" s="46"/>
      <c r="C522" s="46"/>
      <c r="D522" s="46"/>
      <c r="E522" s="46"/>
      <c r="F522" s="46"/>
      <c r="G522" s="46"/>
      <c r="H522" s="352"/>
      <c r="I522" s="46"/>
      <c r="J522" s="46"/>
      <c r="K522" s="46"/>
      <c r="L522" s="46"/>
      <c r="M522" s="46"/>
      <c r="N522" s="46"/>
      <c r="O522" s="46"/>
      <c r="P522" s="46"/>
      <c r="Q522" s="46"/>
    </row>
    <row r="523" spans="2:17">
      <c r="B523" s="46"/>
      <c r="C523" s="46"/>
      <c r="D523" s="46"/>
      <c r="E523" s="46"/>
      <c r="F523" s="46"/>
      <c r="G523" s="46"/>
      <c r="H523" s="352"/>
      <c r="I523" s="46"/>
      <c r="J523" s="46"/>
      <c r="K523" s="46"/>
      <c r="L523" s="46"/>
      <c r="M523" s="46"/>
      <c r="N523" s="46"/>
      <c r="O523" s="46"/>
      <c r="P523" s="46"/>
      <c r="Q523" s="46"/>
    </row>
    <row r="524" spans="2:17">
      <c r="B524" s="46"/>
      <c r="C524" s="46"/>
      <c r="D524" s="46"/>
      <c r="E524" s="46"/>
      <c r="F524" s="46"/>
      <c r="G524" s="46"/>
      <c r="H524" s="352"/>
      <c r="I524" s="46"/>
      <c r="J524" s="46"/>
      <c r="K524" s="46"/>
      <c r="L524" s="46"/>
      <c r="M524" s="46"/>
      <c r="N524" s="46"/>
      <c r="O524" s="46"/>
      <c r="P524" s="46"/>
      <c r="Q524" s="46"/>
    </row>
    <row r="525" spans="2:17">
      <c r="B525" s="46"/>
      <c r="C525" s="46"/>
      <c r="D525" s="46"/>
      <c r="E525" s="46"/>
      <c r="F525" s="46"/>
      <c r="G525" s="46"/>
      <c r="H525" s="352"/>
      <c r="I525" s="46"/>
      <c r="J525" s="46"/>
      <c r="K525" s="46"/>
      <c r="L525" s="46"/>
      <c r="M525" s="46"/>
      <c r="N525" s="46"/>
      <c r="O525" s="46"/>
      <c r="P525" s="46"/>
      <c r="Q525" s="46"/>
    </row>
    <row r="526" spans="2:17">
      <c r="B526" s="46"/>
      <c r="C526" s="46"/>
      <c r="D526" s="46"/>
      <c r="E526" s="46"/>
      <c r="F526" s="46"/>
      <c r="G526" s="46"/>
      <c r="H526" s="352"/>
      <c r="I526" s="46"/>
      <c r="J526" s="46"/>
      <c r="K526" s="46"/>
      <c r="L526" s="46"/>
      <c r="M526" s="46"/>
      <c r="N526" s="46"/>
      <c r="O526" s="46"/>
      <c r="P526" s="46"/>
      <c r="Q526" s="46"/>
    </row>
    <row r="527" spans="2:17">
      <c r="B527" s="46"/>
      <c r="C527" s="46"/>
      <c r="D527" s="46"/>
      <c r="E527" s="46"/>
      <c r="F527" s="46"/>
      <c r="G527" s="46"/>
      <c r="H527" s="352"/>
      <c r="I527" s="46"/>
      <c r="J527" s="46"/>
      <c r="K527" s="46"/>
      <c r="L527" s="46"/>
      <c r="M527" s="46"/>
      <c r="N527" s="46"/>
      <c r="O527" s="46"/>
      <c r="P527" s="46"/>
      <c r="Q527" s="46"/>
    </row>
    <row r="528" spans="2:17">
      <c r="B528" s="46"/>
      <c r="C528" s="46"/>
      <c r="D528" s="46"/>
      <c r="E528" s="46"/>
      <c r="F528" s="46"/>
      <c r="G528" s="46"/>
      <c r="H528" s="352"/>
      <c r="I528" s="46"/>
      <c r="J528" s="46"/>
      <c r="K528" s="46"/>
      <c r="L528" s="46"/>
      <c r="M528" s="46"/>
      <c r="N528" s="46"/>
      <c r="O528" s="46"/>
      <c r="P528" s="46"/>
      <c r="Q528" s="46"/>
    </row>
    <row r="529" spans="2:17">
      <c r="B529" s="46"/>
      <c r="C529" s="46"/>
      <c r="D529" s="46"/>
      <c r="E529" s="46"/>
      <c r="F529" s="46"/>
      <c r="G529" s="46"/>
      <c r="H529" s="352"/>
      <c r="I529" s="46"/>
      <c r="J529" s="46"/>
      <c r="K529" s="46"/>
      <c r="L529" s="46"/>
      <c r="M529" s="46"/>
      <c r="N529" s="46"/>
      <c r="O529" s="46"/>
      <c r="P529" s="46"/>
      <c r="Q529" s="46"/>
    </row>
    <row r="530" spans="2:17">
      <c r="B530" s="46"/>
      <c r="C530" s="46"/>
      <c r="D530" s="46"/>
      <c r="E530" s="46"/>
      <c r="F530" s="46"/>
      <c r="G530" s="46"/>
      <c r="H530" s="352"/>
      <c r="I530" s="46"/>
      <c r="J530" s="46"/>
      <c r="K530" s="46"/>
      <c r="L530" s="46"/>
      <c r="M530" s="46"/>
      <c r="N530" s="46"/>
      <c r="O530" s="46"/>
      <c r="P530" s="46"/>
      <c r="Q530" s="46"/>
    </row>
    <row r="531" spans="2:17">
      <c r="B531" s="46"/>
      <c r="C531" s="46"/>
      <c r="D531" s="46"/>
      <c r="E531" s="46"/>
      <c r="F531" s="46"/>
      <c r="G531" s="46"/>
      <c r="H531" s="352"/>
      <c r="I531" s="46"/>
      <c r="J531" s="46"/>
      <c r="K531" s="46"/>
      <c r="L531" s="46"/>
      <c r="M531" s="46"/>
      <c r="N531" s="46"/>
      <c r="O531" s="46"/>
      <c r="P531" s="46"/>
      <c r="Q531" s="46"/>
    </row>
    <row r="532" spans="2:17">
      <c r="B532" s="46"/>
      <c r="C532" s="46"/>
      <c r="D532" s="46"/>
      <c r="E532" s="46"/>
      <c r="F532" s="46"/>
      <c r="G532" s="46"/>
      <c r="H532" s="352"/>
      <c r="I532" s="46"/>
      <c r="J532" s="46"/>
      <c r="K532" s="46"/>
      <c r="L532" s="46"/>
      <c r="M532" s="46"/>
      <c r="N532" s="46"/>
      <c r="O532" s="46"/>
      <c r="P532" s="46"/>
      <c r="Q532" s="46"/>
    </row>
    <row r="533" spans="2:17">
      <c r="B533" s="46"/>
      <c r="C533" s="46"/>
      <c r="D533" s="46"/>
      <c r="E533" s="46"/>
      <c r="F533" s="46"/>
      <c r="G533" s="46"/>
      <c r="H533" s="352"/>
      <c r="I533" s="46"/>
      <c r="J533" s="46"/>
      <c r="K533" s="46"/>
      <c r="L533" s="46"/>
      <c r="M533" s="46"/>
      <c r="N533" s="46"/>
      <c r="O533" s="46"/>
      <c r="P533" s="46"/>
      <c r="Q533" s="46"/>
    </row>
    <row r="534" spans="2:17">
      <c r="B534" s="46"/>
      <c r="C534" s="46"/>
      <c r="D534" s="46"/>
      <c r="E534" s="46"/>
      <c r="F534" s="46"/>
      <c r="G534" s="46"/>
      <c r="H534" s="352"/>
      <c r="I534" s="46"/>
      <c r="J534" s="46"/>
      <c r="K534" s="46"/>
      <c r="L534" s="46"/>
      <c r="M534" s="46"/>
      <c r="N534" s="46"/>
      <c r="O534" s="46"/>
      <c r="P534" s="46"/>
      <c r="Q534" s="46"/>
    </row>
    <row r="535" spans="2:17">
      <c r="B535" s="46"/>
      <c r="C535" s="46"/>
      <c r="D535" s="46"/>
      <c r="E535" s="46"/>
      <c r="F535" s="46"/>
      <c r="G535" s="46"/>
      <c r="H535" s="352"/>
      <c r="I535" s="46"/>
      <c r="J535" s="46"/>
      <c r="K535" s="46"/>
      <c r="L535" s="46"/>
      <c r="M535" s="46"/>
      <c r="N535" s="46"/>
      <c r="O535" s="46"/>
      <c r="P535" s="46"/>
      <c r="Q535" s="46"/>
    </row>
    <row r="536" spans="2:17">
      <c r="B536" s="46"/>
      <c r="C536" s="46"/>
      <c r="D536" s="46"/>
      <c r="E536" s="46"/>
      <c r="F536" s="46"/>
      <c r="G536" s="46"/>
      <c r="H536" s="352"/>
      <c r="I536" s="46"/>
      <c r="J536" s="46"/>
      <c r="K536" s="46"/>
      <c r="L536" s="46"/>
      <c r="M536" s="46"/>
      <c r="N536" s="46"/>
      <c r="O536" s="46"/>
      <c r="P536" s="46"/>
      <c r="Q536" s="46"/>
    </row>
    <row r="537" spans="2:17">
      <c r="B537" s="46"/>
      <c r="C537" s="46"/>
      <c r="D537" s="46"/>
      <c r="E537" s="46"/>
      <c r="F537" s="46"/>
      <c r="G537" s="46"/>
      <c r="H537" s="352"/>
      <c r="I537" s="46"/>
      <c r="J537" s="46"/>
      <c r="K537" s="46"/>
      <c r="L537" s="46"/>
      <c r="M537" s="46"/>
      <c r="N537" s="46"/>
      <c r="O537" s="46"/>
      <c r="P537" s="46"/>
      <c r="Q537" s="46"/>
    </row>
    <row r="538" spans="2:17">
      <c r="B538" s="46"/>
      <c r="C538" s="46"/>
      <c r="D538" s="46"/>
      <c r="E538" s="46"/>
      <c r="F538" s="46"/>
      <c r="G538" s="46"/>
      <c r="H538" s="352"/>
      <c r="I538" s="46"/>
      <c r="J538" s="46"/>
      <c r="K538" s="46"/>
      <c r="L538" s="46"/>
      <c r="M538" s="46"/>
      <c r="N538" s="46"/>
      <c r="O538" s="46"/>
      <c r="P538" s="46"/>
      <c r="Q538" s="46"/>
    </row>
    <row r="539" spans="2:17">
      <c r="B539" s="46"/>
      <c r="C539" s="46"/>
      <c r="D539" s="46"/>
      <c r="E539" s="46"/>
      <c r="F539" s="46"/>
      <c r="G539" s="46"/>
      <c r="H539" s="352"/>
      <c r="I539" s="46"/>
      <c r="J539" s="46"/>
      <c r="K539" s="46"/>
      <c r="L539" s="46"/>
      <c r="M539" s="46"/>
      <c r="N539" s="46"/>
      <c r="O539" s="46"/>
      <c r="P539" s="46"/>
      <c r="Q539" s="46"/>
    </row>
    <row r="540" spans="2:17">
      <c r="B540" s="46"/>
      <c r="C540" s="46"/>
      <c r="D540" s="46"/>
      <c r="E540" s="46"/>
      <c r="F540" s="46"/>
      <c r="G540" s="46"/>
      <c r="H540" s="352"/>
      <c r="I540" s="46"/>
      <c r="J540" s="46"/>
      <c r="K540" s="46"/>
      <c r="L540" s="46"/>
      <c r="M540" s="46"/>
      <c r="N540" s="46"/>
      <c r="O540" s="46"/>
      <c r="P540" s="46"/>
      <c r="Q540" s="46"/>
    </row>
    <row r="541" spans="2:17">
      <c r="B541" s="46"/>
      <c r="C541" s="46"/>
      <c r="D541" s="46"/>
      <c r="E541" s="46"/>
      <c r="F541" s="46"/>
      <c r="G541" s="46"/>
      <c r="H541" s="352"/>
      <c r="I541" s="46"/>
      <c r="J541" s="46"/>
      <c r="K541" s="46"/>
      <c r="L541" s="46"/>
      <c r="M541" s="46"/>
      <c r="N541" s="46"/>
      <c r="O541" s="46"/>
      <c r="P541" s="46"/>
      <c r="Q541" s="46"/>
    </row>
    <row r="542" spans="2:17">
      <c r="B542" s="46"/>
      <c r="C542" s="46"/>
      <c r="D542" s="46"/>
      <c r="E542" s="46"/>
      <c r="F542" s="46"/>
      <c r="G542" s="46"/>
      <c r="H542" s="352"/>
      <c r="I542" s="46"/>
      <c r="J542" s="46"/>
      <c r="K542" s="46"/>
      <c r="L542" s="46"/>
      <c r="M542" s="46"/>
      <c r="N542" s="46"/>
      <c r="O542" s="46"/>
      <c r="P542" s="46"/>
      <c r="Q542" s="46"/>
    </row>
    <row r="543" spans="2:17">
      <c r="B543" s="46"/>
      <c r="C543" s="46"/>
      <c r="D543" s="46"/>
      <c r="E543" s="46"/>
      <c r="F543" s="46"/>
      <c r="G543" s="46"/>
      <c r="H543" s="352"/>
      <c r="I543" s="46"/>
      <c r="J543" s="46"/>
      <c r="K543" s="46"/>
      <c r="L543" s="46"/>
      <c r="M543" s="46"/>
      <c r="N543" s="46"/>
      <c r="O543" s="46"/>
      <c r="P543" s="46"/>
      <c r="Q543" s="46"/>
    </row>
    <row r="544" spans="2:17">
      <c r="B544" s="46"/>
      <c r="C544" s="46"/>
      <c r="D544" s="46"/>
      <c r="E544" s="46"/>
      <c r="F544" s="46"/>
      <c r="G544" s="46"/>
      <c r="H544" s="352"/>
      <c r="I544" s="46"/>
      <c r="J544" s="46"/>
      <c r="K544" s="46"/>
      <c r="L544" s="46"/>
      <c r="M544" s="46"/>
      <c r="N544" s="46"/>
      <c r="O544" s="46"/>
      <c r="P544" s="46"/>
      <c r="Q544" s="46"/>
    </row>
    <row r="545" spans="2:17">
      <c r="B545" s="46"/>
      <c r="C545" s="46"/>
      <c r="D545" s="46"/>
      <c r="E545" s="46"/>
      <c r="F545" s="46"/>
      <c r="G545" s="46"/>
      <c r="H545" s="352"/>
      <c r="I545" s="46"/>
      <c r="J545" s="46"/>
      <c r="K545" s="46"/>
      <c r="L545" s="46"/>
      <c r="M545" s="46"/>
      <c r="N545" s="46"/>
      <c r="O545" s="46"/>
      <c r="P545" s="46"/>
      <c r="Q545" s="46"/>
    </row>
    <row r="546" spans="2:17">
      <c r="B546" s="46"/>
      <c r="C546" s="46"/>
      <c r="D546" s="46"/>
      <c r="E546" s="46"/>
      <c r="F546" s="46"/>
      <c r="G546" s="46"/>
      <c r="H546" s="352"/>
      <c r="I546" s="46"/>
      <c r="J546" s="46"/>
      <c r="K546" s="46"/>
      <c r="L546" s="46"/>
      <c r="M546" s="46"/>
      <c r="N546" s="46"/>
      <c r="O546" s="46"/>
      <c r="P546" s="46"/>
      <c r="Q546" s="46"/>
    </row>
    <row r="547" spans="2:17">
      <c r="B547" s="46"/>
      <c r="C547" s="46"/>
      <c r="D547" s="46"/>
      <c r="E547" s="46"/>
      <c r="F547" s="46"/>
      <c r="G547" s="46"/>
      <c r="H547" s="352"/>
      <c r="I547" s="46"/>
      <c r="J547" s="46"/>
      <c r="K547" s="46"/>
      <c r="L547" s="46"/>
      <c r="M547" s="46"/>
      <c r="N547" s="46"/>
      <c r="O547" s="46"/>
      <c r="P547" s="46"/>
      <c r="Q547" s="46"/>
    </row>
    <row r="548" spans="2:17">
      <c r="B548" s="46"/>
      <c r="C548" s="46"/>
      <c r="D548" s="46"/>
      <c r="E548" s="46"/>
      <c r="F548" s="46"/>
      <c r="G548" s="46"/>
      <c r="H548" s="352"/>
      <c r="I548" s="46"/>
      <c r="J548" s="46"/>
      <c r="K548" s="46"/>
      <c r="L548" s="46"/>
      <c r="M548" s="46"/>
      <c r="N548" s="46"/>
      <c r="O548" s="46"/>
      <c r="P548" s="46"/>
      <c r="Q548" s="46"/>
    </row>
    <row r="549" spans="2:17">
      <c r="B549" s="46"/>
      <c r="C549" s="46"/>
      <c r="D549" s="46"/>
      <c r="E549" s="46"/>
      <c r="F549" s="46"/>
      <c r="G549" s="46"/>
      <c r="H549" s="352"/>
      <c r="I549" s="46"/>
      <c r="J549" s="46"/>
      <c r="K549" s="46"/>
      <c r="L549" s="46"/>
      <c r="M549" s="46"/>
      <c r="N549" s="46"/>
      <c r="O549" s="46"/>
      <c r="P549" s="46"/>
      <c r="Q549" s="46"/>
    </row>
    <row r="550" spans="2:17">
      <c r="B550" s="46"/>
      <c r="C550" s="46"/>
      <c r="D550" s="46"/>
      <c r="E550" s="46"/>
      <c r="F550" s="46"/>
      <c r="G550" s="46"/>
      <c r="H550" s="352"/>
      <c r="I550" s="46"/>
      <c r="J550" s="46"/>
      <c r="K550" s="46"/>
      <c r="L550" s="46"/>
      <c r="M550" s="46"/>
      <c r="N550" s="46"/>
      <c r="O550" s="46"/>
      <c r="P550" s="46"/>
      <c r="Q550" s="46"/>
    </row>
    <row r="551" spans="2:17">
      <c r="B551" s="46"/>
      <c r="C551" s="46"/>
      <c r="D551" s="46"/>
      <c r="E551" s="46"/>
      <c r="F551" s="46"/>
      <c r="G551" s="46"/>
      <c r="H551" s="352"/>
      <c r="I551" s="46"/>
      <c r="J551" s="46"/>
      <c r="K551" s="46"/>
      <c r="L551" s="46"/>
      <c r="M551" s="46"/>
      <c r="N551" s="46"/>
      <c r="O551" s="46"/>
      <c r="P551" s="46"/>
      <c r="Q551" s="46"/>
    </row>
    <row r="552" spans="2:17">
      <c r="B552" s="46"/>
      <c r="C552" s="46"/>
      <c r="D552" s="46"/>
      <c r="E552" s="46"/>
      <c r="F552" s="46"/>
      <c r="G552" s="46"/>
      <c r="H552" s="352"/>
      <c r="I552" s="46"/>
      <c r="J552" s="46"/>
      <c r="K552" s="46"/>
      <c r="L552" s="46"/>
      <c r="M552" s="46"/>
      <c r="N552" s="46"/>
      <c r="O552" s="46"/>
      <c r="P552" s="46"/>
      <c r="Q552" s="46"/>
    </row>
    <row r="553" spans="2:17">
      <c r="B553" s="46"/>
      <c r="C553" s="46"/>
      <c r="D553" s="46"/>
      <c r="E553" s="46"/>
      <c r="F553" s="46"/>
      <c r="G553" s="46"/>
      <c r="H553" s="352"/>
      <c r="I553" s="46"/>
      <c r="J553" s="46"/>
      <c r="K553" s="46"/>
      <c r="L553" s="46"/>
      <c r="M553" s="46"/>
      <c r="N553" s="46"/>
      <c r="O553" s="46"/>
      <c r="P553" s="46"/>
      <c r="Q553" s="46"/>
    </row>
    <row r="554" spans="2:17">
      <c r="B554" s="46"/>
      <c r="C554" s="46"/>
      <c r="D554" s="46"/>
      <c r="E554" s="46"/>
      <c r="F554" s="46"/>
      <c r="G554" s="46"/>
      <c r="H554" s="352"/>
      <c r="I554" s="46"/>
      <c r="J554" s="46"/>
      <c r="K554" s="46"/>
      <c r="L554" s="46"/>
      <c r="M554" s="46"/>
      <c r="N554" s="46"/>
      <c r="O554" s="46"/>
      <c r="P554" s="46"/>
      <c r="Q554" s="46"/>
    </row>
    <row r="555" spans="2:17">
      <c r="B555" s="46"/>
      <c r="C555" s="46"/>
      <c r="D555" s="46"/>
      <c r="E555" s="46"/>
      <c r="F555" s="46"/>
      <c r="G555" s="46"/>
      <c r="H555" s="352"/>
      <c r="I555" s="46"/>
      <c r="J555" s="46"/>
      <c r="K555" s="46"/>
      <c r="L555" s="46"/>
      <c r="M555" s="46"/>
      <c r="N555" s="46"/>
      <c r="O555" s="46"/>
      <c r="P555" s="46"/>
      <c r="Q555" s="46"/>
    </row>
    <row r="556" spans="2:17">
      <c r="B556" s="46"/>
      <c r="C556" s="46"/>
      <c r="D556" s="46"/>
      <c r="E556" s="46"/>
      <c r="F556" s="46"/>
      <c r="G556" s="46"/>
      <c r="H556" s="352"/>
      <c r="I556" s="46"/>
      <c r="J556" s="46"/>
      <c r="K556" s="46"/>
      <c r="L556" s="46"/>
      <c r="M556" s="46"/>
      <c r="N556" s="46"/>
      <c r="O556" s="46"/>
      <c r="P556" s="46"/>
      <c r="Q556" s="46"/>
    </row>
    <row r="557" spans="2:17">
      <c r="B557" s="46"/>
      <c r="C557" s="46"/>
      <c r="D557" s="46"/>
      <c r="E557" s="46"/>
      <c r="F557" s="46"/>
      <c r="G557" s="46"/>
      <c r="H557" s="352"/>
      <c r="I557" s="46"/>
      <c r="J557" s="46"/>
      <c r="K557" s="46"/>
      <c r="L557" s="46"/>
      <c r="M557" s="46"/>
      <c r="N557" s="46"/>
      <c r="O557" s="46"/>
      <c r="P557" s="46"/>
      <c r="Q557" s="46"/>
    </row>
  </sheetData>
  <mergeCells count="203">
    <mergeCell ref="R50:R51"/>
    <mergeCell ref="R52:R53"/>
    <mergeCell ref="R54:R55"/>
    <mergeCell ref="R56:R57"/>
    <mergeCell ref="R58:R59"/>
    <mergeCell ref="R60:R61"/>
    <mergeCell ref="R62:R63"/>
    <mergeCell ref="R64:R65"/>
    <mergeCell ref="R36:R37"/>
    <mergeCell ref="R30:R31"/>
    <mergeCell ref="R32:R33"/>
    <mergeCell ref="R12:R13"/>
    <mergeCell ref="R14:R15"/>
    <mergeCell ref="R16:R17"/>
    <mergeCell ref="R18:R19"/>
    <mergeCell ref="R20:R21"/>
    <mergeCell ref="R22:R23"/>
    <mergeCell ref="R24:R25"/>
    <mergeCell ref="R26:R27"/>
    <mergeCell ref="R28:R29"/>
    <mergeCell ref="R34:R35"/>
    <mergeCell ref="C60:C61"/>
    <mergeCell ref="D60:D61"/>
    <mergeCell ref="L60:L61"/>
    <mergeCell ref="M60:M61"/>
    <mergeCell ref="N60:N61"/>
    <mergeCell ref="O60:O61"/>
    <mergeCell ref="P60:P61"/>
    <mergeCell ref="Q60:Q61"/>
    <mergeCell ref="M58:M59"/>
    <mergeCell ref="N58:N59"/>
    <mergeCell ref="O58:O59"/>
    <mergeCell ref="P58:P59"/>
    <mergeCell ref="Q58:Q59"/>
    <mergeCell ref="M54:M55"/>
    <mergeCell ref="N54:N55"/>
    <mergeCell ref="O54:O55"/>
    <mergeCell ref="P54:P55"/>
    <mergeCell ref="Q54:Q55"/>
    <mergeCell ref="C56:C57"/>
    <mergeCell ref="D56:D57"/>
    <mergeCell ref="L56:L57"/>
    <mergeCell ref="M56:M57"/>
    <mergeCell ref="N56:N57"/>
    <mergeCell ref="B92:F92"/>
    <mergeCell ref="B93:B94"/>
    <mergeCell ref="C93:C94"/>
    <mergeCell ref="B72:F72"/>
    <mergeCell ref="Q64:Q65"/>
    <mergeCell ref="B67:E67"/>
    <mergeCell ref="O62:O63"/>
    <mergeCell ref="P62:P63"/>
    <mergeCell ref="Q62:Q63"/>
    <mergeCell ref="B64:C65"/>
    <mergeCell ref="D64:D65"/>
    <mergeCell ref="L64:L65"/>
    <mergeCell ref="M64:M65"/>
    <mergeCell ref="N64:N65"/>
    <mergeCell ref="O64:O65"/>
    <mergeCell ref="P64:P65"/>
    <mergeCell ref="B73:B74"/>
    <mergeCell ref="C73:C74"/>
    <mergeCell ref="C62:C63"/>
    <mergeCell ref="D62:D63"/>
    <mergeCell ref="L62:L63"/>
    <mergeCell ref="M62:M63"/>
    <mergeCell ref="N62:N63"/>
    <mergeCell ref="O56:O57"/>
    <mergeCell ref="P56:P57"/>
    <mergeCell ref="Q56:Q57"/>
    <mergeCell ref="M50:M51"/>
    <mergeCell ref="N50:N51"/>
    <mergeCell ref="O50:O51"/>
    <mergeCell ref="P50:P51"/>
    <mergeCell ref="Q50:Q51"/>
    <mergeCell ref="C52:C53"/>
    <mergeCell ref="D52:D53"/>
    <mergeCell ref="L52:L53"/>
    <mergeCell ref="M52:M53"/>
    <mergeCell ref="N52:N53"/>
    <mergeCell ref="O52:O53"/>
    <mergeCell ref="P52:P53"/>
    <mergeCell ref="Q52:Q53"/>
    <mergeCell ref="B39:E39"/>
    <mergeCell ref="B43:B46"/>
    <mergeCell ref="B50:B63"/>
    <mergeCell ref="C50:C51"/>
    <mergeCell ref="D50:D51"/>
    <mergeCell ref="L50:L51"/>
    <mergeCell ref="C58:C59"/>
    <mergeCell ref="D58:D59"/>
    <mergeCell ref="L58:L59"/>
    <mergeCell ref="C54:C55"/>
    <mergeCell ref="D54:D55"/>
    <mergeCell ref="L54:L55"/>
    <mergeCell ref="P32:P33"/>
    <mergeCell ref="Q32:Q33"/>
    <mergeCell ref="B36:C37"/>
    <mergeCell ref="D36:D37"/>
    <mergeCell ref="L36:L37"/>
    <mergeCell ref="M36:M37"/>
    <mergeCell ref="N36:N37"/>
    <mergeCell ref="O36:O37"/>
    <mergeCell ref="P36:P37"/>
    <mergeCell ref="Q36:Q37"/>
    <mergeCell ref="C32:C33"/>
    <mergeCell ref="D32:D33"/>
    <mergeCell ref="L32:L33"/>
    <mergeCell ref="M32:M33"/>
    <mergeCell ref="N32:N33"/>
    <mergeCell ref="O32:O33"/>
    <mergeCell ref="C34:C35"/>
    <mergeCell ref="D34:D35"/>
    <mergeCell ref="L34:L35"/>
    <mergeCell ref="M34:M35"/>
    <mergeCell ref="N34:N35"/>
    <mergeCell ref="O34:O35"/>
    <mergeCell ref="P34:P35"/>
    <mergeCell ref="Q34:Q35"/>
    <mergeCell ref="P28:P29"/>
    <mergeCell ref="Q28:Q29"/>
    <mergeCell ref="C30:C31"/>
    <mergeCell ref="D30:D31"/>
    <mergeCell ref="L30:L31"/>
    <mergeCell ref="M30:M31"/>
    <mergeCell ref="N30:N31"/>
    <mergeCell ref="O30:O31"/>
    <mergeCell ref="P30:P31"/>
    <mergeCell ref="Q30:Q31"/>
    <mergeCell ref="C28:C29"/>
    <mergeCell ref="D28:D29"/>
    <mergeCell ref="L28:L29"/>
    <mergeCell ref="M28:M29"/>
    <mergeCell ref="N28:N29"/>
    <mergeCell ref="O28:O29"/>
    <mergeCell ref="P24:P25"/>
    <mergeCell ref="Q24:Q25"/>
    <mergeCell ref="C26:C27"/>
    <mergeCell ref="D26:D27"/>
    <mergeCell ref="L26:L27"/>
    <mergeCell ref="M26:M27"/>
    <mergeCell ref="N26:N27"/>
    <mergeCell ref="O26:O27"/>
    <mergeCell ref="P26:P27"/>
    <mergeCell ref="Q26:Q27"/>
    <mergeCell ref="C24:C25"/>
    <mergeCell ref="D24:D25"/>
    <mergeCell ref="L24:L25"/>
    <mergeCell ref="M24:M25"/>
    <mergeCell ref="N24:N25"/>
    <mergeCell ref="O24:O25"/>
    <mergeCell ref="P20:P21"/>
    <mergeCell ref="Q20:Q21"/>
    <mergeCell ref="C22:C23"/>
    <mergeCell ref="D22:D23"/>
    <mergeCell ref="L22:L23"/>
    <mergeCell ref="M22:M23"/>
    <mergeCell ref="N22:N23"/>
    <mergeCell ref="O22:O23"/>
    <mergeCell ref="P22:P23"/>
    <mergeCell ref="Q22:Q23"/>
    <mergeCell ref="D20:D21"/>
    <mergeCell ref="L20:L21"/>
    <mergeCell ref="M20:M21"/>
    <mergeCell ref="N20:N21"/>
    <mergeCell ref="O20:O21"/>
    <mergeCell ref="Q16:Q17"/>
    <mergeCell ref="L18:L19"/>
    <mergeCell ref="M18:M19"/>
    <mergeCell ref="N18:N19"/>
    <mergeCell ref="O18:O19"/>
    <mergeCell ref="P18:P19"/>
    <mergeCell ref="Q18:Q19"/>
    <mergeCell ref="D16:D17"/>
    <mergeCell ref="L16:L17"/>
    <mergeCell ref="M16:M17"/>
    <mergeCell ref="N16:N17"/>
    <mergeCell ref="O16:O17"/>
    <mergeCell ref="D18:D19"/>
    <mergeCell ref="C18:C19"/>
    <mergeCell ref="C16:C17"/>
    <mergeCell ref="C14:C15"/>
    <mergeCell ref="C12:C13"/>
    <mergeCell ref="C20:C21"/>
    <mergeCell ref="B2:Q2"/>
    <mergeCell ref="B3:Q3"/>
    <mergeCell ref="B6:B9"/>
    <mergeCell ref="D12:D13"/>
    <mergeCell ref="L12:L13"/>
    <mergeCell ref="M12:M13"/>
    <mergeCell ref="N12:N13"/>
    <mergeCell ref="O12:O13"/>
    <mergeCell ref="P12:P13"/>
    <mergeCell ref="Q12:Q13"/>
    <mergeCell ref="B12:B35"/>
    <mergeCell ref="D14:D15"/>
    <mergeCell ref="L14:L15"/>
    <mergeCell ref="M14:M15"/>
    <mergeCell ref="N14:N15"/>
    <mergeCell ref="O14:O15"/>
    <mergeCell ref="P14:P15"/>
    <mergeCell ref="Q14:Q15"/>
    <mergeCell ref="P16:P17"/>
  </mergeCells>
  <conditionalFormatting sqref="I12:I35">
    <cfRule type="dataBar" priority="10">
      <dataBar>
        <cfvo type="min" val="0"/>
        <cfvo type="max" val="0"/>
        <color rgb="FF008AEF"/>
      </dataBar>
    </cfRule>
  </conditionalFormatting>
  <conditionalFormatting sqref="I50:I63">
    <cfRule type="dataBar" priority="9">
      <dataBar>
        <cfvo type="min" val="0"/>
        <cfvo type="max" val="0"/>
        <color rgb="FF008AEF"/>
      </dataBar>
    </cfRule>
  </conditionalFormatting>
  <conditionalFormatting sqref="Q50:Q63">
    <cfRule type="dataBar" priority="8">
      <dataBar>
        <cfvo type="min" val="0"/>
        <cfvo type="max" val="0"/>
        <color rgb="FF638EC6"/>
      </dataBar>
    </cfRule>
  </conditionalFormatting>
  <conditionalFormatting sqref="R50:R63">
    <cfRule type="dataBar" priority="7">
      <dataBar>
        <cfvo type="min" val="0"/>
        <cfvo type="max" val="0"/>
        <color rgb="FF638EC6"/>
      </dataBar>
    </cfRule>
  </conditionalFormatting>
  <conditionalFormatting sqref="Q12:Q35">
    <cfRule type="dataBar" priority="6">
      <dataBar>
        <cfvo type="min" val="0"/>
        <cfvo type="max" val="0"/>
        <color rgb="FF638EC6"/>
      </dataBar>
    </cfRule>
  </conditionalFormatting>
  <conditionalFormatting sqref="Q12:R35">
    <cfRule type="dataBar" priority="5">
      <dataBar>
        <cfvo type="min" val="0"/>
        <cfvo type="max" val="0"/>
        <color rgb="FF638EC6"/>
      </dataBar>
    </cfRule>
  </conditionalFormatting>
  <conditionalFormatting sqref="R12:R35">
    <cfRule type="dataBar" priority="4">
      <dataBar>
        <cfvo type="min" val="0"/>
        <cfvo type="max" val="0"/>
        <color rgb="FF638EC6"/>
      </dataBar>
    </cfRule>
  </conditionalFormatting>
  <conditionalFormatting sqref="G12:G35">
    <cfRule type="dataBar" priority="1">
      <dataBar>
        <cfvo type="min" val="0"/>
        <cfvo type="max" val="0"/>
        <color rgb="FFFF555A"/>
      </dataBar>
    </cfRule>
  </conditionalFormatting>
  <pageMargins left="0.7" right="0.7" top="0.75" bottom="0.75" header="0.3" footer="0.3"/>
  <pageSetup paperSize="9" orientation="portrait" horizontalDpi="200" verticalDpi="200"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rgb="FF00B0F0"/>
  </sheetPr>
  <dimension ref="B1:BE61"/>
  <sheetViews>
    <sheetView showGridLines="0" topLeftCell="A6" zoomScale="69" zoomScaleNormal="69" zoomScalePageLayoutView="61" workbookViewId="0">
      <selection activeCell="K44" sqref="K44"/>
    </sheetView>
  </sheetViews>
  <sheetFormatPr baseColWidth="10" defaultColWidth="11.44140625" defaultRowHeight="14.4"/>
  <cols>
    <col min="1" max="1" width="4.109375" style="51" customWidth="1"/>
    <col min="2" max="2" width="12.44140625" style="51" customWidth="1"/>
    <col min="3" max="3" width="14.77734375" style="51" customWidth="1"/>
    <col min="4" max="4" width="12.109375" style="51" customWidth="1"/>
    <col min="5" max="5" width="10.44140625" style="51" customWidth="1"/>
    <col min="6" max="6" width="10.77734375" style="3" customWidth="1"/>
    <col min="7" max="7" width="10.33203125" style="51" customWidth="1"/>
    <col min="8" max="8" width="12.77734375" style="51" customWidth="1"/>
    <col min="9" max="9" width="10.21875" style="51" customWidth="1"/>
    <col min="10" max="10" width="11" style="51" customWidth="1"/>
    <col min="11" max="11" width="12" style="51" customWidth="1"/>
    <col min="12" max="12" width="11.44140625" style="51" customWidth="1"/>
    <col min="13" max="13" width="10.77734375" style="3" customWidth="1"/>
    <col min="14" max="14" width="16" style="51" customWidth="1"/>
    <col min="15" max="15" width="13.33203125" style="51" customWidth="1"/>
    <col min="16" max="16" width="10.77734375" style="51" customWidth="1"/>
    <col min="17" max="17" width="11.6640625" style="51" customWidth="1"/>
    <col min="18" max="18" width="11.44140625" style="51" hidden="1" customWidth="1"/>
    <col min="19" max="19" width="25.6640625" style="51" customWidth="1"/>
    <col min="20" max="20" width="18.44140625" style="51" customWidth="1"/>
    <col min="21" max="21" width="40" style="51" customWidth="1"/>
    <col min="22" max="22" width="16" style="51" bestFit="1" customWidth="1"/>
    <col min="23" max="23" width="12.33203125" style="51" bestFit="1" customWidth="1"/>
    <col min="24" max="24" width="17.33203125" style="51" bestFit="1" customWidth="1"/>
    <col min="25" max="25" width="23" style="51" bestFit="1" customWidth="1"/>
    <col min="26" max="26" width="18.33203125" style="51" bestFit="1" customWidth="1"/>
    <col min="27" max="27" width="15" style="51" customWidth="1"/>
    <col min="28" max="28" width="12.44140625" style="51" bestFit="1" customWidth="1"/>
    <col min="29" max="29" width="14.44140625" style="51" bestFit="1" customWidth="1"/>
    <col min="30" max="30" width="16" style="51" bestFit="1" customWidth="1"/>
    <col min="31" max="31" width="21" style="51" bestFit="1" customWidth="1"/>
    <col min="32" max="32" width="23" style="51" bestFit="1" customWidth="1"/>
    <col min="33" max="33" width="18.33203125" style="51" bestFit="1" customWidth="1"/>
    <col min="34" max="34" width="21.44140625" style="51" bestFit="1" customWidth="1"/>
    <col min="35" max="35" width="12.44140625" style="51" bestFit="1" customWidth="1"/>
    <col min="36" max="36" width="9.6640625" style="51" bestFit="1" customWidth="1"/>
    <col min="37" max="37" width="14.109375" style="51" bestFit="1" customWidth="1"/>
    <col min="38" max="38" width="10" style="51" bestFit="1" customWidth="1"/>
    <col min="39" max="39" width="15.44140625" style="51" customWidth="1"/>
    <col min="40" max="40" width="44.44140625" style="51" customWidth="1"/>
    <col min="41" max="41" width="14.44140625" style="51" bestFit="1" customWidth="1"/>
    <col min="42" max="42" width="12.33203125" style="1" bestFit="1" customWidth="1"/>
    <col min="43" max="43" width="21.77734375" style="51" customWidth="1"/>
    <col min="44" max="44" width="23" style="51" bestFit="1" customWidth="1"/>
    <col min="45" max="45" width="18.33203125" style="51" bestFit="1" customWidth="1"/>
    <col min="46" max="46" width="14.44140625" style="51" customWidth="1"/>
    <col min="47" max="47" width="17.44140625" style="51" customWidth="1"/>
    <col min="48" max="48" width="9.33203125" style="51" bestFit="1" customWidth="1"/>
    <col min="49" max="49" width="14.44140625" style="51" bestFit="1" customWidth="1"/>
    <col min="50" max="50" width="21" style="51" bestFit="1" customWidth="1"/>
    <col min="51" max="51" width="23" style="51" bestFit="1" customWidth="1"/>
    <col min="52" max="52" width="18.33203125" style="51" bestFit="1" customWidth="1"/>
    <col min="53" max="53" width="21.44140625" style="51" bestFit="1" customWidth="1"/>
    <col min="54" max="54" width="12.44140625" style="51" bestFit="1" customWidth="1"/>
    <col min="55" max="55" width="9.6640625" style="51" bestFit="1" customWidth="1"/>
    <col min="56" max="56" width="14.109375" style="51" bestFit="1" customWidth="1"/>
    <col min="57" max="57" width="6.44140625" style="51" hidden="1" customWidth="1"/>
    <col min="58" max="58" width="24.6640625" style="51" customWidth="1"/>
    <col min="59" max="59" width="16.6640625" style="51" customWidth="1"/>
    <col min="60" max="60" width="42.44140625" style="51" bestFit="1" customWidth="1"/>
    <col min="61" max="61" width="18.33203125" style="51" customWidth="1"/>
    <col min="62" max="62" width="11.44140625" style="51"/>
    <col min="63" max="63" width="14.77734375" style="51" bestFit="1" customWidth="1"/>
    <col min="64" max="64" width="20.6640625" style="51" customWidth="1"/>
    <col min="65" max="65" width="15.6640625" style="51" customWidth="1"/>
    <col min="66" max="66" width="11.44140625" style="51"/>
    <col min="67" max="67" width="14" style="51" customWidth="1"/>
    <col min="68" max="68" width="11.44140625" style="51"/>
    <col min="69" max="69" width="17.44140625" style="51" customWidth="1"/>
    <col min="70" max="70" width="21" style="51" bestFit="1" customWidth="1"/>
    <col min="71" max="71" width="14.109375" style="51" bestFit="1" customWidth="1"/>
    <col min="72" max="72" width="18.33203125" style="51" bestFit="1" customWidth="1"/>
    <col min="73" max="73" width="12.6640625" style="51" bestFit="1" customWidth="1"/>
    <col min="74" max="74" width="12.44140625" style="51" bestFit="1" customWidth="1"/>
    <col min="75" max="75" width="9.6640625" style="51" bestFit="1" customWidth="1"/>
    <col min="76" max="76" width="14.109375" style="51" bestFit="1" customWidth="1"/>
    <col min="77" max="16384" width="11.44140625" style="51"/>
  </cols>
  <sheetData>
    <row r="1" spans="2:19" ht="15" thickBot="1">
      <c r="H1" s="52"/>
    </row>
    <row r="2" spans="2:19" ht="33" customHeight="1">
      <c r="B2" s="851" t="s">
        <v>378</v>
      </c>
      <c r="C2" s="852"/>
      <c r="D2" s="852"/>
      <c r="E2" s="852"/>
      <c r="F2" s="852"/>
      <c r="G2" s="852"/>
      <c r="H2" s="852"/>
      <c r="I2" s="852"/>
      <c r="J2" s="852"/>
      <c r="K2" s="852"/>
      <c r="L2" s="852"/>
      <c r="M2" s="852"/>
      <c r="N2" s="852"/>
      <c r="O2" s="852"/>
      <c r="P2" s="852"/>
      <c r="Q2" s="853"/>
    </row>
    <row r="3" spans="2:19" ht="18.45" customHeight="1" thickBot="1">
      <c r="B3" s="854">
        <f>+'Resumen Cuota Global'!B4:I4</f>
        <v>43621</v>
      </c>
      <c r="C3" s="855"/>
      <c r="D3" s="855"/>
      <c r="E3" s="855"/>
      <c r="F3" s="855"/>
      <c r="G3" s="855"/>
      <c r="H3" s="855"/>
      <c r="I3" s="855"/>
      <c r="J3" s="855"/>
      <c r="K3" s="855"/>
      <c r="L3" s="855"/>
      <c r="M3" s="855"/>
      <c r="N3" s="855"/>
      <c r="O3" s="855"/>
      <c r="P3" s="855"/>
      <c r="Q3" s="856"/>
    </row>
    <row r="4" spans="2:19" ht="15" thickBot="1">
      <c r="G4" s="51" t="s">
        <v>70</v>
      </c>
      <c r="H4" s="52"/>
      <c r="J4" s="53"/>
    </row>
    <row r="5" spans="2:19" ht="46.8">
      <c r="B5" s="163" t="s">
        <v>72</v>
      </c>
      <c r="C5" s="164" t="s">
        <v>73</v>
      </c>
      <c r="D5" s="164" t="s">
        <v>74</v>
      </c>
      <c r="E5" s="164" t="s">
        <v>43</v>
      </c>
      <c r="F5" s="165" t="s">
        <v>4</v>
      </c>
      <c r="G5" s="165" t="s">
        <v>5</v>
      </c>
      <c r="H5" s="165" t="s">
        <v>6</v>
      </c>
      <c r="I5" s="165" t="s">
        <v>7</v>
      </c>
      <c r="J5" s="165" t="s">
        <v>75</v>
      </c>
      <c r="K5" s="166" t="s">
        <v>76</v>
      </c>
      <c r="L5" s="161" t="s">
        <v>3</v>
      </c>
      <c r="M5" s="162" t="s">
        <v>4</v>
      </c>
      <c r="N5" s="162" t="s">
        <v>5</v>
      </c>
      <c r="O5" s="162" t="s">
        <v>6</v>
      </c>
      <c r="P5" s="162" t="s">
        <v>7</v>
      </c>
      <c r="Q5" s="162" t="s">
        <v>460</v>
      </c>
      <c r="R5" s="162" t="s">
        <v>459</v>
      </c>
    </row>
    <row r="6" spans="2:19" ht="15.45" customHeight="1">
      <c r="B6" s="167">
        <v>1</v>
      </c>
      <c r="C6" s="857" t="s">
        <v>77</v>
      </c>
      <c r="D6" s="168" t="s">
        <v>78</v>
      </c>
      <c r="E6" s="169">
        <f>164.208+47.191</f>
        <v>211.399</v>
      </c>
      <c r="F6" s="380">
        <f>-147.667</f>
        <v>-147.667</v>
      </c>
      <c r="G6" s="108">
        <f>E6+F6</f>
        <v>63.731999999999999</v>
      </c>
      <c r="H6" s="403">
        <f>+F43</f>
        <v>55.496000000000002</v>
      </c>
      <c r="I6" s="381">
        <f>G6-H6</f>
        <v>8.2359999999999971</v>
      </c>
      <c r="J6" s="170">
        <f>(H6/G6)</f>
        <v>0.87077135504926884</v>
      </c>
      <c r="K6" s="745" t="s">
        <v>30</v>
      </c>
      <c r="L6" s="858">
        <f>E6+E7</f>
        <v>258.59000000000003</v>
      </c>
      <c r="M6" s="859">
        <f>F6+F7</f>
        <v>-147.667</v>
      </c>
      <c r="N6" s="859">
        <f>L6+M6</f>
        <v>110.92300000000003</v>
      </c>
      <c r="O6" s="860">
        <f>H6+H7</f>
        <v>55.496000000000002</v>
      </c>
      <c r="P6" s="860">
        <f>N6-O6</f>
        <v>55.427000000000028</v>
      </c>
      <c r="Q6" s="861">
        <f>O6/N6</f>
        <v>0.50031102656797943</v>
      </c>
      <c r="R6" s="883">
        <f>+(((O6*-1)+M6)/L6)*-1</f>
        <v>0.78565683127731156</v>
      </c>
      <c r="S6" s="347"/>
    </row>
    <row r="7" spans="2:19">
      <c r="B7" s="167">
        <v>2</v>
      </c>
      <c r="C7" s="857"/>
      <c r="D7" s="168" t="s">
        <v>79</v>
      </c>
      <c r="E7" s="169">
        <f>94.382-47.191</f>
        <v>47.191000000000003</v>
      </c>
      <c r="F7" s="380"/>
      <c r="G7" s="108">
        <f>E7+F7+I6</f>
        <v>55.427</v>
      </c>
      <c r="H7" s="365"/>
      <c r="I7" s="94">
        <f>G7-H7</f>
        <v>55.427</v>
      </c>
      <c r="J7" s="170">
        <f>(H7/G7)</f>
        <v>0</v>
      </c>
      <c r="K7" s="171" t="s">
        <v>30</v>
      </c>
      <c r="L7" s="858"/>
      <c r="M7" s="859"/>
      <c r="N7" s="859"/>
      <c r="O7" s="859"/>
      <c r="P7" s="859"/>
      <c r="Q7" s="861"/>
      <c r="R7" s="883" t="e">
        <f t="shared" ref="R7:R37" si="0">+((M7*-1)+K7)/J7</f>
        <v>#VALUE!</v>
      </c>
    </row>
    <row r="8" spans="2:19">
      <c r="B8" s="167">
        <v>3</v>
      </c>
      <c r="C8" s="857" t="s">
        <v>80</v>
      </c>
      <c r="D8" s="168" t="s">
        <v>78</v>
      </c>
      <c r="E8" s="169">
        <f>385.625+110.823</f>
        <v>496.44799999999998</v>
      </c>
      <c r="F8" s="380">
        <v>-305.55599999999998</v>
      </c>
      <c r="G8" s="108">
        <f t="shared" ref="G8" si="1">E8+F8</f>
        <v>190.892</v>
      </c>
      <c r="H8" s="417">
        <f>+F44</f>
        <v>138.876</v>
      </c>
      <c r="I8" s="94">
        <f t="shared" ref="I8:I35" si="2">G8-H8</f>
        <v>52.015999999999991</v>
      </c>
      <c r="J8" s="170">
        <f t="shared" ref="J8:J20" si="3">(H8/G8)</f>
        <v>0.72751084382792364</v>
      </c>
      <c r="K8" s="171" t="s">
        <v>30</v>
      </c>
      <c r="L8" s="858">
        <f>E8+E9</f>
        <v>607.27099999999996</v>
      </c>
      <c r="M8" s="859">
        <f>F8+F9</f>
        <v>-305.55599999999998</v>
      </c>
      <c r="N8" s="859">
        <f>L8+M8</f>
        <v>301.71499999999997</v>
      </c>
      <c r="O8" s="860">
        <f>H8+H9</f>
        <v>138.876</v>
      </c>
      <c r="P8" s="860">
        <f>N8-O8</f>
        <v>162.83899999999997</v>
      </c>
      <c r="Q8" s="861">
        <f>O8/N8</f>
        <v>0.46028868302868609</v>
      </c>
      <c r="R8" s="883">
        <f t="shared" ref="R8" si="4">+(((O8*-1)+M8)/L8)*-1</f>
        <v>0.73185118340905464</v>
      </c>
    </row>
    <row r="9" spans="2:19">
      <c r="B9" s="167">
        <v>4</v>
      </c>
      <c r="C9" s="857" t="s">
        <v>80</v>
      </c>
      <c r="D9" s="168" t="s">
        <v>79</v>
      </c>
      <c r="E9" s="169">
        <f>221.646-110.823</f>
        <v>110.82299999999999</v>
      </c>
      <c r="F9" s="380"/>
      <c r="G9" s="108">
        <f t="shared" ref="G9" si="5">E9+F9+I8</f>
        <v>162.839</v>
      </c>
      <c r="H9" s="365"/>
      <c r="I9" s="94">
        <f t="shared" si="2"/>
        <v>162.839</v>
      </c>
      <c r="J9" s="170">
        <f t="shared" si="3"/>
        <v>0</v>
      </c>
      <c r="K9" s="171" t="s">
        <v>30</v>
      </c>
      <c r="L9" s="858"/>
      <c r="M9" s="859"/>
      <c r="N9" s="859"/>
      <c r="O9" s="859"/>
      <c r="P9" s="859"/>
      <c r="Q9" s="861"/>
      <c r="R9" s="883" t="e">
        <f t="shared" si="0"/>
        <v>#VALUE!</v>
      </c>
    </row>
    <row r="10" spans="2:19">
      <c r="B10" s="167">
        <v>5</v>
      </c>
      <c r="C10" s="857" t="s">
        <v>81</v>
      </c>
      <c r="D10" s="168" t="s">
        <v>78</v>
      </c>
      <c r="E10" s="169">
        <v>145.399</v>
      </c>
      <c r="F10" s="380"/>
      <c r="G10" s="108">
        <f t="shared" ref="G10" si="6">E10+F10</f>
        <v>145.399</v>
      </c>
      <c r="H10" s="417">
        <f>+F45</f>
        <v>130.405</v>
      </c>
      <c r="I10" s="94">
        <f t="shared" si="2"/>
        <v>14.994</v>
      </c>
      <c r="J10" s="170">
        <f t="shared" si="3"/>
        <v>0.89687686985467574</v>
      </c>
      <c r="K10" s="171" t="s">
        <v>30</v>
      </c>
      <c r="L10" s="858">
        <f>E10+E11</f>
        <v>228.97</v>
      </c>
      <c r="M10" s="859">
        <f>F10+F11</f>
        <v>0</v>
      </c>
      <c r="N10" s="859">
        <f>L10+M10</f>
        <v>228.97</v>
      </c>
      <c r="O10" s="860">
        <f>H10+H11</f>
        <v>130.405</v>
      </c>
      <c r="P10" s="860">
        <f>N10-O10</f>
        <v>98.564999999999998</v>
      </c>
      <c r="Q10" s="861">
        <f>O10/N10</f>
        <v>0.56952875922609947</v>
      </c>
      <c r="R10" s="883">
        <f t="shared" ref="R10" si="7">+(((O10*-1)+M10)/L10)*-1</f>
        <v>0.56952875922609947</v>
      </c>
    </row>
    <row r="11" spans="2:19">
      <c r="B11" s="167">
        <v>6</v>
      </c>
      <c r="C11" s="857" t="s">
        <v>81</v>
      </c>
      <c r="D11" s="168" t="s">
        <v>79</v>
      </c>
      <c r="E11" s="169">
        <v>83.570999999999998</v>
      </c>
      <c r="F11" s="380"/>
      <c r="G11" s="108">
        <f t="shared" ref="G11" si="8">E11+F11+I10</f>
        <v>98.564999999999998</v>
      </c>
      <c r="H11" s="365"/>
      <c r="I11" s="94">
        <f t="shared" si="2"/>
        <v>98.564999999999998</v>
      </c>
      <c r="J11" s="170">
        <f t="shared" si="3"/>
        <v>0</v>
      </c>
      <c r="K11" s="171" t="s">
        <v>30</v>
      </c>
      <c r="L11" s="858"/>
      <c r="M11" s="859"/>
      <c r="N11" s="859"/>
      <c r="O11" s="859"/>
      <c r="P11" s="859"/>
      <c r="Q11" s="861"/>
      <c r="R11" s="883" t="e">
        <f t="shared" si="0"/>
        <v>#VALUE!</v>
      </c>
    </row>
    <row r="12" spans="2:19">
      <c r="B12" s="167">
        <v>7</v>
      </c>
      <c r="C12" s="857" t="s">
        <v>82</v>
      </c>
      <c r="D12" s="168" t="s">
        <v>78</v>
      </c>
      <c r="E12" s="169">
        <v>16.343</v>
      </c>
      <c r="F12" s="380"/>
      <c r="G12" s="108">
        <f t="shared" ref="G12" si="9">E12+F12</f>
        <v>16.343</v>
      </c>
      <c r="H12" s="417">
        <f>+F46</f>
        <v>4.9399999999999995</v>
      </c>
      <c r="I12" s="94">
        <f t="shared" si="2"/>
        <v>11.403</v>
      </c>
      <c r="J12" s="170">
        <f t="shared" si="3"/>
        <v>0.30227008505170405</v>
      </c>
      <c r="K12" s="171" t="s">
        <v>30</v>
      </c>
      <c r="L12" s="858">
        <f>E12+E13</f>
        <v>25.736000000000001</v>
      </c>
      <c r="M12" s="859">
        <f>F12+F13</f>
        <v>0</v>
      </c>
      <c r="N12" s="859">
        <f>L12+M12</f>
        <v>25.736000000000001</v>
      </c>
      <c r="O12" s="860">
        <f>H12+H13</f>
        <v>4.9399999999999995</v>
      </c>
      <c r="P12" s="860">
        <f>N12-O12</f>
        <v>20.795999999999999</v>
      </c>
      <c r="Q12" s="861">
        <f>O12/N12</f>
        <v>0.1919490208268573</v>
      </c>
      <c r="R12" s="883">
        <f t="shared" ref="R12" si="10">+(((O12*-1)+M12)/L12)*-1</f>
        <v>0.1919490208268573</v>
      </c>
    </row>
    <row r="13" spans="2:19">
      <c r="B13" s="167">
        <v>8</v>
      </c>
      <c r="C13" s="857" t="s">
        <v>82</v>
      </c>
      <c r="D13" s="168" t="s">
        <v>79</v>
      </c>
      <c r="E13" s="169">
        <v>9.3930000000000007</v>
      </c>
      <c r="F13" s="380"/>
      <c r="G13" s="108">
        <f t="shared" ref="G13" si="11">E13+F13+I12</f>
        <v>20.795999999999999</v>
      </c>
      <c r="H13" s="365"/>
      <c r="I13" s="94">
        <f t="shared" si="2"/>
        <v>20.795999999999999</v>
      </c>
      <c r="J13" s="170">
        <f t="shared" si="3"/>
        <v>0</v>
      </c>
      <c r="K13" s="171" t="s">
        <v>30</v>
      </c>
      <c r="L13" s="858"/>
      <c r="M13" s="859"/>
      <c r="N13" s="859"/>
      <c r="O13" s="859"/>
      <c r="P13" s="859"/>
      <c r="Q13" s="861"/>
      <c r="R13" s="883" t="e">
        <f t="shared" si="0"/>
        <v>#VALUE!</v>
      </c>
    </row>
    <row r="14" spans="2:19">
      <c r="B14" s="167">
        <v>9</v>
      </c>
      <c r="C14" s="857" t="s">
        <v>83</v>
      </c>
      <c r="D14" s="168" t="s">
        <v>78</v>
      </c>
      <c r="E14" s="169">
        <v>150.81899999999999</v>
      </c>
      <c r="F14" s="380"/>
      <c r="G14" s="108">
        <f t="shared" ref="G14" si="12">E14+F14</f>
        <v>150.81899999999999</v>
      </c>
      <c r="H14" s="417">
        <f>+F47</f>
        <v>159.78300000000002</v>
      </c>
      <c r="I14" s="94">
        <f t="shared" si="2"/>
        <v>-8.9640000000000271</v>
      </c>
      <c r="J14" s="170">
        <f t="shared" si="3"/>
        <v>1.0594354822668233</v>
      </c>
      <c r="K14" s="415">
        <v>43615</v>
      </c>
      <c r="L14" s="858">
        <f>E14+E15</f>
        <v>237.50599999999997</v>
      </c>
      <c r="M14" s="859">
        <f>F14+F15</f>
        <v>0</v>
      </c>
      <c r="N14" s="859">
        <f>L14+M14</f>
        <v>237.50599999999997</v>
      </c>
      <c r="O14" s="860">
        <f>H14+H15</f>
        <v>159.78300000000002</v>
      </c>
      <c r="P14" s="860">
        <f>N14-O14</f>
        <v>77.722999999999956</v>
      </c>
      <c r="Q14" s="861">
        <f>O14/N14</f>
        <v>0.67275353043712594</v>
      </c>
      <c r="R14" s="883">
        <f t="shared" ref="R14" si="13">+(((O14*-1)+M14)/L14)*-1</f>
        <v>0.67275353043712594</v>
      </c>
    </row>
    <row r="15" spans="2:19">
      <c r="B15" s="167">
        <v>10</v>
      </c>
      <c r="C15" s="857" t="s">
        <v>83</v>
      </c>
      <c r="D15" s="168" t="s">
        <v>79</v>
      </c>
      <c r="E15" s="169">
        <v>86.686999999999998</v>
      </c>
      <c r="F15" s="380"/>
      <c r="G15" s="108">
        <f t="shared" ref="G15" si="14">E15+F15+I14</f>
        <v>77.722999999999971</v>
      </c>
      <c r="H15" s="365"/>
      <c r="I15" s="94">
        <f t="shared" si="2"/>
        <v>77.722999999999971</v>
      </c>
      <c r="J15" s="170">
        <f t="shared" si="3"/>
        <v>0</v>
      </c>
      <c r="K15" s="171" t="s">
        <v>30</v>
      </c>
      <c r="L15" s="858"/>
      <c r="M15" s="859"/>
      <c r="N15" s="859"/>
      <c r="O15" s="859"/>
      <c r="P15" s="859"/>
      <c r="Q15" s="861"/>
      <c r="R15" s="883" t="e">
        <f t="shared" si="0"/>
        <v>#VALUE!</v>
      </c>
    </row>
    <row r="16" spans="2:19">
      <c r="B16" s="167">
        <v>11</v>
      </c>
      <c r="C16" s="857" t="s">
        <v>84</v>
      </c>
      <c r="D16" s="168" t="s">
        <v>78</v>
      </c>
      <c r="E16" s="169">
        <v>366.63600000000002</v>
      </c>
      <c r="F16" s="380"/>
      <c r="G16" s="108">
        <f t="shared" ref="G16" si="15">E16+F16</f>
        <v>366.63600000000002</v>
      </c>
      <c r="H16" s="417">
        <f>+F48</f>
        <v>321.04900000000004</v>
      </c>
      <c r="I16" s="94">
        <f t="shared" si="2"/>
        <v>45.586999999999989</v>
      </c>
      <c r="J16" s="170">
        <f t="shared" si="3"/>
        <v>0.87566141895503991</v>
      </c>
      <c r="K16" s="171" t="s">
        <v>30</v>
      </c>
      <c r="L16" s="858">
        <f>E16+E17</f>
        <v>577.36800000000005</v>
      </c>
      <c r="M16" s="859">
        <f>F16+F17</f>
        <v>0</v>
      </c>
      <c r="N16" s="859">
        <f>L16+M16</f>
        <v>577.36800000000005</v>
      </c>
      <c r="O16" s="860">
        <f>H16+H17</f>
        <v>321.04900000000004</v>
      </c>
      <c r="P16" s="860">
        <f>N16-O16</f>
        <v>256.31900000000002</v>
      </c>
      <c r="Q16" s="861">
        <f>O16/N16</f>
        <v>0.55605610286680252</v>
      </c>
      <c r="R16" s="883">
        <f t="shared" ref="R16" si="16">+(((O16*-1)+M16)/L16)*-1</f>
        <v>0.55605610286680252</v>
      </c>
    </row>
    <row r="17" spans="2:18">
      <c r="B17" s="167">
        <v>12</v>
      </c>
      <c r="C17" s="857" t="s">
        <v>84</v>
      </c>
      <c r="D17" s="168" t="s">
        <v>79</v>
      </c>
      <c r="E17" s="169">
        <v>210.732</v>
      </c>
      <c r="F17" s="380"/>
      <c r="G17" s="108">
        <f t="shared" ref="G17" si="17">E17+F17+I16</f>
        <v>256.31899999999996</v>
      </c>
      <c r="H17" s="365"/>
      <c r="I17" s="94">
        <f t="shared" si="2"/>
        <v>256.31899999999996</v>
      </c>
      <c r="J17" s="170">
        <f t="shared" si="3"/>
        <v>0</v>
      </c>
      <c r="K17" s="171" t="s">
        <v>30</v>
      </c>
      <c r="L17" s="858"/>
      <c r="M17" s="859"/>
      <c r="N17" s="859"/>
      <c r="O17" s="859"/>
      <c r="P17" s="859"/>
      <c r="Q17" s="861"/>
      <c r="R17" s="883" t="e">
        <f t="shared" si="0"/>
        <v>#VALUE!</v>
      </c>
    </row>
    <row r="18" spans="2:18">
      <c r="B18" s="167">
        <v>13</v>
      </c>
      <c r="C18" s="857" t="s">
        <v>85</v>
      </c>
      <c r="D18" s="168" t="s">
        <v>78</v>
      </c>
      <c r="E18" s="169">
        <v>131.066</v>
      </c>
      <c r="F18" s="380"/>
      <c r="G18" s="108">
        <f t="shared" ref="G18" si="18">E18+F18</f>
        <v>131.066</v>
      </c>
      <c r="H18" s="417">
        <f>+F49</f>
        <v>103.51499999999999</v>
      </c>
      <c r="I18" s="94">
        <f t="shared" si="2"/>
        <v>27.551000000000016</v>
      </c>
      <c r="J18" s="170">
        <f t="shared" si="3"/>
        <v>0.78979292875345231</v>
      </c>
      <c r="K18" s="171" t="s">
        <v>30</v>
      </c>
      <c r="L18" s="858">
        <f>E18+E19</f>
        <v>206.399</v>
      </c>
      <c r="M18" s="859">
        <f>F18+F19</f>
        <v>0</v>
      </c>
      <c r="N18" s="859">
        <f>L18+M18</f>
        <v>206.399</v>
      </c>
      <c r="O18" s="860">
        <f>H18+H19</f>
        <v>103.51499999999999</v>
      </c>
      <c r="P18" s="860">
        <f>N18-O18</f>
        <v>102.88400000000001</v>
      </c>
      <c r="Q18" s="861">
        <f>O18/N18</f>
        <v>0.50152859267729</v>
      </c>
      <c r="R18" s="883">
        <f t="shared" ref="R18" si="19">+(((O18*-1)+M18)/L18)*-1</f>
        <v>0.50152859267729</v>
      </c>
    </row>
    <row r="19" spans="2:18">
      <c r="B19" s="167">
        <v>14</v>
      </c>
      <c r="C19" s="857" t="s">
        <v>85</v>
      </c>
      <c r="D19" s="168" t="s">
        <v>79</v>
      </c>
      <c r="E19" s="169">
        <v>75.332999999999998</v>
      </c>
      <c r="F19" s="380"/>
      <c r="G19" s="108">
        <f t="shared" ref="G19" si="20">E19+F19+I18</f>
        <v>102.88400000000001</v>
      </c>
      <c r="H19" s="365"/>
      <c r="I19" s="94">
        <f t="shared" si="2"/>
        <v>102.88400000000001</v>
      </c>
      <c r="J19" s="170">
        <f t="shared" si="3"/>
        <v>0</v>
      </c>
      <c r="K19" s="171" t="s">
        <v>30</v>
      </c>
      <c r="L19" s="858"/>
      <c r="M19" s="859"/>
      <c r="N19" s="859"/>
      <c r="O19" s="859"/>
      <c r="P19" s="859"/>
      <c r="Q19" s="861"/>
      <c r="R19" s="883" t="e">
        <f t="shared" si="0"/>
        <v>#VALUE!</v>
      </c>
    </row>
    <row r="20" spans="2:18">
      <c r="B20" s="167">
        <v>15</v>
      </c>
      <c r="C20" s="857" t="s">
        <v>86</v>
      </c>
      <c r="D20" s="623" t="s">
        <v>78</v>
      </c>
      <c r="E20" s="624">
        <f>103.06+20</f>
        <v>123.06</v>
      </c>
      <c r="F20" s="214"/>
      <c r="G20" s="212">
        <f t="shared" ref="G20" si="21">E20+F20</f>
        <v>123.06</v>
      </c>
      <c r="H20" s="625">
        <f>+F50</f>
        <v>127.858</v>
      </c>
      <c r="I20" s="214">
        <f t="shared" si="2"/>
        <v>-4.7980000000000018</v>
      </c>
      <c r="J20" s="626">
        <f t="shared" si="3"/>
        <v>1.0389891110027629</v>
      </c>
      <c r="K20" s="415">
        <v>43578</v>
      </c>
      <c r="L20" s="858">
        <f>E20+E21</f>
        <v>162.29599999999999</v>
      </c>
      <c r="M20" s="859">
        <f>F20+F21</f>
        <v>0</v>
      </c>
      <c r="N20" s="859">
        <f>L20+M20</f>
        <v>162.29599999999999</v>
      </c>
      <c r="O20" s="860">
        <f>H20+H21</f>
        <v>127.858</v>
      </c>
      <c r="P20" s="860">
        <f>N20-O20</f>
        <v>34.437999999999988</v>
      </c>
      <c r="Q20" s="861">
        <f>O20/N20</f>
        <v>0.78780746290728054</v>
      </c>
      <c r="R20" s="883">
        <f t="shared" ref="R20" si="22">+(((O20*-1)+M20)/L20)*-1</f>
        <v>0.78780746290728054</v>
      </c>
    </row>
    <row r="21" spans="2:18">
      <c r="B21" s="167">
        <v>16</v>
      </c>
      <c r="C21" s="857" t="s">
        <v>86</v>
      </c>
      <c r="D21" s="168" t="s">
        <v>79</v>
      </c>
      <c r="E21" s="169">
        <f>59.236-20</f>
        <v>39.235999999999997</v>
      </c>
      <c r="F21" s="380"/>
      <c r="G21" s="108">
        <f t="shared" ref="G21" si="23">E21+F21+I20</f>
        <v>34.437999999999995</v>
      </c>
      <c r="H21" s="365"/>
      <c r="I21" s="94">
        <f t="shared" si="2"/>
        <v>34.437999999999995</v>
      </c>
      <c r="J21" s="170">
        <f t="shared" ref="J21:J37" si="24">(H21/G21)</f>
        <v>0</v>
      </c>
      <c r="K21" s="171" t="s">
        <v>30</v>
      </c>
      <c r="L21" s="858"/>
      <c r="M21" s="859"/>
      <c r="N21" s="859"/>
      <c r="O21" s="859"/>
      <c r="P21" s="859"/>
      <c r="Q21" s="861"/>
      <c r="R21" s="883" t="e">
        <f t="shared" si="0"/>
        <v>#VALUE!</v>
      </c>
    </row>
    <row r="22" spans="2:18">
      <c r="B22" s="167">
        <v>17</v>
      </c>
      <c r="C22" s="857" t="s">
        <v>87</v>
      </c>
      <c r="D22" s="168" t="s">
        <v>78</v>
      </c>
      <c r="E22" s="169">
        <v>1240.7249999999999</v>
      </c>
      <c r="F22" s="380"/>
      <c r="G22" s="108">
        <f t="shared" ref="G22" si="25">E22+F22</f>
        <v>1240.7249999999999</v>
      </c>
      <c r="H22" s="417">
        <f>+F51</f>
        <v>1104.508</v>
      </c>
      <c r="I22" s="94">
        <f t="shared" si="2"/>
        <v>136.21699999999987</v>
      </c>
      <c r="J22" s="170">
        <f t="shared" si="24"/>
        <v>0.89021177134336793</v>
      </c>
      <c r="K22" s="171" t="s">
        <v>30</v>
      </c>
      <c r="L22" s="858">
        <f>E22+E23</f>
        <v>1953.8579999999999</v>
      </c>
      <c r="M22" s="859">
        <f>F22+F23</f>
        <v>0</v>
      </c>
      <c r="N22" s="859">
        <f>L22+M22</f>
        <v>1953.8579999999999</v>
      </c>
      <c r="O22" s="860">
        <f>H22+H23</f>
        <v>1104.508</v>
      </c>
      <c r="P22" s="860">
        <f>N22-O22</f>
        <v>849.34999999999991</v>
      </c>
      <c r="Q22" s="861">
        <f>O22/N22</f>
        <v>0.56529594269389083</v>
      </c>
      <c r="R22" s="883">
        <f t="shared" ref="R22" si="26">+(((O22*-1)+M22)/L22)*-1</f>
        <v>0.56529594269389083</v>
      </c>
    </row>
    <row r="23" spans="2:18">
      <c r="B23" s="167">
        <v>18</v>
      </c>
      <c r="C23" s="857" t="s">
        <v>87</v>
      </c>
      <c r="D23" s="168" t="s">
        <v>79</v>
      </c>
      <c r="E23" s="169">
        <v>713.13300000000004</v>
      </c>
      <c r="F23" s="380"/>
      <c r="G23" s="108">
        <f t="shared" ref="G23" si="27">E23+F23+I22</f>
        <v>849.34999999999991</v>
      </c>
      <c r="H23" s="365"/>
      <c r="I23" s="94">
        <f t="shared" si="2"/>
        <v>849.34999999999991</v>
      </c>
      <c r="J23" s="170">
        <f t="shared" si="24"/>
        <v>0</v>
      </c>
      <c r="K23" s="171" t="s">
        <v>30</v>
      </c>
      <c r="L23" s="858"/>
      <c r="M23" s="859"/>
      <c r="N23" s="859"/>
      <c r="O23" s="859"/>
      <c r="P23" s="859"/>
      <c r="Q23" s="861"/>
      <c r="R23" s="883" t="e">
        <f t="shared" si="0"/>
        <v>#VALUE!</v>
      </c>
    </row>
    <row r="24" spans="2:18">
      <c r="B24" s="470">
        <v>19</v>
      </c>
      <c r="C24" s="863" t="s">
        <v>88</v>
      </c>
      <c r="D24" s="471" t="s">
        <v>78</v>
      </c>
      <c r="E24" s="472">
        <v>67.554000000000002</v>
      </c>
      <c r="F24" s="513">
        <v>-106</v>
      </c>
      <c r="G24" s="460">
        <f t="shared" ref="G24" si="28">E24+F24</f>
        <v>-38.445999999999998</v>
      </c>
      <c r="H24" s="514">
        <f>+F52</f>
        <v>0</v>
      </c>
      <c r="I24" s="513">
        <f t="shared" si="2"/>
        <v>-38.445999999999998</v>
      </c>
      <c r="J24" s="515">
        <f t="shared" si="24"/>
        <v>0</v>
      </c>
      <c r="K24" s="415">
        <v>43509</v>
      </c>
      <c r="L24" s="864">
        <f>E24+E25</f>
        <v>106.38200000000001</v>
      </c>
      <c r="M24" s="865">
        <f>F24+F25</f>
        <v>-106</v>
      </c>
      <c r="N24" s="866">
        <f>L24+M24</f>
        <v>0.382000000000005</v>
      </c>
      <c r="O24" s="867">
        <f>H24+H25</f>
        <v>0</v>
      </c>
      <c r="P24" s="867">
        <f>N24-O24</f>
        <v>0.382000000000005</v>
      </c>
      <c r="Q24" s="862">
        <f>O24/N24</f>
        <v>0</v>
      </c>
      <c r="R24" s="882">
        <f t="shared" ref="R24" si="29">+(((O24*-1)+M24)/L24)*-1</f>
        <v>0.99640916696433601</v>
      </c>
    </row>
    <row r="25" spans="2:18">
      <c r="B25" s="470">
        <v>20</v>
      </c>
      <c r="C25" s="863" t="s">
        <v>88</v>
      </c>
      <c r="D25" s="471" t="s">
        <v>79</v>
      </c>
      <c r="E25" s="472">
        <v>38.828000000000003</v>
      </c>
      <c r="F25" s="513"/>
      <c r="G25" s="460">
        <f t="shared" ref="G25" si="30">E25+F25+I24</f>
        <v>0.382000000000005</v>
      </c>
      <c r="H25" s="514"/>
      <c r="I25" s="513">
        <f t="shared" si="2"/>
        <v>0.382000000000005</v>
      </c>
      <c r="J25" s="515">
        <f t="shared" si="24"/>
        <v>0</v>
      </c>
      <c r="K25" s="415" t="s">
        <v>30</v>
      </c>
      <c r="L25" s="864"/>
      <c r="M25" s="865"/>
      <c r="N25" s="866"/>
      <c r="O25" s="866"/>
      <c r="P25" s="866"/>
      <c r="Q25" s="862"/>
      <c r="R25" s="882" t="e">
        <f t="shared" si="0"/>
        <v>#VALUE!</v>
      </c>
    </row>
    <row r="26" spans="2:18">
      <c r="B26" s="167">
        <v>21</v>
      </c>
      <c r="C26" s="857" t="s">
        <v>89</v>
      </c>
      <c r="D26" s="168" t="s">
        <v>78</v>
      </c>
      <c r="E26" s="169">
        <f>329.712+94.755</f>
        <v>424.46699999999998</v>
      </c>
      <c r="F26" s="380">
        <f>-324.448</f>
        <v>-324.44799999999998</v>
      </c>
      <c r="G26" s="108">
        <f t="shared" ref="G26" si="31">E26+F26</f>
        <v>100.01900000000001</v>
      </c>
      <c r="H26" s="403">
        <f>+F53</f>
        <v>104.81400000000001</v>
      </c>
      <c r="I26" s="734">
        <f t="shared" si="2"/>
        <v>-4.7950000000000017</v>
      </c>
      <c r="J26" s="170">
        <f t="shared" si="24"/>
        <v>1.0479408912306662</v>
      </c>
      <c r="K26" s="745" t="s">
        <v>30</v>
      </c>
      <c r="L26" s="858">
        <f>E26+E27</f>
        <v>519.221</v>
      </c>
      <c r="M26" s="859">
        <f>F26+F27</f>
        <v>-324.44799999999998</v>
      </c>
      <c r="N26" s="859">
        <f>L26+M26</f>
        <v>194.77300000000002</v>
      </c>
      <c r="O26" s="860">
        <f>H26+H27</f>
        <v>104.81400000000001</v>
      </c>
      <c r="P26" s="860">
        <f>N26-O26</f>
        <v>89.959000000000017</v>
      </c>
      <c r="Q26" s="861">
        <f>O26/N26</f>
        <v>0.53813413563481594</v>
      </c>
      <c r="R26" s="883">
        <f t="shared" ref="R26" si="32">+(((O26*-1)+M26)/L26)*-1</f>
        <v>0.82674236981940252</v>
      </c>
    </row>
    <row r="27" spans="2:18">
      <c r="B27" s="167">
        <v>22</v>
      </c>
      <c r="C27" s="857" t="s">
        <v>89</v>
      </c>
      <c r="D27" s="168" t="s">
        <v>79</v>
      </c>
      <c r="E27" s="169">
        <f>189.509-94.755</f>
        <v>94.753999999999991</v>
      </c>
      <c r="F27" s="380"/>
      <c r="G27" s="108">
        <f t="shared" ref="G27" si="33">E27+F27+I26</f>
        <v>89.958999999999989</v>
      </c>
      <c r="H27" s="365"/>
      <c r="I27" s="94">
        <f t="shared" si="2"/>
        <v>89.958999999999989</v>
      </c>
      <c r="J27" s="170">
        <f t="shared" si="24"/>
        <v>0</v>
      </c>
      <c r="K27" s="171" t="s">
        <v>30</v>
      </c>
      <c r="L27" s="858"/>
      <c r="M27" s="859"/>
      <c r="N27" s="859"/>
      <c r="O27" s="859"/>
      <c r="P27" s="859"/>
      <c r="Q27" s="861"/>
      <c r="R27" s="883" t="e">
        <f t="shared" si="0"/>
        <v>#VALUE!</v>
      </c>
    </row>
    <row r="28" spans="2:18">
      <c r="B28" s="470">
        <v>23</v>
      </c>
      <c r="C28" s="863" t="s">
        <v>90</v>
      </c>
      <c r="D28" s="471" t="s">
        <v>78</v>
      </c>
      <c r="E28" s="472">
        <v>248.315</v>
      </c>
      <c r="F28" s="513">
        <v>-248.69</v>
      </c>
      <c r="G28" s="460">
        <f t="shared" ref="G28" si="34">E28+F28</f>
        <v>-0.375</v>
      </c>
      <c r="H28" s="514">
        <f>+F54</f>
        <v>142.346</v>
      </c>
      <c r="I28" s="513">
        <f t="shared" si="2"/>
        <v>-142.721</v>
      </c>
      <c r="J28" s="515">
        <f t="shared" si="24"/>
        <v>-379.58933333333334</v>
      </c>
      <c r="K28" s="415">
        <v>43566</v>
      </c>
      <c r="L28" s="864">
        <f>E28+E29</f>
        <v>391.03899999999999</v>
      </c>
      <c r="M28" s="866">
        <f>F28+F29</f>
        <v>-248.69</v>
      </c>
      <c r="N28" s="866">
        <f>L28+M28</f>
        <v>142.34899999999999</v>
      </c>
      <c r="O28" s="867">
        <f>H28+H29</f>
        <v>142.346</v>
      </c>
      <c r="P28" s="867">
        <f>N28-O28</f>
        <v>2.9999999999859028E-3</v>
      </c>
      <c r="Q28" s="862">
        <f>O28/N28</f>
        <v>0.99997892503635444</v>
      </c>
      <c r="R28" s="882">
        <f t="shared" ref="R28" si="35">+(((O28*-1)+M28)/L28)*-1</f>
        <v>0.99999232813095373</v>
      </c>
    </row>
    <row r="29" spans="2:18">
      <c r="B29" s="470">
        <v>24</v>
      </c>
      <c r="C29" s="863" t="s">
        <v>90</v>
      </c>
      <c r="D29" s="471" t="s">
        <v>79</v>
      </c>
      <c r="E29" s="472">
        <v>142.72399999999999</v>
      </c>
      <c r="F29" s="513"/>
      <c r="G29" s="460">
        <f t="shared" ref="G29" si="36">E29+F29+I28</f>
        <v>2.9999999999859028E-3</v>
      </c>
      <c r="H29" s="514"/>
      <c r="I29" s="513">
        <f t="shared" si="2"/>
        <v>2.9999999999859028E-3</v>
      </c>
      <c r="J29" s="515">
        <f t="shared" si="24"/>
        <v>0</v>
      </c>
      <c r="K29" s="415">
        <v>43566</v>
      </c>
      <c r="L29" s="864"/>
      <c r="M29" s="866"/>
      <c r="N29" s="866"/>
      <c r="O29" s="866"/>
      <c r="P29" s="866"/>
      <c r="Q29" s="862"/>
      <c r="R29" s="882" t="e">
        <f t="shared" si="0"/>
        <v>#DIV/0!</v>
      </c>
    </row>
    <row r="30" spans="2:18">
      <c r="B30" s="167">
        <v>25</v>
      </c>
      <c r="C30" s="857" t="s">
        <v>91</v>
      </c>
      <c r="D30" s="168" t="s">
        <v>78</v>
      </c>
      <c r="E30" s="169">
        <f>353.337+101.544</f>
        <v>454.88099999999997</v>
      </c>
      <c r="F30" s="380">
        <f>-222.222</f>
        <v>-222.22200000000001</v>
      </c>
      <c r="G30" s="108">
        <f t="shared" ref="G30" si="37">E30+F30</f>
        <v>232.65899999999996</v>
      </c>
      <c r="H30" s="417">
        <f>+F55</f>
        <v>127.46899999999999</v>
      </c>
      <c r="I30" s="94">
        <f t="shared" si="2"/>
        <v>105.18999999999997</v>
      </c>
      <c r="J30" s="170">
        <f t="shared" si="24"/>
        <v>0.54787908484090453</v>
      </c>
      <c r="K30" s="171" t="s">
        <v>30</v>
      </c>
      <c r="L30" s="858">
        <f t="shared" ref="L30:M30" si="38">E30+E31</f>
        <v>556.42499999999995</v>
      </c>
      <c r="M30" s="859">
        <f t="shared" si="38"/>
        <v>-222.22200000000001</v>
      </c>
      <c r="N30" s="859">
        <f t="shared" ref="N30" si="39">L30+M30</f>
        <v>334.20299999999997</v>
      </c>
      <c r="O30" s="860">
        <f>H30+H31</f>
        <v>127.46899999999999</v>
      </c>
      <c r="P30" s="860">
        <f t="shared" ref="P30" si="40">N30-O30</f>
        <v>206.73399999999998</v>
      </c>
      <c r="Q30" s="861">
        <f t="shared" ref="Q30" si="41">O30/N30</f>
        <v>0.38141189636239053</v>
      </c>
      <c r="R30" s="883">
        <f t="shared" ref="R30" si="42">+(((O30*-1)+M30)/L30)*-1</f>
        <v>0.62846025969357966</v>
      </c>
    </row>
    <row r="31" spans="2:18">
      <c r="B31" s="167">
        <v>26</v>
      </c>
      <c r="C31" s="857" t="s">
        <v>91</v>
      </c>
      <c r="D31" s="168" t="s">
        <v>79</v>
      </c>
      <c r="E31" s="169">
        <f>203.088-101.544</f>
        <v>101.544</v>
      </c>
      <c r="F31" s="380"/>
      <c r="G31" s="108">
        <f t="shared" ref="G31" si="43">E31+F31+I30</f>
        <v>206.73399999999998</v>
      </c>
      <c r="H31" s="365"/>
      <c r="I31" s="94">
        <f t="shared" si="2"/>
        <v>206.73399999999998</v>
      </c>
      <c r="J31" s="170">
        <f t="shared" si="24"/>
        <v>0</v>
      </c>
      <c r="K31" s="171" t="s">
        <v>30</v>
      </c>
      <c r="L31" s="858"/>
      <c r="M31" s="859"/>
      <c r="N31" s="859"/>
      <c r="O31" s="859"/>
      <c r="P31" s="859"/>
      <c r="Q31" s="861"/>
      <c r="R31" s="883" t="e">
        <f t="shared" si="0"/>
        <v>#VALUE!</v>
      </c>
    </row>
    <row r="32" spans="2:18">
      <c r="B32" s="167">
        <v>27</v>
      </c>
      <c r="C32" s="857" t="s">
        <v>92</v>
      </c>
      <c r="D32" s="168" t="s">
        <v>78</v>
      </c>
      <c r="E32" s="169">
        <f>208.695+59.976</f>
        <v>268.67099999999999</v>
      </c>
      <c r="F32" s="380">
        <f>-167.778</f>
        <v>-167.77799999999999</v>
      </c>
      <c r="G32" s="108">
        <f t="shared" ref="G32" si="44">E32+F32</f>
        <v>100.893</v>
      </c>
      <c r="H32" s="417">
        <f>+F56</f>
        <v>26.521000000000004</v>
      </c>
      <c r="I32" s="94">
        <f t="shared" si="2"/>
        <v>74.372</v>
      </c>
      <c r="J32" s="170">
        <f t="shared" si="24"/>
        <v>0.2628626366546738</v>
      </c>
      <c r="K32" s="171" t="s">
        <v>30</v>
      </c>
      <c r="L32" s="858">
        <f t="shared" ref="L32:M32" si="45">E32+E33</f>
        <v>328.64699999999999</v>
      </c>
      <c r="M32" s="859">
        <f t="shared" si="45"/>
        <v>-167.77799999999999</v>
      </c>
      <c r="N32" s="859">
        <f t="shared" ref="N32" si="46">L32+M32</f>
        <v>160.869</v>
      </c>
      <c r="O32" s="860">
        <f>H32+H33</f>
        <v>26.521000000000004</v>
      </c>
      <c r="P32" s="860">
        <f t="shared" ref="P32" si="47">N32-O32</f>
        <v>134.34799999999998</v>
      </c>
      <c r="Q32" s="861">
        <f t="shared" ref="Q32" si="48">O32/N32</f>
        <v>0.16486084951109289</v>
      </c>
      <c r="R32" s="883">
        <f t="shared" ref="R32" si="49">+(((O32*-1)+M32)/L32)*-1</f>
        <v>0.59120880458364145</v>
      </c>
    </row>
    <row r="33" spans="2:42">
      <c r="B33" s="167">
        <v>28</v>
      </c>
      <c r="C33" s="857" t="s">
        <v>92</v>
      </c>
      <c r="D33" s="168" t="s">
        <v>79</v>
      </c>
      <c r="E33" s="169">
        <f>119.952-59.976</f>
        <v>59.975999999999999</v>
      </c>
      <c r="F33" s="380"/>
      <c r="G33" s="108">
        <f t="shared" ref="G33" si="50">E33+F33+I32</f>
        <v>134.34800000000001</v>
      </c>
      <c r="H33" s="365"/>
      <c r="I33" s="94">
        <f t="shared" si="2"/>
        <v>134.34800000000001</v>
      </c>
      <c r="J33" s="170">
        <f t="shared" si="24"/>
        <v>0</v>
      </c>
      <c r="K33" s="171" t="s">
        <v>30</v>
      </c>
      <c r="L33" s="858"/>
      <c r="M33" s="859"/>
      <c r="N33" s="859"/>
      <c r="O33" s="859"/>
      <c r="P33" s="859"/>
      <c r="Q33" s="861"/>
      <c r="R33" s="883" t="e">
        <f t="shared" si="0"/>
        <v>#VALUE!</v>
      </c>
    </row>
    <row r="34" spans="2:42" s="54" customFormat="1">
      <c r="B34" s="470">
        <v>29</v>
      </c>
      <c r="C34" s="863" t="s">
        <v>93</v>
      </c>
      <c r="D34" s="471" t="s">
        <v>78</v>
      </c>
      <c r="E34" s="472">
        <v>20.506</v>
      </c>
      <c r="F34" s="513"/>
      <c r="G34" s="460">
        <f t="shared" ref="G34" si="51">E34+F34</f>
        <v>20.506</v>
      </c>
      <c r="H34" s="514">
        <f>+F57</f>
        <v>32.481000000000002</v>
      </c>
      <c r="I34" s="513">
        <f t="shared" si="2"/>
        <v>-11.975000000000001</v>
      </c>
      <c r="J34" s="515">
        <f t="shared" si="24"/>
        <v>1.5839754218277577</v>
      </c>
      <c r="K34" s="415">
        <v>43479</v>
      </c>
      <c r="L34" s="864">
        <f t="shared" ref="L34:M34" si="52">E34+E35</f>
        <v>32.292000000000002</v>
      </c>
      <c r="M34" s="866">
        <f t="shared" si="52"/>
        <v>0</v>
      </c>
      <c r="N34" s="866">
        <f t="shared" ref="N34" si="53">L34+M34</f>
        <v>32.292000000000002</v>
      </c>
      <c r="O34" s="867">
        <f>H34+H35</f>
        <v>32.481000000000002</v>
      </c>
      <c r="P34" s="879">
        <f t="shared" ref="P34" si="54">N34-O34</f>
        <v>-0.18900000000000006</v>
      </c>
      <c r="Q34" s="881">
        <f>O34/N34</f>
        <v>1.0058528428093645</v>
      </c>
      <c r="R34" s="882">
        <f t="shared" ref="R34" si="55">+(((O34*-1)+M34)/L34)*-1</f>
        <v>1.0058528428093645</v>
      </c>
      <c r="AP34" s="1"/>
    </row>
    <row r="35" spans="2:42">
      <c r="B35" s="470">
        <v>30</v>
      </c>
      <c r="C35" s="863" t="s">
        <v>93</v>
      </c>
      <c r="D35" s="471" t="s">
        <v>79</v>
      </c>
      <c r="E35" s="472">
        <v>11.786</v>
      </c>
      <c r="F35" s="513"/>
      <c r="G35" s="460">
        <f t="shared" ref="G35" si="56">E35+F35+I34</f>
        <v>-0.18900000000000183</v>
      </c>
      <c r="H35" s="514"/>
      <c r="I35" s="513">
        <f t="shared" si="2"/>
        <v>-0.18900000000000183</v>
      </c>
      <c r="J35" s="515">
        <f t="shared" si="24"/>
        <v>0</v>
      </c>
      <c r="K35" s="415">
        <v>43479</v>
      </c>
      <c r="L35" s="864"/>
      <c r="M35" s="866"/>
      <c r="N35" s="866"/>
      <c r="O35" s="866"/>
      <c r="P35" s="880"/>
      <c r="Q35" s="881"/>
      <c r="R35" s="882" t="e">
        <f t="shared" si="0"/>
        <v>#DIV/0!</v>
      </c>
    </row>
    <row r="36" spans="2:42">
      <c r="B36" s="871" t="s">
        <v>377</v>
      </c>
      <c r="C36" s="872"/>
      <c r="D36" s="172" t="s">
        <v>78</v>
      </c>
      <c r="E36" s="173">
        <f>+E6+E8+E10+E12+E14+E16+E18+E20+E22+E24+E26+E28+E30+E32+E34</f>
        <v>4366.2889999999998</v>
      </c>
      <c r="F36" s="677">
        <f>+F6+F8+F10+F12+F14+F16+F18+F20+F22+F24+F26+F28+F30+F32+F34</f>
        <v>-1522.3609999999999</v>
      </c>
      <c r="G36" s="173">
        <f>E36+F36</f>
        <v>2843.9279999999999</v>
      </c>
      <c r="H36" s="173">
        <f>H6+H8+H10+H12+H14+H16+H18+H20+H22+H24+H26+H28+H30+H32+H34</f>
        <v>2580.0610000000006</v>
      </c>
      <c r="I36" s="173">
        <f>G36-H36</f>
        <v>263.86699999999928</v>
      </c>
      <c r="J36" s="174">
        <f t="shared" si="24"/>
        <v>0.90721741197386174</v>
      </c>
      <c r="K36" s="171" t="s">
        <v>30</v>
      </c>
      <c r="L36" s="875">
        <f>SUM(L6:L35)</f>
        <v>6192</v>
      </c>
      <c r="M36" s="877">
        <f>F36+F37</f>
        <v>-1522.3609999999999</v>
      </c>
      <c r="N36" s="877">
        <f>L36+M36</f>
        <v>4669.6390000000001</v>
      </c>
      <c r="O36" s="877">
        <f>H36+H37</f>
        <v>2580.0610000000006</v>
      </c>
      <c r="P36" s="877">
        <f>N36-O36</f>
        <v>2089.5779999999995</v>
      </c>
      <c r="Q36" s="869">
        <f>O36/N36</f>
        <v>0.55251829959446552</v>
      </c>
      <c r="R36" s="884">
        <f t="shared" ref="R36" si="57">+(((O36*-1)+M36)/L36)*-1</f>
        <v>0.66253585271317839</v>
      </c>
    </row>
    <row r="37" spans="2:42" ht="15" thickBot="1">
      <c r="B37" s="873"/>
      <c r="C37" s="874"/>
      <c r="D37" s="175" t="s">
        <v>79</v>
      </c>
      <c r="E37" s="176">
        <f>+E7+E9+E11+E13+E15+E17+E19+E21+E23+E25+E27+E29+E31+E33+E35</f>
        <v>1825.7110000000002</v>
      </c>
      <c r="F37" s="176">
        <f>+F7+F9+F11+F13+F15+F17+F19+F21+F23+F25+F27+F29+F31+F33+F35</f>
        <v>0</v>
      </c>
      <c r="G37" s="176">
        <f>E37+F37</f>
        <v>1825.7110000000002</v>
      </c>
      <c r="H37" s="173">
        <f>H7+H9+H11+H13+H15+H17+H19+H21+H23+H25+H27+H29+H31+H33+H35</f>
        <v>0</v>
      </c>
      <c r="I37" s="176">
        <f>G37-H37</f>
        <v>1825.7110000000002</v>
      </c>
      <c r="J37" s="177">
        <f t="shared" si="24"/>
        <v>0</v>
      </c>
      <c r="K37" s="178" t="s">
        <v>30</v>
      </c>
      <c r="L37" s="876"/>
      <c r="M37" s="878"/>
      <c r="N37" s="878"/>
      <c r="O37" s="878"/>
      <c r="P37" s="878"/>
      <c r="Q37" s="870"/>
      <c r="R37" s="884" t="e">
        <f t="shared" si="0"/>
        <v>#VALUE!</v>
      </c>
    </row>
    <row r="38" spans="2:42">
      <c r="F38" s="51"/>
      <c r="M38" s="51"/>
    </row>
    <row r="39" spans="2:42" ht="15.6" customHeight="1"/>
    <row r="41" spans="2:42">
      <c r="B41" s="868" t="s">
        <v>575</v>
      </c>
      <c r="C41" s="868"/>
      <c r="D41" s="868"/>
      <c r="E41" s="868"/>
      <c r="F41" s="868"/>
      <c r="L41" s="3"/>
      <c r="M41" s="51"/>
      <c r="AO41" s="1"/>
      <c r="AP41" s="51"/>
    </row>
    <row r="42" spans="2:42" ht="12" customHeight="1">
      <c r="B42" s="384" t="s">
        <v>72</v>
      </c>
      <c r="C42" s="384" t="s">
        <v>73</v>
      </c>
      <c r="D42" s="384" t="s">
        <v>74</v>
      </c>
      <c r="E42" s="384" t="s">
        <v>414</v>
      </c>
      <c r="F42" s="384" t="s">
        <v>572</v>
      </c>
    </row>
    <row r="43" spans="2:42" ht="12" customHeight="1">
      <c r="B43" s="385">
        <v>1</v>
      </c>
      <c r="C43" s="386" t="s">
        <v>77</v>
      </c>
      <c r="D43" s="385">
        <v>1</v>
      </c>
      <c r="E43" s="683">
        <v>211.399</v>
      </c>
      <c r="F43" s="672">
        <v>55.496000000000002</v>
      </c>
      <c r="L43" s="3"/>
      <c r="M43" s="51"/>
      <c r="N43" s="3"/>
    </row>
    <row r="44" spans="2:42" ht="12" customHeight="1">
      <c r="B44" s="385">
        <v>3</v>
      </c>
      <c r="C44" s="386" t="s">
        <v>80</v>
      </c>
      <c r="D44" s="385">
        <v>1</v>
      </c>
      <c r="E44" s="683">
        <v>496.44799999999998</v>
      </c>
      <c r="F44" s="672">
        <v>138.876</v>
      </c>
    </row>
    <row r="45" spans="2:42" ht="12" customHeight="1">
      <c r="B45" s="385">
        <v>5</v>
      </c>
      <c r="C45" s="386" t="s">
        <v>81</v>
      </c>
      <c r="D45" s="385">
        <v>1</v>
      </c>
      <c r="E45" s="683">
        <v>145.399</v>
      </c>
      <c r="F45" s="672">
        <v>130.405</v>
      </c>
      <c r="L45" s="3"/>
    </row>
    <row r="46" spans="2:42" ht="12" customHeight="1">
      <c r="B46" s="385">
        <v>7</v>
      </c>
      <c r="C46" s="386" t="s">
        <v>82</v>
      </c>
      <c r="D46" s="385">
        <v>1</v>
      </c>
      <c r="E46" s="683">
        <v>16.343</v>
      </c>
      <c r="F46" s="672">
        <v>4.9399999999999995</v>
      </c>
    </row>
    <row r="47" spans="2:42" ht="12" customHeight="1">
      <c r="B47" s="385">
        <v>9</v>
      </c>
      <c r="C47" s="386" t="s">
        <v>83</v>
      </c>
      <c r="D47" s="385">
        <v>1</v>
      </c>
      <c r="E47" s="683">
        <v>150.81899999999999</v>
      </c>
      <c r="F47" s="672">
        <v>159.78300000000002</v>
      </c>
      <c r="L47" s="3"/>
      <c r="M47" s="51"/>
    </row>
    <row r="48" spans="2:42" ht="12" customHeight="1">
      <c r="B48" s="385">
        <v>11</v>
      </c>
      <c r="C48" s="386" t="s">
        <v>84</v>
      </c>
      <c r="D48" s="385">
        <v>1</v>
      </c>
      <c r="E48" s="683">
        <v>366.63600000000002</v>
      </c>
      <c r="F48" s="672">
        <v>321.04900000000004</v>
      </c>
    </row>
    <row r="49" spans="2:13" ht="12" customHeight="1">
      <c r="B49" s="385">
        <v>13</v>
      </c>
      <c r="C49" s="386" t="s">
        <v>85</v>
      </c>
      <c r="D49" s="385">
        <v>1</v>
      </c>
      <c r="E49" s="683">
        <v>131.066</v>
      </c>
      <c r="F49" s="672">
        <v>103.51499999999999</v>
      </c>
      <c r="L49" s="3"/>
      <c r="M49" s="51"/>
    </row>
    <row r="50" spans="2:13" ht="12" customHeight="1">
      <c r="B50" s="385">
        <v>15</v>
      </c>
      <c r="C50" s="386" t="s">
        <v>86</v>
      </c>
      <c r="D50" s="385">
        <v>1</v>
      </c>
      <c r="E50" s="683">
        <v>103.06</v>
      </c>
      <c r="F50" s="672">
        <v>127.858</v>
      </c>
    </row>
    <row r="51" spans="2:13" ht="12" customHeight="1">
      <c r="B51" s="385">
        <v>17</v>
      </c>
      <c r="C51" s="386" t="s">
        <v>87</v>
      </c>
      <c r="D51" s="385">
        <v>1</v>
      </c>
      <c r="E51" s="683">
        <v>1240.7249999999999</v>
      </c>
      <c r="F51" s="672">
        <v>1104.508</v>
      </c>
      <c r="L51" s="3"/>
      <c r="M51" s="51"/>
    </row>
    <row r="52" spans="2:13" ht="12" customHeight="1">
      <c r="B52" s="385">
        <v>19</v>
      </c>
      <c r="C52" s="386" t="s">
        <v>88</v>
      </c>
      <c r="D52" s="385">
        <v>1</v>
      </c>
      <c r="E52" s="683">
        <v>67.554000000000002</v>
      </c>
      <c r="F52" s="672">
        <v>0</v>
      </c>
    </row>
    <row r="53" spans="2:13" ht="12" customHeight="1">
      <c r="B53" s="385">
        <v>21</v>
      </c>
      <c r="C53" s="386" t="s">
        <v>89</v>
      </c>
      <c r="D53" s="385">
        <v>1</v>
      </c>
      <c r="E53" s="683">
        <v>424.46699999999998</v>
      </c>
      <c r="F53" s="672">
        <v>104.81400000000001</v>
      </c>
      <c r="L53" s="3"/>
      <c r="M53" s="51"/>
    </row>
    <row r="54" spans="2:13" ht="12" customHeight="1">
      <c r="B54" s="385">
        <v>23</v>
      </c>
      <c r="C54" s="386" t="s">
        <v>90</v>
      </c>
      <c r="D54" s="385">
        <v>1</v>
      </c>
      <c r="E54" s="683">
        <v>248.315</v>
      </c>
      <c r="F54" s="672">
        <v>142.346</v>
      </c>
    </row>
    <row r="55" spans="2:13" ht="12" customHeight="1">
      <c r="B55" s="385">
        <v>25</v>
      </c>
      <c r="C55" s="386" t="s">
        <v>91</v>
      </c>
      <c r="D55" s="385">
        <v>1</v>
      </c>
      <c r="E55" s="683">
        <v>454.88099999999997</v>
      </c>
      <c r="F55" s="672">
        <v>127.46899999999999</v>
      </c>
      <c r="L55" s="3"/>
      <c r="M55" s="51"/>
    </row>
    <row r="56" spans="2:13" ht="12" customHeight="1">
      <c r="B56" s="385">
        <v>27</v>
      </c>
      <c r="C56" s="386" t="s">
        <v>92</v>
      </c>
      <c r="D56" s="385">
        <v>1</v>
      </c>
      <c r="E56" s="683">
        <v>268.67099999999999</v>
      </c>
      <c r="F56" s="672">
        <v>26.521000000000004</v>
      </c>
    </row>
    <row r="57" spans="2:13" ht="12" customHeight="1">
      <c r="B57" s="385">
        <v>29</v>
      </c>
      <c r="C57" s="386" t="s">
        <v>93</v>
      </c>
      <c r="D57" s="385">
        <v>1</v>
      </c>
      <c r="E57" s="683">
        <v>20.506</v>
      </c>
      <c r="F57" s="672">
        <v>32.481000000000002</v>
      </c>
      <c r="L57" s="3"/>
      <c r="M57" s="51"/>
    </row>
    <row r="58" spans="2:13" ht="12" customHeight="1">
      <c r="B58" s="385" t="s">
        <v>69</v>
      </c>
      <c r="C58" s="385" t="s">
        <v>69</v>
      </c>
      <c r="D58" s="385" t="s">
        <v>69</v>
      </c>
      <c r="E58" s="683">
        <f>SUM(E43:E57)</f>
        <v>4346.2889999999998</v>
      </c>
      <c r="F58" s="746">
        <f>SUM(F43:F57)</f>
        <v>2580.0610000000006</v>
      </c>
    </row>
    <row r="59" spans="2:13" ht="12" customHeight="1">
      <c r="E59" s="684"/>
      <c r="L59" s="3"/>
      <c r="M59" s="51"/>
    </row>
    <row r="60" spans="2:13">
      <c r="E60" s="684"/>
    </row>
    <row r="61" spans="2:13">
      <c r="E61" s="684"/>
    </row>
  </sheetData>
  <mergeCells count="131">
    <mergeCell ref="R24:R25"/>
    <mergeCell ref="R26:R27"/>
    <mergeCell ref="R28:R29"/>
    <mergeCell ref="R30:R31"/>
    <mergeCell ref="R32:R33"/>
    <mergeCell ref="R34:R35"/>
    <mergeCell ref="R36:R37"/>
    <mergeCell ref="R6:R7"/>
    <mergeCell ref="R8:R9"/>
    <mergeCell ref="R10:R11"/>
    <mergeCell ref="R12:R13"/>
    <mergeCell ref="R14:R15"/>
    <mergeCell ref="R16:R17"/>
    <mergeCell ref="R18:R19"/>
    <mergeCell ref="R20:R21"/>
    <mergeCell ref="R22:R23"/>
    <mergeCell ref="B41:F41"/>
    <mergeCell ref="Q36:Q37"/>
    <mergeCell ref="B36:C37"/>
    <mergeCell ref="L36:L37"/>
    <mergeCell ref="M36:M37"/>
    <mergeCell ref="N36:N37"/>
    <mergeCell ref="O36:O37"/>
    <mergeCell ref="P36:P37"/>
    <mergeCell ref="Q32:Q33"/>
    <mergeCell ref="C34:C35"/>
    <mergeCell ref="L34:L35"/>
    <mergeCell ref="M34:M35"/>
    <mergeCell ref="N34:N35"/>
    <mergeCell ref="O34:O35"/>
    <mergeCell ref="P34:P35"/>
    <mergeCell ref="Q34:Q35"/>
    <mergeCell ref="C32:C33"/>
    <mergeCell ref="L32:L33"/>
    <mergeCell ref="M32:M33"/>
    <mergeCell ref="N32:N33"/>
    <mergeCell ref="O32:O33"/>
    <mergeCell ref="P32:P33"/>
    <mergeCell ref="Q28:Q29"/>
    <mergeCell ref="C30:C31"/>
    <mergeCell ref="L30:L31"/>
    <mergeCell ref="M30:M31"/>
    <mergeCell ref="N30:N31"/>
    <mergeCell ref="O30:O31"/>
    <mergeCell ref="P30:P31"/>
    <mergeCell ref="Q30:Q31"/>
    <mergeCell ref="C28:C29"/>
    <mergeCell ref="L28:L29"/>
    <mergeCell ref="M28:M29"/>
    <mergeCell ref="N28:N29"/>
    <mergeCell ref="O28:O29"/>
    <mergeCell ref="P28:P29"/>
    <mergeCell ref="Q24:Q25"/>
    <mergeCell ref="C26:C27"/>
    <mergeCell ref="L26:L27"/>
    <mergeCell ref="M26:M27"/>
    <mergeCell ref="N26:N27"/>
    <mergeCell ref="O26:O27"/>
    <mergeCell ref="P26:P27"/>
    <mergeCell ref="Q26:Q27"/>
    <mergeCell ref="C24:C25"/>
    <mergeCell ref="L24:L25"/>
    <mergeCell ref="M24:M25"/>
    <mergeCell ref="N24:N25"/>
    <mergeCell ref="O24:O25"/>
    <mergeCell ref="P24:P25"/>
    <mergeCell ref="Q20:Q21"/>
    <mergeCell ref="C22:C23"/>
    <mergeCell ref="L22:L23"/>
    <mergeCell ref="M22:M23"/>
    <mergeCell ref="N22:N23"/>
    <mergeCell ref="O22:O23"/>
    <mergeCell ref="P22:P23"/>
    <mergeCell ref="Q22:Q23"/>
    <mergeCell ref="C20:C21"/>
    <mergeCell ref="L20:L21"/>
    <mergeCell ref="M20:M21"/>
    <mergeCell ref="N20:N21"/>
    <mergeCell ref="O20:O21"/>
    <mergeCell ref="P20:P21"/>
    <mergeCell ref="Q16:Q17"/>
    <mergeCell ref="C18:C19"/>
    <mergeCell ref="L18:L19"/>
    <mergeCell ref="M18:M19"/>
    <mergeCell ref="N18:N19"/>
    <mergeCell ref="O18:O19"/>
    <mergeCell ref="P18:P19"/>
    <mergeCell ref="Q18:Q19"/>
    <mergeCell ref="C16:C17"/>
    <mergeCell ref="L16:L17"/>
    <mergeCell ref="M16:M17"/>
    <mergeCell ref="N16:N17"/>
    <mergeCell ref="O16:O17"/>
    <mergeCell ref="P16:P17"/>
    <mergeCell ref="Q12:Q13"/>
    <mergeCell ref="C14:C15"/>
    <mergeCell ref="L14:L15"/>
    <mergeCell ref="M14:M15"/>
    <mergeCell ref="N14:N15"/>
    <mergeCell ref="O14:O15"/>
    <mergeCell ref="P14:P15"/>
    <mergeCell ref="Q14:Q15"/>
    <mergeCell ref="C12:C13"/>
    <mergeCell ref="L12:L13"/>
    <mergeCell ref="M12:M13"/>
    <mergeCell ref="N12:N13"/>
    <mergeCell ref="O12:O13"/>
    <mergeCell ref="P12:P13"/>
    <mergeCell ref="Q8:Q9"/>
    <mergeCell ref="C10:C11"/>
    <mergeCell ref="L10:L11"/>
    <mergeCell ref="M10:M11"/>
    <mergeCell ref="N10:N11"/>
    <mergeCell ref="O10:O11"/>
    <mergeCell ref="P10:P11"/>
    <mergeCell ref="Q10:Q11"/>
    <mergeCell ref="C8:C9"/>
    <mergeCell ref="L8:L9"/>
    <mergeCell ref="M8:M9"/>
    <mergeCell ref="N8:N9"/>
    <mergeCell ref="O8:O9"/>
    <mergeCell ref="P8:P9"/>
    <mergeCell ref="B2:Q2"/>
    <mergeCell ref="B3:Q3"/>
    <mergeCell ref="C6:C7"/>
    <mergeCell ref="L6:L7"/>
    <mergeCell ref="M6:M7"/>
    <mergeCell ref="N6:N7"/>
    <mergeCell ref="O6:O7"/>
    <mergeCell ref="P6:P7"/>
    <mergeCell ref="Q6:Q7"/>
  </mergeCells>
  <pageMargins left="0.7" right="0.7" top="0.75" bottom="0.75" header="0.3" footer="0.3"/>
  <pageSetup paperSize="9" orientation="portrait" horizontalDpi="200" verticalDpi="20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theme="8" tint="-0.499984740745262"/>
  </sheetPr>
  <dimension ref="A1:V268"/>
  <sheetViews>
    <sheetView showGridLines="0" topLeftCell="A188" zoomScale="58" zoomScaleNormal="58" zoomScalePageLayoutView="63" workbookViewId="0">
      <selection activeCell="K228" sqref="K228"/>
    </sheetView>
  </sheetViews>
  <sheetFormatPr baseColWidth="10" defaultRowHeight="14.4"/>
  <cols>
    <col min="1" max="1" width="5" customWidth="1"/>
    <col min="2" max="2" width="9.33203125" customWidth="1"/>
    <col min="3" max="3" width="34.88671875" style="204" customWidth="1"/>
    <col min="4" max="4" width="14.5546875" customWidth="1"/>
    <col min="5" max="5" width="14.33203125" style="216" hidden="1" customWidth="1"/>
    <col min="6" max="6" width="3.6640625" hidden="1" customWidth="1"/>
    <col min="7" max="7" width="12.6640625" style="525" customWidth="1"/>
    <col min="8" max="8" width="18.5546875" customWidth="1"/>
    <col min="9" max="9" width="18.77734375" bestFit="1" customWidth="1"/>
    <col min="10" max="10" width="18.5546875" customWidth="1"/>
    <col min="11" max="11" width="15.44140625" customWidth="1"/>
    <col min="12" max="12" width="14" customWidth="1"/>
    <col min="13" max="13" width="15.21875" customWidth="1"/>
    <col min="14" max="14" width="13.6640625" customWidth="1"/>
    <col min="15" max="15" width="13.77734375" customWidth="1"/>
    <col min="17" max="17" width="12.44140625" bestFit="1" customWidth="1"/>
    <col min="18" max="18" width="11.33203125" customWidth="1"/>
    <col min="19" max="19" width="14.44140625" customWidth="1"/>
    <col min="20" max="20" width="10.109375" customWidth="1"/>
    <col min="21" max="21" width="8.109375" customWidth="1"/>
  </cols>
  <sheetData>
    <row r="1" spans="1:20" ht="15" thickBot="1">
      <c r="A1" s="51"/>
      <c r="B1" s="51"/>
      <c r="C1" s="54"/>
      <c r="D1" s="51"/>
      <c r="E1" s="398"/>
      <c r="F1" s="51"/>
      <c r="G1" s="52"/>
      <c r="H1" s="51"/>
      <c r="I1" s="51"/>
      <c r="J1" s="51"/>
      <c r="K1" s="51"/>
      <c r="L1" s="3"/>
      <c r="M1" s="51"/>
      <c r="N1" s="51"/>
      <c r="O1" s="51"/>
      <c r="P1" s="51"/>
      <c r="Q1" s="51"/>
      <c r="R1" s="51"/>
      <c r="S1" s="51"/>
    </row>
    <row r="2" spans="1:20" ht="23.4">
      <c r="A2" s="51"/>
      <c r="B2" s="955" t="s">
        <v>234</v>
      </c>
      <c r="C2" s="956"/>
      <c r="D2" s="956"/>
      <c r="E2" s="956"/>
      <c r="F2" s="956"/>
      <c r="G2" s="956"/>
      <c r="H2" s="956"/>
      <c r="I2" s="956"/>
      <c r="J2" s="956"/>
      <c r="K2" s="956"/>
      <c r="L2" s="956"/>
      <c r="M2" s="956"/>
      <c r="N2" s="956"/>
      <c r="O2" s="956"/>
      <c r="P2" s="956"/>
      <c r="Q2" s="956"/>
      <c r="R2" s="956"/>
      <c r="S2" s="957"/>
    </row>
    <row r="3" spans="1:20" ht="21.6" thickBot="1">
      <c r="A3" s="51"/>
      <c r="B3" s="958">
        <f>+'Resumen Cuota Global'!B4:I4</f>
        <v>43621</v>
      </c>
      <c r="C3" s="959"/>
      <c r="D3" s="959"/>
      <c r="E3" s="959"/>
      <c r="F3" s="959"/>
      <c r="G3" s="959"/>
      <c r="H3" s="959"/>
      <c r="I3" s="959"/>
      <c r="J3" s="959"/>
      <c r="K3" s="959"/>
      <c r="L3" s="959"/>
      <c r="M3" s="959"/>
      <c r="N3" s="959"/>
      <c r="O3" s="959"/>
      <c r="P3" s="959"/>
      <c r="Q3" s="959"/>
      <c r="R3" s="959"/>
      <c r="S3" s="960"/>
    </row>
    <row r="4" spans="1:20">
      <c r="A4" s="51"/>
      <c r="B4" s="51"/>
      <c r="C4" s="54"/>
      <c r="D4" s="51"/>
      <c r="E4" s="398"/>
      <c r="F4" s="81"/>
      <c r="G4" s="52"/>
      <c r="H4" s="51"/>
      <c r="I4" s="53"/>
      <c r="J4" s="51"/>
      <c r="K4" s="51"/>
      <c r="L4" s="3"/>
      <c r="M4" s="51"/>
      <c r="N4" s="51"/>
      <c r="O4" s="51"/>
      <c r="P4" s="51"/>
      <c r="Q4" s="51"/>
      <c r="R4" s="51"/>
      <c r="S4" s="51"/>
    </row>
    <row r="5" spans="1:20" s="197" customFormat="1" ht="43.2">
      <c r="A5" s="26"/>
      <c r="B5" s="208" t="s">
        <v>235</v>
      </c>
      <c r="C5" s="416" t="s">
        <v>33</v>
      </c>
      <c r="D5" s="209" t="s">
        <v>3</v>
      </c>
      <c r="E5" s="398"/>
      <c r="F5" s="51"/>
      <c r="G5" s="527" t="s">
        <v>236</v>
      </c>
      <c r="H5" s="210" t="s">
        <v>4</v>
      </c>
      <c r="I5" s="208" t="s">
        <v>5</v>
      </c>
      <c r="J5" s="208" t="s">
        <v>237</v>
      </c>
      <c r="K5" s="208" t="s">
        <v>45</v>
      </c>
      <c r="L5" s="208" t="s">
        <v>46</v>
      </c>
      <c r="M5" s="51"/>
      <c r="N5" s="51"/>
      <c r="O5" s="26"/>
      <c r="P5" s="26"/>
      <c r="Q5" s="26"/>
      <c r="R5" s="26"/>
      <c r="S5" s="26"/>
    </row>
    <row r="6" spans="1:20" s="197" customFormat="1" ht="15.6">
      <c r="A6" s="26"/>
      <c r="B6" s="941" t="s">
        <v>238</v>
      </c>
      <c r="C6" s="211" t="s">
        <v>35</v>
      </c>
      <c r="D6" s="201">
        <v>2396</v>
      </c>
      <c r="E6" s="398"/>
      <c r="F6" s="51"/>
      <c r="G6" s="212">
        <f>+G44+G83+G156+G195</f>
        <v>2444.9187637875998</v>
      </c>
      <c r="H6" s="212">
        <f>+H44+H83+H156+H195</f>
        <v>-2814.8420000000001</v>
      </c>
      <c r="I6" s="212">
        <f>+H6+G6</f>
        <v>-369.9232362124003</v>
      </c>
      <c r="J6" s="212">
        <f>+J44+J83+J156+J195</f>
        <v>513.10166666666657</v>
      </c>
      <c r="K6" s="213">
        <f>+I6-J6</f>
        <v>-883.02490287906687</v>
      </c>
      <c r="L6" s="210">
        <f>J6/I6</f>
        <v>-1.3870490319025457</v>
      </c>
      <c r="M6" s="51"/>
      <c r="N6" s="51"/>
      <c r="O6" s="26"/>
      <c r="P6" s="26"/>
      <c r="Q6" s="26"/>
      <c r="R6" s="26"/>
      <c r="S6" s="26"/>
    </row>
    <row r="7" spans="1:20" s="197" customFormat="1" ht="15.6">
      <c r="A7" s="198"/>
      <c r="B7" s="941"/>
      <c r="C7" s="211" t="s">
        <v>36</v>
      </c>
      <c r="D7" s="201" t="s">
        <v>37</v>
      </c>
      <c r="E7" s="398"/>
      <c r="F7" s="51"/>
      <c r="G7" s="462" t="s">
        <v>37</v>
      </c>
      <c r="H7" s="201" t="s">
        <v>37</v>
      </c>
      <c r="I7" s="201" t="s">
        <v>37</v>
      </c>
      <c r="J7" s="201" t="s">
        <v>37</v>
      </c>
      <c r="K7" s="201" t="s">
        <v>37</v>
      </c>
      <c r="L7" s="201" t="s">
        <v>37</v>
      </c>
      <c r="M7" s="51"/>
      <c r="N7" s="51"/>
      <c r="O7" s="199"/>
      <c r="P7" s="200"/>
      <c r="Q7" s="26"/>
      <c r="R7" s="26"/>
      <c r="S7" s="198"/>
    </row>
    <row r="8" spans="1:20" s="197" customFormat="1" ht="15.6">
      <c r="A8" s="26"/>
      <c r="B8" s="941"/>
      <c r="C8" s="211" t="s">
        <v>96</v>
      </c>
      <c r="D8" s="201">
        <v>1378</v>
      </c>
      <c r="E8" s="398"/>
      <c r="F8" s="51"/>
      <c r="G8" s="212">
        <f>+G45+G84+G157+G196</f>
        <v>1329.0812309288001</v>
      </c>
      <c r="H8" s="212">
        <f>+H45+H84+H157+H196</f>
        <v>0</v>
      </c>
      <c r="I8" s="214">
        <f>G8+H8+K6</f>
        <v>446.05632804973322</v>
      </c>
      <c r="J8" s="212">
        <f>+J45+J84+J157+J196</f>
        <v>0</v>
      </c>
      <c r="K8" s="213">
        <f>+I8-J8</f>
        <v>446.05632804973322</v>
      </c>
      <c r="L8" s="210">
        <f>J8/I8</f>
        <v>0</v>
      </c>
      <c r="M8" s="51"/>
      <c r="N8" s="51"/>
      <c r="O8" s="26"/>
      <c r="P8" s="26"/>
      <c r="Q8" s="26"/>
      <c r="R8" s="26"/>
      <c r="S8" s="26"/>
    </row>
    <row r="9" spans="1:20" s="197" customFormat="1" ht="15.6">
      <c r="A9" s="26"/>
      <c r="B9" s="941"/>
      <c r="C9" s="416" t="s">
        <v>239</v>
      </c>
      <c r="D9" s="210">
        <f>SUM(D6:D8)</f>
        <v>3774</v>
      </c>
      <c r="E9" s="398"/>
      <c r="F9" s="51"/>
      <c r="G9" s="528">
        <f>+G156+G157+G195+G196+G44+G45+G83+G84</f>
        <v>3773.9999947164001</v>
      </c>
      <c r="H9" s="210">
        <f>+H156+H157+H195+H196+H44+H45+H83+H84</f>
        <v>-2814.8420000000001</v>
      </c>
      <c r="I9" s="210">
        <f>+G9+H9</f>
        <v>959.15799471640003</v>
      </c>
      <c r="J9" s="210">
        <f>+J156+J157+J195+J196+J44+J45+J83+J84</f>
        <v>513.10166666666669</v>
      </c>
      <c r="K9" s="210">
        <f>+I9-J9</f>
        <v>446.05632804973334</v>
      </c>
      <c r="L9" s="215">
        <f>+J9/I9</f>
        <v>0.53495010154023537</v>
      </c>
      <c r="M9" s="51"/>
      <c r="N9" s="51"/>
      <c r="O9" s="26"/>
      <c r="P9" s="26"/>
      <c r="Q9" s="26"/>
      <c r="R9" s="26"/>
      <c r="S9" s="26"/>
    </row>
    <row r="10" spans="1:20">
      <c r="A10" s="54"/>
      <c r="B10" s="54"/>
      <c r="C10" s="54"/>
      <c r="D10" s="54"/>
      <c r="E10" s="242"/>
      <c r="F10" s="54"/>
      <c r="G10" s="54"/>
      <c r="H10" s="54"/>
      <c r="I10" s="54"/>
      <c r="J10" s="54"/>
      <c r="K10" s="54"/>
      <c r="L10" s="54"/>
      <c r="M10" s="54"/>
      <c r="N10" s="54"/>
      <c r="O10" s="54"/>
      <c r="P10" s="54"/>
      <c r="Q10" s="54"/>
      <c r="R10" s="54"/>
      <c r="S10" s="54"/>
      <c r="T10" s="117"/>
    </row>
    <row r="11" spans="1:20" ht="36" customHeight="1">
      <c r="A11" s="51"/>
      <c r="B11" s="379" t="s">
        <v>240</v>
      </c>
      <c r="C11" s="379" t="s">
        <v>241</v>
      </c>
      <c r="D11" s="379" t="s">
        <v>242</v>
      </c>
      <c r="E11" s="413" t="s">
        <v>243</v>
      </c>
      <c r="F11" s="379" t="s">
        <v>244</v>
      </c>
      <c r="G11" s="527" t="s">
        <v>236</v>
      </c>
      <c r="H11" s="414" t="s">
        <v>4</v>
      </c>
      <c r="I11" s="379" t="s">
        <v>5</v>
      </c>
      <c r="J11" s="652" t="s">
        <v>237</v>
      </c>
      <c r="K11" s="379" t="s">
        <v>45</v>
      </c>
      <c r="L11" s="379" t="s">
        <v>46</v>
      </c>
      <c r="M11" s="379" t="s">
        <v>76</v>
      </c>
      <c r="N11" s="326" t="s">
        <v>245</v>
      </c>
      <c r="O11" s="326" t="s">
        <v>4</v>
      </c>
      <c r="P11" s="326" t="s">
        <v>5</v>
      </c>
      <c r="Q11" s="326" t="s">
        <v>6</v>
      </c>
      <c r="R11" s="326" t="s">
        <v>7</v>
      </c>
      <c r="S11" s="326" t="s">
        <v>460</v>
      </c>
      <c r="T11" s="326" t="s">
        <v>571</v>
      </c>
    </row>
    <row r="12" spans="1:20" s="525" customFormat="1" ht="15" customHeight="1">
      <c r="A12" s="51">
        <v>1</v>
      </c>
      <c r="B12" s="934" t="s">
        <v>247</v>
      </c>
      <c r="C12" s="438" t="s">
        <v>250</v>
      </c>
      <c r="D12" s="890">
        <v>4309</v>
      </c>
      <c r="E12" s="924">
        <v>1.5542385299999999E-2</v>
      </c>
      <c r="F12" s="205" t="s">
        <v>35</v>
      </c>
      <c r="G12" s="517">
        <f>+E12*$D$6</f>
        <v>37.239555178799996</v>
      </c>
      <c r="H12" s="86"/>
      <c r="I12" s="82">
        <f>G12+H12</f>
        <v>37.239555178799996</v>
      </c>
      <c r="J12" s="516">
        <v>31.052222222222223</v>
      </c>
      <c r="K12" s="89">
        <f t="shared" ref="K12:K31" si="0">I12-J12</f>
        <v>6.187332956577773</v>
      </c>
      <c r="L12" s="87">
        <f t="shared" ref="L12:L31" si="1">J12/I12</f>
        <v>0.83385051387240672</v>
      </c>
      <c r="M12" s="534" t="s">
        <v>30</v>
      </c>
      <c r="N12" s="947">
        <f>G12+G13</f>
        <v>58.656962122199999</v>
      </c>
      <c r="O12" s="947">
        <f>H12+H13</f>
        <v>0</v>
      </c>
      <c r="P12" s="947">
        <f t="shared" ref="P12" si="2">N12+O12</f>
        <v>58.656962122199999</v>
      </c>
      <c r="Q12" s="947">
        <f>J12+J13</f>
        <v>31.052222222222223</v>
      </c>
      <c r="R12" s="947">
        <f>P12-Q12</f>
        <v>27.604739899977776</v>
      </c>
      <c r="S12" s="948">
        <f>Q12/P12</f>
        <v>0.52938681272874577</v>
      </c>
      <c r="T12" s="965">
        <f>+(((Q12*-1)+O12)/N12)*-1</f>
        <v>0.52938681272874577</v>
      </c>
    </row>
    <row r="13" spans="1:20" s="525" customFormat="1" ht="15" customHeight="1">
      <c r="A13" s="51"/>
      <c r="B13" s="934"/>
      <c r="C13" s="463"/>
      <c r="D13" s="926"/>
      <c r="E13" s="895"/>
      <c r="F13" s="206" t="s">
        <v>96</v>
      </c>
      <c r="G13" s="518">
        <f>+E12*$D$8</f>
        <v>21.4174069434</v>
      </c>
      <c r="H13" s="86"/>
      <c r="I13" s="82">
        <f>G13+H13+K12</f>
        <v>27.604739899977773</v>
      </c>
      <c r="J13" s="387">
        <v>0</v>
      </c>
      <c r="K13" s="82">
        <f t="shared" si="0"/>
        <v>27.604739899977773</v>
      </c>
      <c r="L13" s="87">
        <f t="shared" si="1"/>
        <v>0</v>
      </c>
      <c r="M13" s="512" t="s">
        <v>30</v>
      </c>
      <c r="N13" s="947"/>
      <c r="O13" s="947"/>
      <c r="P13" s="947"/>
      <c r="Q13" s="947"/>
      <c r="R13" s="947"/>
      <c r="S13" s="948"/>
      <c r="T13" s="965" t="e">
        <f t="shared" ref="T13:T19" si="3">+((O13*-1)+M13)/L13</f>
        <v>#VALUE!</v>
      </c>
    </row>
    <row r="14" spans="1:20" s="525" customFormat="1" ht="15" customHeight="1">
      <c r="A14" s="51">
        <v>2</v>
      </c>
      <c r="B14" s="934"/>
      <c r="C14" s="465" t="s">
        <v>251</v>
      </c>
      <c r="D14" s="926">
        <v>4370</v>
      </c>
      <c r="E14" s="895">
        <v>1.3921925E-2</v>
      </c>
      <c r="F14" s="206" t="s">
        <v>35</v>
      </c>
      <c r="G14" s="518">
        <f>+E14*$D$6</f>
        <v>33.356932299999997</v>
      </c>
      <c r="H14" s="86"/>
      <c r="I14" s="82">
        <f>G14+H14</f>
        <v>33.356932299999997</v>
      </c>
      <c r="J14" s="516">
        <v>21.56111111111111</v>
      </c>
      <c r="K14" s="82">
        <f t="shared" si="0"/>
        <v>11.795821188888887</v>
      </c>
      <c r="L14" s="87">
        <f t="shared" si="1"/>
        <v>0.6463757193616726</v>
      </c>
      <c r="M14" s="512" t="s">
        <v>30</v>
      </c>
      <c r="N14" s="947">
        <f t="shared" ref="N14:O14" si="4">G14+G15</f>
        <v>52.541344949999996</v>
      </c>
      <c r="O14" s="947">
        <f t="shared" si="4"/>
        <v>0</v>
      </c>
      <c r="P14" s="947">
        <f t="shared" ref="P14" si="5">N14+O14</f>
        <v>52.541344949999996</v>
      </c>
      <c r="Q14" s="947">
        <f t="shared" ref="Q14" si="6">J14+J15</f>
        <v>21.56111111111111</v>
      </c>
      <c r="R14" s="947">
        <f t="shared" ref="R14" si="7">P14-Q14</f>
        <v>30.980233838888886</v>
      </c>
      <c r="S14" s="948">
        <f t="shared" ref="S14" si="8">Q14/P14</f>
        <v>0.41036465913899511</v>
      </c>
      <c r="T14" s="965">
        <f>+(((Q14*-1)+O14)/N14)*-1</f>
        <v>0.41036465913899511</v>
      </c>
    </row>
    <row r="15" spans="1:20" s="525" customFormat="1" ht="15" customHeight="1">
      <c r="A15" s="255"/>
      <c r="B15" s="934"/>
      <c r="C15" s="463"/>
      <c r="D15" s="926"/>
      <c r="E15" s="895"/>
      <c r="F15" s="206" t="s">
        <v>96</v>
      </c>
      <c r="G15" s="518">
        <f>+E14*$D$8</f>
        <v>19.184412649999999</v>
      </c>
      <c r="H15" s="86"/>
      <c r="I15" s="82">
        <f>G15+H15+K14</f>
        <v>30.980233838888886</v>
      </c>
      <c r="J15" s="387">
        <v>0</v>
      </c>
      <c r="K15" s="82">
        <f t="shared" si="0"/>
        <v>30.980233838888886</v>
      </c>
      <c r="L15" s="87">
        <f t="shared" si="1"/>
        <v>0</v>
      </c>
      <c r="M15" s="512" t="s">
        <v>30</v>
      </c>
      <c r="N15" s="947"/>
      <c r="O15" s="947"/>
      <c r="P15" s="947"/>
      <c r="Q15" s="947"/>
      <c r="R15" s="947"/>
      <c r="S15" s="948"/>
      <c r="T15" s="965" t="e">
        <f t="shared" si="3"/>
        <v>#VALUE!</v>
      </c>
    </row>
    <row r="16" spans="1:20" s="525" customFormat="1" ht="15" customHeight="1">
      <c r="A16" s="51">
        <v>3</v>
      </c>
      <c r="B16" s="934"/>
      <c r="C16" s="699" t="s">
        <v>410</v>
      </c>
      <c r="D16" s="954" t="s">
        <v>253</v>
      </c>
      <c r="E16" s="914">
        <v>1.3424028500000001E-2</v>
      </c>
      <c r="F16" s="700" t="s">
        <v>35</v>
      </c>
      <c r="G16" s="701">
        <f>+E16*$D$6</f>
        <v>32.163972286000003</v>
      </c>
      <c r="H16" s="702">
        <v>-50.661999999999999</v>
      </c>
      <c r="I16" s="214">
        <f>G16+H16</f>
        <v>-18.498027713999996</v>
      </c>
      <c r="J16" s="703">
        <v>0</v>
      </c>
      <c r="K16" s="214">
        <f t="shared" si="0"/>
        <v>-18.498027713999996</v>
      </c>
      <c r="L16" s="704">
        <f t="shared" si="1"/>
        <v>0</v>
      </c>
      <c r="M16" s="705">
        <v>43508</v>
      </c>
      <c r="N16" s="952">
        <f t="shared" ref="N16:O16" si="9">G16+G17</f>
        <v>50.662283559000002</v>
      </c>
      <c r="O16" s="952">
        <f t="shared" si="9"/>
        <v>-50.661999999999999</v>
      </c>
      <c r="P16" s="952">
        <f t="shared" ref="P16" si="10">N16+O16</f>
        <v>2.8355900000320844E-4</v>
      </c>
      <c r="Q16" s="952">
        <f t="shared" ref="Q16" si="11">J16+J17</f>
        <v>0</v>
      </c>
      <c r="R16" s="952">
        <f t="shared" ref="R16" si="12">P16-Q16</f>
        <v>2.8355900000320844E-4</v>
      </c>
      <c r="S16" s="953">
        <f t="shared" ref="S16" si="13">Q16/P16</f>
        <v>0</v>
      </c>
      <c r="T16" s="953">
        <f>+(((Q16*-1)+O16)/N16)*-1</f>
        <v>0.99999440295659647</v>
      </c>
    </row>
    <row r="17" spans="1:20" s="525" customFormat="1" ht="15" customHeight="1">
      <c r="A17" s="51"/>
      <c r="B17" s="934"/>
      <c r="C17" s="706"/>
      <c r="D17" s="954"/>
      <c r="E17" s="914"/>
      <c r="F17" s="707" t="s">
        <v>96</v>
      </c>
      <c r="G17" s="708">
        <f>+E16*$D$8</f>
        <v>18.498311273000002</v>
      </c>
      <c r="H17" s="702"/>
      <c r="I17" s="214">
        <f>G17+H17+K16</f>
        <v>2.8355900000676115E-4</v>
      </c>
      <c r="J17" s="707">
        <v>0</v>
      </c>
      <c r="K17" s="709">
        <f t="shared" si="0"/>
        <v>2.8355900000676115E-4</v>
      </c>
      <c r="L17" s="710">
        <f t="shared" si="1"/>
        <v>0</v>
      </c>
      <c r="M17" s="705">
        <v>43508</v>
      </c>
      <c r="N17" s="952"/>
      <c r="O17" s="952"/>
      <c r="P17" s="952"/>
      <c r="Q17" s="952"/>
      <c r="R17" s="952"/>
      <c r="S17" s="953"/>
      <c r="T17" s="953" t="e">
        <f t="shared" si="3"/>
        <v>#DIV/0!</v>
      </c>
    </row>
    <row r="18" spans="1:20" s="525" customFormat="1" ht="15" customHeight="1">
      <c r="A18" s="51">
        <v>4</v>
      </c>
      <c r="B18" s="934"/>
      <c r="C18" s="465" t="s">
        <v>409</v>
      </c>
      <c r="D18" s="926" t="s">
        <v>257</v>
      </c>
      <c r="E18" s="895">
        <v>2.4624648E-3</v>
      </c>
      <c r="F18" s="206" t="s">
        <v>35</v>
      </c>
      <c r="G18" s="518">
        <f>+E18*$D$6</f>
        <v>5.9000656608000002</v>
      </c>
      <c r="H18" s="86"/>
      <c r="I18" s="82">
        <f>G18+H18</f>
        <v>5.9000656608000002</v>
      </c>
      <c r="J18" s="516">
        <v>5.3222222222222229</v>
      </c>
      <c r="K18" s="82">
        <f t="shared" si="0"/>
        <v>0.57784343857777731</v>
      </c>
      <c r="L18" s="87">
        <f t="shared" si="1"/>
        <v>0.90206152409167828</v>
      </c>
      <c r="M18" s="512" t="s">
        <v>30</v>
      </c>
      <c r="N18" s="947">
        <f t="shared" ref="N18:O18" si="14">G18+G19</f>
        <v>9.2933421551999995</v>
      </c>
      <c r="O18" s="947">
        <f t="shared" si="14"/>
        <v>0</v>
      </c>
      <c r="P18" s="947">
        <f t="shared" ref="P18" si="15">N18+O18</f>
        <v>9.2933421551999995</v>
      </c>
      <c r="Q18" s="947">
        <f t="shared" ref="Q18" si="16">J18+J19</f>
        <v>5.3222222222222229</v>
      </c>
      <c r="R18" s="947">
        <f t="shared" ref="R18" si="17">P18-Q18</f>
        <v>3.9711199329777767</v>
      </c>
      <c r="S18" s="948">
        <f t="shared" ref="S18" si="18">Q18/P18</f>
        <v>0.57269194799249101</v>
      </c>
      <c r="T18" s="965">
        <f>+(((Q18*-1)+O18)/N18)*-1</f>
        <v>0.57269194799249101</v>
      </c>
    </row>
    <row r="19" spans="1:20" s="525" customFormat="1" ht="15" customHeight="1">
      <c r="A19" s="255"/>
      <c r="B19" s="934"/>
      <c r="C19" s="463"/>
      <c r="D19" s="926"/>
      <c r="E19" s="895"/>
      <c r="F19" s="206" t="s">
        <v>96</v>
      </c>
      <c r="G19" s="518">
        <f>+E18*$D$8</f>
        <v>3.3932764943999998</v>
      </c>
      <c r="H19" s="86"/>
      <c r="I19" s="82">
        <f>G19+H19+K18</f>
        <v>3.9711199329777771</v>
      </c>
      <c r="J19" s="387">
        <v>0</v>
      </c>
      <c r="K19" s="82">
        <f t="shared" si="0"/>
        <v>3.9711199329777771</v>
      </c>
      <c r="L19" s="87">
        <f t="shared" si="1"/>
        <v>0</v>
      </c>
      <c r="M19" s="512" t="s">
        <v>30</v>
      </c>
      <c r="N19" s="947"/>
      <c r="O19" s="947"/>
      <c r="P19" s="947"/>
      <c r="Q19" s="947"/>
      <c r="R19" s="947"/>
      <c r="S19" s="948"/>
      <c r="T19" s="965" t="e">
        <f t="shared" si="3"/>
        <v>#VALUE!</v>
      </c>
    </row>
    <row r="20" spans="1:20" s="525" customFormat="1" ht="15" customHeight="1">
      <c r="A20" s="51">
        <v>5</v>
      </c>
      <c r="B20" s="934"/>
      <c r="C20" s="733" t="s">
        <v>387</v>
      </c>
      <c r="D20" s="926" t="s">
        <v>254</v>
      </c>
      <c r="E20" s="895">
        <v>2.4172300599999998E-2</v>
      </c>
      <c r="F20" s="206" t="s">
        <v>35</v>
      </c>
      <c r="G20" s="518">
        <f>+E20*$D$6</f>
        <v>57.916832237599998</v>
      </c>
      <c r="H20" s="86">
        <f>-89.426</f>
        <v>-89.426000000000002</v>
      </c>
      <c r="I20" s="82">
        <f>G20+H20</f>
        <v>-31.509167762400004</v>
      </c>
      <c r="J20" s="516">
        <v>0</v>
      </c>
      <c r="K20" s="82">
        <f t="shared" si="0"/>
        <v>-31.509167762400004</v>
      </c>
      <c r="L20" s="87">
        <f t="shared" si="1"/>
        <v>0</v>
      </c>
      <c r="M20" s="509">
        <v>43528</v>
      </c>
      <c r="N20" s="947">
        <f t="shared" ref="N20:O20" si="19">G20+G21</f>
        <v>91.226262464399994</v>
      </c>
      <c r="O20" s="947">
        <f t="shared" si="19"/>
        <v>-89.426000000000002</v>
      </c>
      <c r="P20" s="947">
        <f t="shared" ref="P20" si="20">N20+O20</f>
        <v>1.8002624643999923</v>
      </c>
      <c r="Q20" s="947">
        <f t="shared" ref="Q20" si="21">J20+J21</f>
        <v>0</v>
      </c>
      <c r="R20" s="947">
        <f t="shared" ref="R20" si="22">P20-Q20</f>
        <v>1.8002624643999923</v>
      </c>
      <c r="S20" s="948">
        <f t="shared" ref="S20" si="23">Q20/P20</f>
        <v>0</v>
      </c>
      <c r="T20" s="965">
        <f t="shared" ref="T20" si="24">(100%-+(R20/N20))</f>
        <v>0.98026596271986344</v>
      </c>
    </row>
    <row r="21" spans="1:20" s="525" customFormat="1" ht="15" customHeight="1">
      <c r="A21" s="51"/>
      <c r="B21" s="934"/>
      <c r="C21" s="463"/>
      <c r="D21" s="926"/>
      <c r="E21" s="895"/>
      <c r="F21" s="206" t="s">
        <v>96</v>
      </c>
      <c r="G21" s="518">
        <f>+E20*$D$8</f>
        <v>33.309430226799996</v>
      </c>
      <c r="H21" s="86"/>
      <c r="I21" s="82">
        <f>G21+H21+K20</f>
        <v>1.8002624643999923</v>
      </c>
      <c r="J21" s="387">
        <v>0</v>
      </c>
      <c r="K21" s="82">
        <f t="shared" si="0"/>
        <v>1.8002624643999923</v>
      </c>
      <c r="L21" s="87">
        <f t="shared" si="1"/>
        <v>0</v>
      </c>
      <c r="M21" s="512" t="s">
        <v>30</v>
      </c>
      <c r="N21" s="947"/>
      <c r="O21" s="947"/>
      <c r="P21" s="947"/>
      <c r="Q21" s="947"/>
      <c r="R21" s="947"/>
      <c r="S21" s="948"/>
      <c r="T21" s="965"/>
    </row>
    <row r="22" spans="1:20" s="525" customFormat="1" ht="15" customHeight="1">
      <c r="A22" s="51">
        <v>6</v>
      </c>
      <c r="B22" s="934"/>
      <c r="C22" s="740" t="s">
        <v>579</v>
      </c>
      <c r="D22" s="926" t="s">
        <v>258</v>
      </c>
      <c r="E22" s="895">
        <v>1.6349055000000001E-2</v>
      </c>
      <c r="F22" s="206" t="s">
        <v>35</v>
      </c>
      <c r="G22" s="518">
        <f>+E22*$D$6</f>
        <v>39.172335780000004</v>
      </c>
      <c r="H22" s="86">
        <v>-59.545000000000002</v>
      </c>
      <c r="I22" s="82">
        <f>G22+H22</f>
        <v>-20.372664219999997</v>
      </c>
      <c r="J22" s="516">
        <v>1.5555555555555556</v>
      </c>
      <c r="K22" s="82">
        <f t="shared" si="0"/>
        <v>-21.928219775555554</v>
      </c>
      <c r="L22" s="686">
        <f t="shared" si="1"/>
        <v>-7.63550382393509E-2</v>
      </c>
      <c r="M22" s="741">
        <v>43613</v>
      </c>
      <c r="N22" s="947">
        <f t="shared" ref="N22:O22" si="25">G22+G23</f>
        <v>61.701333570000003</v>
      </c>
      <c r="O22" s="947">
        <f t="shared" si="25"/>
        <v>-59.545000000000002</v>
      </c>
      <c r="P22" s="947">
        <f t="shared" ref="P22" si="26">N22+O22</f>
        <v>2.156333570000001</v>
      </c>
      <c r="Q22" s="947">
        <f t="shared" ref="Q22" si="27">J22+J23</f>
        <v>1.5555555555555556</v>
      </c>
      <c r="R22" s="947">
        <f t="shared" ref="R22" si="28">P22-Q22</f>
        <v>0.60077801444444545</v>
      </c>
      <c r="S22" s="948">
        <f t="shared" ref="S22" si="29">Q22/P22</f>
        <v>0.72138911029222386</v>
      </c>
      <c r="T22" s="965">
        <f t="shared" ref="T22:T24" si="30">(100%-+(R22/N22))</f>
        <v>0.9902631275584528</v>
      </c>
    </row>
    <row r="23" spans="1:20" s="525" customFormat="1" ht="15" customHeight="1">
      <c r="A23" s="255"/>
      <c r="B23" s="934"/>
      <c r="C23" s="688"/>
      <c r="D23" s="926"/>
      <c r="E23" s="895"/>
      <c r="F23" s="206" t="s">
        <v>96</v>
      </c>
      <c r="G23" s="518">
        <f>+E22*$D$8</f>
        <v>22.528997790000002</v>
      </c>
      <c r="H23" s="86"/>
      <c r="I23" s="82">
        <f>G23+H23+K22</f>
        <v>0.60077801444444745</v>
      </c>
      <c r="J23" s="387">
        <v>0</v>
      </c>
      <c r="K23" s="82">
        <f t="shared" si="0"/>
        <v>0.60077801444444745</v>
      </c>
      <c r="L23" s="87">
        <f t="shared" si="1"/>
        <v>0</v>
      </c>
      <c r="M23" s="512" t="s">
        <v>30</v>
      </c>
      <c r="N23" s="947"/>
      <c r="O23" s="947"/>
      <c r="P23" s="947"/>
      <c r="Q23" s="947"/>
      <c r="R23" s="947"/>
      <c r="S23" s="948"/>
      <c r="T23" s="965"/>
    </row>
    <row r="24" spans="1:20" s="525" customFormat="1" ht="15" customHeight="1">
      <c r="A24" s="51">
        <v>7</v>
      </c>
      <c r="B24" s="934"/>
      <c r="C24" s="885" t="s">
        <v>388</v>
      </c>
      <c r="D24" s="926" t="s">
        <v>248</v>
      </c>
      <c r="E24" s="895">
        <v>1.08112364E-2</v>
      </c>
      <c r="F24" s="205" t="s">
        <v>35</v>
      </c>
      <c r="G24" s="517">
        <f>+E24*$D$6+13.898</f>
        <v>39.801722414400004</v>
      </c>
      <c r="H24" s="86"/>
      <c r="I24" s="82">
        <f>G24+H24</f>
        <v>39.801722414400004</v>
      </c>
      <c r="J24" s="516">
        <v>30.449999999999992</v>
      </c>
      <c r="K24" s="89">
        <f>I24-J24</f>
        <v>9.3517224144000117</v>
      </c>
      <c r="L24" s="90">
        <f t="shared" si="1"/>
        <v>0.76504226834624067</v>
      </c>
      <c r="M24" s="512" t="s">
        <v>30</v>
      </c>
      <c r="N24" s="947">
        <f t="shared" ref="N24:O24" si="31">G24+G25</f>
        <v>40.801606173600007</v>
      </c>
      <c r="O24" s="947">
        <f t="shared" si="31"/>
        <v>0</v>
      </c>
      <c r="P24" s="947">
        <f>N24+O24</f>
        <v>40.801606173600007</v>
      </c>
      <c r="Q24" s="947">
        <f t="shared" ref="Q24" si="32">J24+J25</f>
        <v>30.449999999999992</v>
      </c>
      <c r="R24" s="947">
        <f t="shared" ref="R24" si="33">P24-Q24</f>
        <v>10.351606173600015</v>
      </c>
      <c r="S24" s="948">
        <f t="shared" ref="S24" si="34">Q24/P24</f>
        <v>0.74629415004995936</v>
      </c>
      <c r="T24" s="965">
        <f t="shared" si="30"/>
        <v>0.74629415004995936</v>
      </c>
    </row>
    <row r="25" spans="1:20" s="525" customFormat="1" ht="15" customHeight="1">
      <c r="A25" s="51"/>
      <c r="B25" s="934"/>
      <c r="C25" s="886"/>
      <c r="D25" s="926"/>
      <c r="E25" s="895">
        <v>1.08112364E-2</v>
      </c>
      <c r="F25" s="206" t="s">
        <v>96</v>
      </c>
      <c r="G25" s="518">
        <f>+E24*$D$8-13.898</f>
        <v>0.99988375920000117</v>
      </c>
      <c r="H25" s="86"/>
      <c r="I25" s="82">
        <f>G25+H25+K24</f>
        <v>10.351606173600013</v>
      </c>
      <c r="J25" s="387">
        <v>0</v>
      </c>
      <c r="K25" s="82">
        <f t="shared" si="0"/>
        <v>10.351606173600013</v>
      </c>
      <c r="L25" s="87">
        <f t="shared" si="1"/>
        <v>0</v>
      </c>
      <c r="M25" s="512" t="s">
        <v>30</v>
      </c>
      <c r="N25" s="947"/>
      <c r="O25" s="947"/>
      <c r="P25" s="947"/>
      <c r="Q25" s="947"/>
      <c r="R25" s="947"/>
      <c r="S25" s="948"/>
      <c r="T25" s="965"/>
    </row>
    <row r="26" spans="1:20" s="525" customFormat="1" ht="15" customHeight="1">
      <c r="A26" s="51">
        <v>8</v>
      </c>
      <c r="B26" s="934"/>
      <c r="C26" s="465" t="s">
        <v>406</v>
      </c>
      <c r="D26" s="926" t="s">
        <v>260</v>
      </c>
      <c r="E26" s="895">
        <v>1.5012192999999999E-3</v>
      </c>
      <c r="F26" s="206" t="s">
        <v>35</v>
      </c>
      <c r="G26" s="518">
        <f>+E26*$D$6</f>
        <v>3.5969214427999998</v>
      </c>
      <c r="H26" s="86"/>
      <c r="I26" s="82">
        <f>G26+H26</f>
        <v>3.5969214427999998</v>
      </c>
      <c r="J26" s="516">
        <v>1.5555555555555554</v>
      </c>
      <c r="K26" s="82">
        <f>I26-J26</f>
        <v>2.0413658872444445</v>
      </c>
      <c r="L26" s="87">
        <f t="shared" si="1"/>
        <v>0.43246859301565488</v>
      </c>
      <c r="M26" s="741">
        <v>43619</v>
      </c>
      <c r="N26" s="947">
        <f t="shared" ref="N26:O26" si="35">G26+G27</f>
        <v>5.6656016382000001</v>
      </c>
      <c r="O26" s="947">
        <f t="shared" si="35"/>
        <v>0</v>
      </c>
      <c r="P26" s="947">
        <f t="shared" ref="P26" si="36">N26+O26</f>
        <v>5.6656016382000001</v>
      </c>
      <c r="Q26" s="947">
        <f t="shared" ref="Q26" si="37">J26+J27</f>
        <v>1.5555555555555554</v>
      </c>
      <c r="R26" s="947">
        <f t="shared" ref="R26" si="38">P26-Q26</f>
        <v>4.1100460826444447</v>
      </c>
      <c r="S26" s="948">
        <f t="shared" ref="S26" si="39">Q26/P26</f>
        <v>0.27456140669462348</v>
      </c>
      <c r="T26" s="965">
        <f t="shared" ref="T26" si="40">(100%-+(R26/N26))</f>
        <v>0.27456140669462348</v>
      </c>
    </row>
    <row r="27" spans="1:20" s="525" customFormat="1" ht="15" customHeight="1">
      <c r="A27" s="255"/>
      <c r="B27" s="934"/>
      <c r="C27" s="463"/>
      <c r="D27" s="926"/>
      <c r="E27" s="895"/>
      <c r="F27" s="206" t="s">
        <v>96</v>
      </c>
      <c r="G27" s="518">
        <f>+E26*$D$8</f>
        <v>2.0686801953999998</v>
      </c>
      <c r="H27" s="86"/>
      <c r="I27" s="82">
        <f>G27+H27+K26</f>
        <v>4.1100460826444447</v>
      </c>
      <c r="J27" s="387">
        <v>0</v>
      </c>
      <c r="K27" s="82">
        <f t="shared" si="0"/>
        <v>4.1100460826444447</v>
      </c>
      <c r="L27" s="87">
        <f t="shared" si="1"/>
        <v>0</v>
      </c>
      <c r="M27" s="741">
        <v>43619</v>
      </c>
      <c r="N27" s="947"/>
      <c r="O27" s="947"/>
      <c r="P27" s="947"/>
      <c r="Q27" s="947"/>
      <c r="R27" s="947"/>
      <c r="S27" s="948"/>
      <c r="T27" s="965"/>
    </row>
    <row r="28" spans="1:20" s="525" customFormat="1" ht="15" customHeight="1">
      <c r="A28" s="51">
        <v>9</v>
      </c>
      <c r="B28" s="934"/>
      <c r="C28" s="465" t="s">
        <v>249</v>
      </c>
      <c r="D28" s="926">
        <v>4452</v>
      </c>
      <c r="E28" s="895">
        <v>6.7243100000000003E-4</v>
      </c>
      <c r="F28" s="206" t="s">
        <v>35</v>
      </c>
      <c r="G28" s="518">
        <f>+E28*$D$6</f>
        <v>1.6111446760000001</v>
      </c>
      <c r="H28" s="86"/>
      <c r="I28" s="82">
        <f>G28+H28</f>
        <v>1.6111446760000001</v>
      </c>
      <c r="J28" s="516">
        <v>0</v>
      </c>
      <c r="K28" s="82">
        <f t="shared" si="0"/>
        <v>1.6111446760000001</v>
      </c>
      <c r="L28" s="87">
        <f t="shared" si="1"/>
        <v>0</v>
      </c>
      <c r="M28" s="512" t="s">
        <v>30</v>
      </c>
      <c r="N28" s="947">
        <f t="shared" ref="N28:O28" si="41">G28+G29</f>
        <v>2.5377545939999999</v>
      </c>
      <c r="O28" s="947">
        <f t="shared" si="41"/>
        <v>0</v>
      </c>
      <c r="P28" s="947">
        <f>N28+O28</f>
        <v>2.5377545939999999</v>
      </c>
      <c r="Q28" s="947">
        <f t="shared" ref="Q28" si="42">J28+J29</f>
        <v>0</v>
      </c>
      <c r="R28" s="947">
        <f t="shared" ref="R28" si="43">P28-Q28</f>
        <v>2.5377545939999999</v>
      </c>
      <c r="S28" s="948">
        <f t="shared" ref="S28" si="44">Q28/P28</f>
        <v>0</v>
      </c>
      <c r="T28" s="965">
        <f t="shared" ref="T28:T44" si="45">(100%-+(R28/N28))</f>
        <v>0</v>
      </c>
    </row>
    <row r="29" spans="1:20" s="525" customFormat="1" ht="15" customHeight="1">
      <c r="A29" s="51"/>
      <c r="B29" s="934"/>
      <c r="C29" s="463"/>
      <c r="D29" s="926"/>
      <c r="E29" s="950">
        <v>1.2413368000000001E-3</v>
      </c>
      <c r="F29" s="207" t="s">
        <v>96</v>
      </c>
      <c r="G29" s="519">
        <f>+E28*$D$8</f>
        <v>0.92660991800000003</v>
      </c>
      <c r="H29" s="86"/>
      <c r="I29" s="82">
        <f>G29+H29+K28</f>
        <v>2.5377545939999999</v>
      </c>
      <c r="J29" s="387">
        <v>0</v>
      </c>
      <c r="K29" s="85">
        <f t="shared" si="0"/>
        <v>2.5377545939999999</v>
      </c>
      <c r="L29" s="87">
        <f t="shared" si="1"/>
        <v>0</v>
      </c>
      <c r="M29" s="532" t="s">
        <v>30</v>
      </c>
      <c r="N29" s="947"/>
      <c r="O29" s="947"/>
      <c r="P29" s="947"/>
      <c r="Q29" s="947"/>
      <c r="R29" s="947"/>
      <c r="S29" s="948"/>
      <c r="T29" s="965"/>
    </row>
    <row r="30" spans="1:20" s="525" customFormat="1" ht="15" customHeight="1">
      <c r="A30" s="51">
        <v>10</v>
      </c>
      <c r="B30" s="934"/>
      <c r="C30" s="699" t="s">
        <v>419</v>
      </c>
      <c r="D30" s="951" t="s">
        <v>259</v>
      </c>
      <c r="E30" s="951">
        <v>1.6476685500000001E-2</v>
      </c>
      <c r="F30" s="700" t="s">
        <v>35</v>
      </c>
      <c r="G30" s="701">
        <f>+E30*$D$6</f>
        <v>39.478138458000004</v>
      </c>
      <c r="H30" s="702">
        <v>-62.183</v>
      </c>
      <c r="I30" s="214">
        <f>G30+H30</f>
        <v>-22.704861541999996</v>
      </c>
      <c r="J30" s="703">
        <v>0</v>
      </c>
      <c r="K30" s="214">
        <f t="shared" si="0"/>
        <v>-22.704861541999996</v>
      </c>
      <c r="L30" s="704">
        <f t="shared" si="1"/>
        <v>0</v>
      </c>
      <c r="M30" s="705">
        <v>43508</v>
      </c>
      <c r="N30" s="952">
        <f t="shared" ref="N30:O30" si="46">G30+G31</f>
        <v>62.183011077000003</v>
      </c>
      <c r="O30" s="952">
        <f t="shared" si="46"/>
        <v>-62.183</v>
      </c>
      <c r="P30" s="952">
        <f t="shared" ref="P30" si="47">N30+O30</f>
        <v>1.1077000003467674E-5</v>
      </c>
      <c r="Q30" s="952">
        <f t="shared" ref="Q30" si="48">J30+J31</f>
        <v>0</v>
      </c>
      <c r="R30" s="952">
        <f t="shared" ref="R30" si="49">P30-Q30</f>
        <v>1.1077000003467674E-5</v>
      </c>
      <c r="S30" s="953">
        <f t="shared" ref="S30" si="50">Q30/P30</f>
        <v>0</v>
      </c>
      <c r="T30" s="953">
        <f t="shared" si="45"/>
        <v>0.9999998218645284</v>
      </c>
    </row>
    <row r="31" spans="1:20" s="525" customFormat="1" ht="15" customHeight="1">
      <c r="A31" s="255"/>
      <c r="B31" s="934"/>
      <c r="C31" s="706"/>
      <c r="D31" s="951"/>
      <c r="E31" s="951"/>
      <c r="F31" s="700" t="s">
        <v>96</v>
      </c>
      <c r="G31" s="701">
        <f>+E30*$D$8</f>
        <v>22.704872619000003</v>
      </c>
      <c r="H31" s="702"/>
      <c r="I31" s="214">
        <f>G31+H31+K30</f>
        <v>1.1077000007020388E-5</v>
      </c>
      <c r="J31" s="707">
        <v>0</v>
      </c>
      <c r="K31" s="214">
        <f t="shared" si="0"/>
        <v>1.1077000007020388E-5</v>
      </c>
      <c r="L31" s="704">
        <f t="shared" si="1"/>
        <v>0</v>
      </c>
      <c r="M31" s="705">
        <v>43508</v>
      </c>
      <c r="N31" s="952"/>
      <c r="O31" s="952"/>
      <c r="P31" s="952"/>
      <c r="Q31" s="952"/>
      <c r="R31" s="952"/>
      <c r="S31" s="953"/>
      <c r="T31" s="953"/>
    </row>
    <row r="32" spans="1:20" s="525" customFormat="1" ht="15" customHeight="1">
      <c r="A32" s="51">
        <v>11</v>
      </c>
      <c r="B32" s="934"/>
      <c r="C32" s="889" t="s">
        <v>444</v>
      </c>
      <c r="D32" s="926" t="s">
        <v>252</v>
      </c>
      <c r="E32" s="895">
        <v>4.7043989000000001E-2</v>
      </c>
      <c r="F32" s="206" t="s">
        <v>35</v>
      </c>
      <c r="G32" s="518">
        <f>+E32*$D$6</f>
        <v>112.717397644</v>
      </c>
      <c r="H32" s="86"/>
      <c r="I32" s="82">
        <f>G32+H32</f>
        <v>112.717397644</v>
      </c>
      <c r="J32" s="516">
        <v>107.17888888888885</v>
      </c>
      <c r="K32" s="82">
        <f t="shared" ref="K32:K43" si="51">I32-J32</f>
        <v>5.5385087551111525</v>
      </c>
      <c r="L32" s="87">
        <f t="shared" ref="L32:L42" si="52">J32/I32</f>
        <v>0.95086376308470455</v>
      </c>
      <c r="M32" s="512" t="s">
        <v>30</v>
      </c>
      <c r="N32" s="947">
        <f t="shared" ref="N32" si="53">G32+G33</f>
        <v>177.54401448600001</v>
      </c>
      <c r="O32" s="947">
        <f>H32+H33</f>
        <v>0</v>
      </c>
      <c r="P32" s="947">
        <f t="shared" ref="P32" si="54">N32+O32</f>
        <v>177.54401448600001</v>
      </c>
      <c r="Q32" s="947">
        <f t="shared" ref="Q32" si="55">J32+J33</f>
        <v>107.17888888888885</v>
      </c>
      <c r="R32" s="947">
        <f t="shared" ref="R32" si="56">P32-Q32</f>
        <v>70.36512559711116</v>
      </c>
      <c r="S32" s="948">
        <f t="shared" ref="S32" si="57">Q32/P32</f>
        <v>0.6036750334793195</v>
      </c>
      <c r="T32" s="965">
        <f t="shared" si="45"/>
        <v>0.6036750334793195</v>
      </c>
    </row>
    <row r="33" spans="1:20" s="525" customFormat="1" ht="15" customHeight="1">
      <c r="A33" s="51"/>
      <c r="B33" s="934"/>
      <c r="C33" s="890"/>
      <c r="D33" s="926"/>
      <c r="E33" s="895"/>
      <c r="F33" s="207" t="s">
        <v>96</v>
      </c>
      <c r="G33" s="519">
        <f>+E32*$D$8</f>
        <v>64.826616842000007</v>
      </c>
      <c r="H33" s="86"/>
      <c r="I33" s="82">
        <f>G33+H33+K32</f>
        <v>70.36512559711116</v>
      </c>
      <c r="J33" s="387">
        <v>0</v>
      </c>
      <c r="K33" s="85">
        <f t="shared" si="51"/>
        <v>70.36512559711116</v>
      </c>
      <c r="L33" s="91">
        <f t="shared" si="52"/>
        <v>0</v>
      </c>
      <c r="M33" s="512" t="s">
        <v>30</v>
      </c>
      <c r="N33" s="947"/>
      <c r="O33" s="947"/>
      <c r="P33" s="947"/>
      <c r="Q33" s="947"/>
      <c r="R33" s="947"/>
      <c r="S33" s="948"/>
      <c r="T33" s="965"/>
    </row>
    <row r="34" spans="1:20" s="525" customFormat="1" ht="15" customHeight="1">
      <c r="A34" s="51">
        <v>12</v>
      </c>
      <c r="B34" s="934"/>
      <c r="C34" s="465" t="s">
        <v>255</v>
      </c>
      <c r="D34" s="926" t="s">
        <v>256</v>
      </c>
      <c r="E34" s="895">
        <v>5.4063391000000002E-2</v>
      </c>
      <c r="F34" s="464" t="s">
        <v>35</v>
      </c>
      <c r="G34" s="518">
        <f>+E34*$D$6</f>
        <v>129.53588483600001</v>
      </c>
      <c r="H34" s="86"/>
      <c r="I34" s="82">
        <f>G34+H34</f>
        <v>129.53588483600001</v>
      </c>
      <c r="J34" s="516">
        <v>122.71777777777777</v>
      </c>
      <c r="K34" s="82">
        <f>I34-J34</f>
        <v>6.8181070582222389</v>
      </c>
      <c r="L34" s="87">
        <f>J34/I34</f>
        <v>0.94736510993185896</v>
      </c>
      <c r="M34" s="512" t="s">
        <v>30</v>
      </c>
      <c r="N34" s="947">
        <f t="shared" ref="N34:O34" si="58">G34+G35</f>
        <v>204.035237634</v>
      </c>
      <c r="O34" s="947">
        <f t="shared" si="58"/>
        <v>0</v>
      </c>
      <c r="P34" s="947">
        <f t="shared" ref="P34" si="59">N34+O34</f>
        <v>204.035237634</v>
      </c>
      <c r="Q34" s="947">
        <f t="shared" ref="Q34" si="60">J34+J35</f>
        <v>122.71777777777777</v>
      </c>
      <c r="R34" s="947">
        <f t="shared" ref="R34" si="61">P34-Q34</f>
        <v>81.317459856222229</v>
      </c>
      <c r="S34" s="948">
        <f t="shared" ref="S34" si="62">Q34/P34</f>
        <v>0.601453842977407</v>
      </c>
      <c r="T34" s="965">
        <f t="shared" si="45"/>
        <v>0.601453842977407</v>
      </c>
    </row>
    <row r="35" spans="1:20" s="525" customFormat="1" ht="15" customHeight="1">
      <c r="A35" s="255"/>
      <c r="B35" s="934"/>
      <c r="C35" s="463"/>
      <c r="D35" s="926"/>
      <c r="E35" s="895"/>
      <c r="F35" s="84" t="s">
        <v>96</v>
      </c>
      <c r="G35" s="519">
        <f>+E34*$D$8</f>
        <v>74.499352798000004</v>
      </c>
      <c r="H35" s="86"/>
      <c r="I35" s="82">
        <f>G35+H35+K34</f>
        <v>81.317459856222243</v>
      </c>
      <c r="J35" s="387">
        <v>0</v>
      </c>
      <c r="K35" s="85">
        <f>I35-J35</f>
        <v>81.317459856222243</v>
      </c>
      <c r="L35" s="91">
        <f>J35/I35</f>
        <v>0</v>
      </c>
      <c r="M35" s="512" t="s">
        <v>30</v>
      </c>
      <c r="N35" s="947"/>
      <c r="O35" s="947"/>
      <c r="P35" s="947"/>
      <c r="Q35" s="947"/>
      <c r="R35" s="947"/>
      <c r="S35" s="948"/>
      <c r="T35" s="965"/>
    </row>
    <row r="36" spans="1:20" s="525" customFormat="1" ht="15" customHeight="1">
      <c r="A36" s="51">
        <v>13</v>
      </c>
      <c r="B36" s="934"/>
      <c r="C36" s="465" t="s">
        <v>408</v>
      </c>
      <c r="D36" s="926" t="s">
        <v>263</v>
      </c>
      <c r="E36" s="895">
        <v>1.6682712000000001E-3</v>
      </c>
      <c r="F36" s="206" t="s">
        <v>35</v>
      </c>
      <c r="G36" s="518">
        <f>+E36*$D$6</f>
        <v>3.9971777952000003</v>
      </c>
      <c r="H36" s="86"/>
      <c r="I36" s="82">
        <f>G36+H36</f>
        <v>3.9971777952000003</v>
      </c>
      <c r="J36" s="516">
        <v>0</v>
      </c>
      <c r="K36" s="82">
        <f>I36-J36</f>
        <v>3.9971777952000003</v>
      </c>
      <c r="L36" s="87">
        <f>J36/I36</f>
        <v>0</v>
      </c>
      <c r="M36" s="512" t="s">
        <v>30</v>
      </c>
      <c r="N36" s="947">
        <f t="shared" ref="N36:O36" si="63">G36+G37</f>
        <v>6.2960555088000003</v>
      </c>
      <c r="O36" s="947">
        <f t="shared" si="63"/>
        <v>0</v>
      </c>
      <c r="P36" s="947">
        <f t="shared" ref="P36" si="64">N36+O36</f>
        <v>6.2960555088000003</v>
      </c>
      <c r="Q36" s="947">
        <f t="shared" ref="Q36" si="65">J36+J37</f>
        <v>0</v>
      </c>
      <c r="R36" s="947">
        <f t="shared" ref="R36" si="66">P36-Q36</f>
        <v>6.2960555088000003</v>
      </c>
      <c r="S36" s="948">
        <f t="shared" ref="S36" si="67">Q36/P36</f>
        <v>0</v>
      </c>
      <c r="T36" s="965">
        <f t="shared" si="45"/>
        <v>0</v>
      </c>
    </row>
    <row r="37" spans="1:20" s="525" customFormat="1" ht="15" customHeight="1">
      <c r="A37" s="51"/>
      <c r="B37" s="934"/>
      <c r="C37" s="463"/>
      <c r="D37" s="926"/>
      <c r="E37" s="895"/>
      <c r="F37" s="206" t="s">
        <v>96</v>
      </c>
      <c r="G37" s="518">
        <f>+E36*$D$8</f>
        <v>2.2988777136</v>
      </c>
      <c r="H37" s="86"/>
      <c r="I37" s="82">
        <f>G37+H37+K36</f>
        <v>6.2960555088000003</v>
      </c>
      <c r="J37" s="387">
        <v>0</v>
      </c>
      <c r="K37" s="82">
        <f>I37-J37</f>
        <v>6.2960555088000003</v>
      </c>
      <c r="L37" s="87">
        <f>J37/I37</f>
        <v>0</v>
      </c>
      <c r="M37" s="512" t="s">
        <v>30</v>
      </c>
      <c r="N37" s="947"/>
      <c r="O37" s="947"/>
      <c r="P37" s="947"/>
      <c r="Q37" s="947"/>
      <c r="R37" s="947"/>
      <c r="S37" s="948"/>
      <c r="T37" s="965"/>
    </row>
    <row r="38" spans="1:20" s="525" customFormat="1" ht="15" customHeight="1">
      <c r="A38" s="51">
        <v>14</v>
      </c>
      <c r="B38" s="934"/>
      <c r="C38" s="465" t="s">
        <v>445</v>
      </c>
      <c r="D38" s="926" t="s">
        <v>261</v>
      </c>
      <c r="E38" s="895">
        <v>2.539492E-3</v>
      </c>
      <c r="F38" s="206" t="s">
        <v>35</v>
      </c>
      <c r="G38" s="518">
        <f>+E38*$D$6</f>
        <v>6.084622832</v>
      </c>
      <c r="H38" s="86"/>
      <c r="I38" s="82">
        <f>G38+H38</f>
        <v>6.084622832</v>
      </c>
      <c r="J38" s="516">
        <v>4.9933333333333341</v>
      </c>
      <c r="K38" s="82">
        <f t="shared" ref="K38:K39" si="68">I38-J38</f>
        <v>1.0912894986666659</v>
      </c>
      <c r="L38" s="87">
        <f t="shared" ref="L38:L39" si="69">J38/I38</f>
        <v>0.82064796310341526</v>
      </c>
      <c r="M38" s="512" t="s">
        <v>30</v>
      </c>
      <c r="N38" s="947">
        <f t="shared" ref="N38:O38" si="70">G38+G39</f>
        <v>9.5840428079999995</v>
      </c>
      <c r="O38" s="947">
        <f t="shared" si="70"/>
        <v>0</v>
      </c>
      <c r="P38" s="947">
        <f>N38+O38</f>
        <v>9.5840428079999995</v>
      </c>
      <c r="Q38" s="947">
        <f t="shared" ref="Q38" si="71">J38+J39</f>
        <v>4.9933333333333341</v>
      </c>
      <c r="R38" s="947">
        <f t="shared" ref="R38" si="72">P38-Q38</f>
        <v>4.5907094746666655</v>
      </c>
      <c r="S38" s="948">
        <f t="shared" ref="S38" si="73">Q38/P38</f>
        <v>0.52100490715309566</v>
      </c>
      <c r="T38" s="965">
        <f>(100%-+(R38/N38))</f>
        <v>0.52100490715309566</v>
      </c>
    </row>
    <row r="39" spans="1:20" s="525" customFormat="1" ht="15" customHeight="1">
      <c r="A39" s="255"/>
      <c r="B39" s="934"/>
      <c r="C39" s="463"/>
      <c r="D39" s="926"/>
      <c r="E39" s="895"/>
      <c r="F39" s="206" t="s">
        <v>96</v>
      </c>
      <c r="G39" s="518">
        <f>+E38*$D$8</f>
        <v>3.499419976</v>
      </c>
      <c r="H39" s="86"/>
      <c r="I39" s="82">
        <f>G39+H39+K38</f>
        <v>4.5907094746666655</v>
      </c>
      <c r="J39" s="387">
        <v>0</v>
      </c>
      <c r="K39" s="82">
        <f t="shared" si="68"/>
        <v>4.5907094746666655</v>
      </c>
      <c r="L39" s="87">
        <f t="shared" si="69"/>
        <v>0</v>
      </c>
      <c r="M39" s="512" t="s">
        <v>30</v>
      </c>
      <c r="N39" s="947"/>
      <c r="O39" s="947"/>
      <c r="P39" s="947"/>
      <c r="Q39" s="947"/>
      <c r="R39" s="947"/>
      <c r="S39" s="948"/>
      <c r="T39" s="965"/>
    </row>
    <row r="40" spans="1:20" s="525" customFormat="1" ht="15" customHeight="1">
      <c r="A40" s="51">
        <v>15</v>
      </c>
      <c r="B40" s="934"/>
      <c r="C40" s="465" t="s">
        <v>404</v>
      </c>
      <c r="D40" s="926" t="s">
        <v>262</v>
      </c>
      <c r="E40" s="895">
        <v>5.951998E-3</v>
      </c>
      <c r="F40" s="206" t="s">
        <v>35</v>
      </c>
      <c r="G40" s="518">
        <f>+E40*$D$6</f>
        <v>14.260987208</v>
      </c>
      <c r="H40" s="86"/>
      <c r="I40" s="82">
        <f>G40+H40</f>
        <v>14.260987208</v>
      </c>
      <c r="J40" s="516">
        <v>12.871111111111109</v>
      </c>
      <c r="K40" s="82">
        <f t="shared" si="51"/>
        <v>1.3898760968888908</v>
      </c>
      <c r="L40" s="87">
        <f t="shared" si="52"/>
        <v>0.90253998011377423</v>
      </c>
      <c r="M40" s="512" t="s">
        <v>30</v>
      </c>
      <c r="N40" s="947">
        <f t="shared" ref="N40:O40" si="74">G40+G41</f>
        <v>22.462840452000002</v>
      </c>
      <c r="O40" s="947">
        <f t="shared" si="74"/>
        <v>0</v>
      </c>
      <c r="P40" s="947">
        <f t="shared" ref="P40" si="75">N40+O40</f>
        <v>22.462840452000002</v>
      </c>
      <c r="Q40" s="947">
        <f t="shared" ref="Q40" si="76">J40+J41</f>
        <v>12.871111111111109</v>
      </c>
      <c r="R40" s="947">
        <f t="shared" ref="R40" si="77">P40-Q40</f>
        <v>9.5917293408888931</v>
      </c>
      <c r="S40" s="948">
        <f t="shared" ref="S40" si="78">Q40/P40</f>
        <v>0.57299570544584078</v>
      </c>
      <c r="T40" s="965">
        <f t="shared" si="45"/>
        <v>0.57299570544584078</v>
      </c>
    </row>
    <row r="41" spans="1:20" s="525" customFormat="1" ht="15" customHeight="1">
      <c r="A41" s="51"/>
      <c r="B41" s="934"/>
      <c r="C41" s="463"/>
      <c r="D41" s="926"/>
      <c r="E41" s="895"/>
      <c r="F41" s="206" t="s">
        <v>96</v>
      </c>
      <c r="G41" s="518">
        <f>+E40*$D$8</f>
        <v>8.2018532440000005</v>
      </c>
      <c r="H41" s="86"/>
      <c r="I41" s="82">
        <f>G41+H41+K40</f>
        <v>9.5917293408888913</v>
      </c>
      <c r="J41" s="387">
        <v>0</v>
      </c>
      <c r="K41" s="82">
        <f t="shared" si="51"/>
        <v>9.5917293408888913</v>
      </c>
      <c r="L41" s="87">
        <f t="shared" si="52"/>
        <v>0</v>
      </c>
      <c r="M41" s="512" t="s">
        <v>30</v>
      </c>
      <c r="N41" s="947"/>
      <c r="O41" s="947"/>
      <c r="P41" s="947"/>
      <c r="Q41" s="947"/>
      <c r="R41" s="947"/>
      <c r="S41" s="948"/>
      <c r="T41" s="965"/>
    </row>
    <row r="42" spans="1:20" s="525" customFormat="1" ht="15" customHeight="1">
      <c r="A42" s="51">
        <v>16</v>
      </c>
      <c r="B42" s="934"/>
      <c r="C42" s="465" t="s">
        <v>264</v>
      </c>
      <c r="D42" s="926"/>
      <c r="E42" s="895">
        <v>8.3270640000000003E-3</v>
      </c>
      <c r="F42" s="206" t="s">
        <v>35</v>
      </c>
      <c r="G42" s="518">
        <f>+E42*$D$6</f>
        <v>19.951645343999999</v>
      </c>
      <c r="H42" s="86"/>
      <c r="I42" s="82">
        <f>G42+H42</f>
        <v>19.951645343999999</v>
      </c>
      <c r="J42" s="516">
        <v>14.73111111111111</v>
      </c>
      <c r="K42" s="82">
        <f t="shared" si="51"/>
        <v>5.2205342328888893</v>
      </c>
      <c r="L42" s="87">
        <f t="shared" si="52"/>
        <v>0.73834066600132076</v>
      </c>
      <c r="M42" s="461" t="s">
        <v>30</v>
      </c>
      <c r="N42" s="947">
        <f t="shared" ref="N42:O42" si="79">G42+G43</f>
        <v>31.426339536</v>
      </c>
      <c r="O42" s="947">
        <f t="shared" si="79"/>
        <v>0</v>
      </c>
      <c r="P42" s="947">
        <f t="shared" ref="P42" si="80">N42+O42</f>
        <v>31.426339536</v>
      </c>
      <c r="Q42" s="947">
        <f t="shared" ref="Q42" si="81">J42+J43</f>
        <v>14.73111111111111</v>
      </c>
      <c r="R42" s="947">
        <f t="shared" ref="R42" si="82">P42-Q42</f>
        <v>16.695228424888889</v>
      </c>
      <c r="S42" s="948">
        <f t="shared" ref="S42:S44" si="83">Q42/P42</f>
        <v>0.46875045992028735</v>
      </c>
      <c r="T42" s="965">
        <f t="shared" si="45"/>
        <v>0.46875045992028741</v>
      </c>
    </row>
    <row r="43" spans="1:20" s="525" customFormat="1" ht="15" customHeight="1">
      <c r="A43" s="255"/>
      <c r="B43" s="934"/>
      <c r="C43" s="463"/>
      <c r="D43" s="949"/>
      <c r="E43" s="950"/>
      <c r="F43" s="207" t="s">
        <v>96</v>
      </c>
      <c r="G43" s="519">
        <f>+E42*$D$8</f>
        <v>11.474694192000001</v>
      </c>
      <c r="H43" s="86"/>
      <c r="I43" s="82">
        <f>G43+H43+K42</f>
        <v>16.695228424888889</v>
      </c>
      <c r="J43" s="387"/>
      <c r="K43" s="85">
        <f t="shared" si="51"/>
        <v>16.695228424888889</v>
      </c>
      <c r="L43" s="91">
        <f>J43/I43</f>
        <v>0</v>
      </c>
      <c r="M43" s="511" t="s">
        <v>30</v>
      </c>
      <c r="N43" s="947"/>
      <c r="O43" s="947"/>
      <c r="P43" s="947"/>
      <c r="Q43" s="947"/>
      <c r="R43" s="947"/>
      <c r="S43" s="948"/>
      <c r="T43" s="965"/>
    </row>
    <row r="44" spans="1:20" s="525" customFormat="1" ht="15" customHeight="1">
      <c r="A44" s="51"/>
      <c r="B44" s="532" t="s">
        <v>265</v>
      </c>
      <c r="C44" s="533"/>
      <c r="D44" s="461"/>
      <c r="E44" s="941">
        <f>SUM(E12:E43)</f>
        <v>0.24698050980000003</v>
      </c>
      <c r="F44" s="461" t="s">
        <v>35</v>
      </c>
      <c r="G44" s="528">
        <f t="shared" ref="G44:K45" si="84">G12+G16+G18+G20+G22+G24+G26+G28+G30+G32+G34+G36+G14+G38+G42+G40</f>
        <v>576.78533609359999</v>
      </c>
      <c r="H44" s="722">
        <f>H12+H16+H18+H20+H22+H24+H26+H28+H30+H32+H34+H36+H14+H38+H42+H40</f>
        <v>-261.81599999999997</v>
      </c>
      <c r="I44" s="210">
        <f t="shared" si="84"/>
        <v>314.96933609359996</v>
      </c>
      <c r="J44" s="210">
        <f>J12+J16+J18+J20+J22+J24+J26+J28+J30+J32+J34+J36+J14+J38+J42+J40</f>
        <v>353.98888888888888</v>
      </c>
      <c r="K44" s="210">
        <f t="shared" si="84"/>
        <v>-39.01955279528881</v>
      </c>
      <c r="L44" s="215">
        <f>J44/I44</f>
        <v>1.1238836557209919</v>
      </c>
      <c r="M44" s="925" t="s">
        <v>30</v>
      </c>
      <c r="N44" s="942">
        <f>SUM(N12:N43)</f>
        <v>886.61803272840007</v>
      </c>
      <c r="O44" s="942">
        <f>SUM(O24:O43)</f>
        <v>-62.183</v>
      </c>
      <c r="P44" s="942">
        <f>+N44+O44</f>
        <v>824.43503272840007</v>
      </c>
      <c r="Q44" s="942">
        <f>SUM(Q24:Q43)</f>
        <v>294.49777777777774</v>
      </c>
      <c r="R44" s="942">
        <f>+P44-Q44</f>
        <v>529.93725495062233</v>
      </c>
      <c r="S44" s="946">
        <f t="shared" si="83"/>
        <v>0.3572116250363131</v>
      </c>
      <c r="T44" s="884">
        <f t="shared" si="45"/>
        <v>0.40229361981298728</v>
      </c>
    </row>
    <row r="45" spans="1:20" s="525" customFormat="1" ht="15" customHeight="1">
      <c r="A45" s="51"/>
      <c r="B45" s="534"/>
      <c r="C45" s="535"/>
      <c r="D45" s="461"/>
      <c r="E45" s="941"/>
      <c r="F45" s="461" t="s">
        <v>96</v>
      </c>
      <c r="G45" s="528">
        <f t="shared" si="84"/>
        <v>309.83269663480007</v>
      </c>
      <c r="H45" s="722">
        <f>H13+H17+H19+H21+H23+H25+H27+H29+H31+H33+H35+H37+H15+H39+H43+H41</f>
        <v>0</v>
      </c>
      <c r="I45" s="210">
        <f>I13+I17+I19+I21+I23+I25+I27+I29+I31+I33+I35+I37+I15+I39+I43+I41</f>
        <v>270.81314383951121</v>
      </c>
      <c r="J45" s="210">
        <f>J13+J17+J19+J21+J23+J25+J27+J29+J31+J33+J35+J37+J15+J39+J43+J41</f>
        <v>0</v>
      </c>
      <c r="K45" s="210">
        <f>K13+K17+K19+K21+K23+K25+K27+K29+K31+K33+K35+K37+K15+K39+K43+K41</f>
        <v>270.81314383951121</v>
      </c>
      <c r="L45" s="215">
        <f>J45/I45</f>
        <v>0</v>
      </c>
      <c r="M45" s="925"/>
      <c r="N45" s="942"/>
      <c r="O45" s="942"/>
      <c r="P45" s="942"/>
      <c r="Q45" s="942"/>
      <c r="R45" s="942"/>
      <c r="S45" s="946"/>
      <c r="T45" s="884"/>
    </row>
    <row r="46" spans="1:20" s="2" customFormat="1" ht="15" customHeight="1">
      <c r="A46" s="92"/>
      <c r="B46" s="92"/>
      <c r="C46" s="203"/>
      <c r="D46" s="92"/>
      <c r="E46" s="92"/>
      <c r="F46" s="92"/>
      <c r="G46" s="92"/>
      <c r="H46" s="92"/>
      <c r="I46" s="92"/>
      <c r="J46" s="92"/>
      <c r="K46" s="92"/>
      <c r="M46" s="92"/>
      <c r="N46" s="92"/>
      <c r="O46" s="92"/>
      <c r="P46" s="92"/>
      <c r="Q46" s="92"/>
      <c r="R46" s="92"/>
      <c r="S46" s="92"/>
      <c r="T46" s="92"/>
    </row>
    <row r="47" spans="1:20" s="2" customFormat="1" ht="15" customHeight="1">
      <c r="A47" s="92"/>
      <c r="B47" s="92"/>
      <c r="C47" s="203"/>
      <c r="D47" s="92"/>
      <c r="E47" s="92"/>
      <c r="F47" s="662"/>
      <c r="G47" s="92"/>
      <c r="H47" s="92"/>
      <c r="I47" s="92"/>
      <c r="J47" s="92"/>
      <c r="K47" s="92"/>
      <c r="L47" s="662"/>
      <c r="M47" s="92"/>
      <c r="N47" s="92"/>
      <c r="O47" s="92"/>
      <c r="P47" s="92"/>
      <c r="Q47" s="92"/>
      <c r="R47" s="92"/>
      <c r="S47" s="92"/>
      <c r="T47" s="92"/>
    </row>
    <row r="48" spans="1:20" s="526" customFormat="1" ht="27" customHeight="1">
      <c r="A48" s="67"/>
      <c r="B48" s="461" t="s">
        <v>240</v>
      </c>
      <c r="C48" s="379" t="s">
        <v>241</v>
      </c>
      <c r="D48" s="379" t="s">
        <v>242</v>
      </c>
      <c r="E48" s="537" t="s">
        <v>243</v>
      </c>
      <c r="F48" s="511" t="s">
        <v>244</v>
      </c>
      <c r="G48" s="511" t="s">
        <v>236</v>
      </c>
      <c r="H48" s="538" t="s">
        <v>4</v>
      </c>
      <c r="I48" s="511" t="s">
        <v>5</v>
      </c>
      <c r="J48" s="511" t="s">
        <v>237</v>
      </c>
      <c r="K48" s="511" t="s">
        <v>45</v>
      </c>
      <c r="L48" s="532" t="s">
        <v>75</v>
      </c>
      <c r="M48" s="511" t="s">
        <v>76</v>
      </c>
      <c r="N48" s="539" t="s">
        <v>245</v>
      </c>
      <c r="O48" s="539" t="s">
        <v>4</v>
      </c>
      <c r="P48" s="539" t="s">
        <v>5</v>
      </c>
      <c r="Q48" s="539" t="s">
        <v>6</v>
      </c>
      <c r="R48" s="539" t="s">
        <v>7</v>
      </c>
      <c r="S48" s="326" t="s">
        <v>460</v>
      </c>
      <c r="T48" s="539" t="s">
        <v>458</v>
      </c>
    </row>
    <row r="49" spans="1:22" s="525" customFormat="1" ht="15" customHeight="1">
      <c r="A49" s="51">
        <v>1</v>
      </c>
      <c r="B49" s="961" t="s">
        <v>266</v>
      </c>
      <c r="C49" s="887" t="s">
        <v>446</v>
      </c>
      <c r="D49" s="936">
        <v>4312</v>
      </c>
      <c r="E49" s="936">
        <v>2.0576755999999999E-3</v>
      </c>
      <c r="F49" s="464" t="s">
        <v>35</v>
      </c>
      <c r="G49" s="518">
        <f>+E49*$D$6</f>
        <v>4.9301907375999994</v>
      </c>
      <c r="H49" s="86"/>
      <c r="I49" s="82">
        <f>G49+H49</f>
        <v>4.9301907375999994</v>
      </c>
      <c r="J49" s="516">
        <v>4.5266666666666664</v>
      </c>
      <c r="K49" s="82">
        <f>I49-J49</f>
        <v>0.40352407093333298</v>
      </c>
      <c r="L49" s="87">
        <f t="shared" ref="L49:L78" si="85">J49/I49</f>
        <v>0.91815244228669191</v>
      </c>
      <c r="M49" s="461" t="s">
        <v>30</v>
      </c>
      <c r="N49" s="903">
        <f>G49+G50</f>
        <v>7.7656677143999993</v>
      </c>
      <c r="O49" s="899">
        <f>H49+H50</f>
        <v>0</v>
      </c>
      <c r="P49" s="899">
        <f>N49+O49</f>
        <v>7.7656677143999993</v>
      </c>
      <c r="Q49" s="899">
        <f>J49+J50</f>
        <v>4.5266666666666664</v>
      </c>
      <c r="R49" s="899">
        <f>P49-Q49</f>
        <v>3.2390010477333329</v>
      </c>
      <c r="S49" s="884">
        <f>Q49/P49</f>
        <v>0.58290759187040642</v>
      </c>
      <c r="T49" s="884">
        <f t="shared" ref="T49:T57" si="86">(100%-+(R49/N49))</f>
        <v>0.58290759187040642</v>
      </c>
      <c r="V49" s="562"/>
    </row>
    <row r="50" spans="1:22" s="525" customFormat="1" ht="15" customHeight="1">
      <c r="A50" s="51"/>
      <c r="B50" s="961"/>
      <c r="C50" s="888"/>
      <c r="D50" s="937"/>
      <c r="E50" s="937"/>
      <c r="F50" s="464" t="s">
        <v>96</v>
      </c>
      <c r="G50" s="518">
        <f>+E49*$D$8</f>
        <v>2.8354769767999999</v>
      </c>
      <c r="H50" s="86"/>
      <c r="I50" s="82">
        <f>G50+H50+K49</f>
        <v>3.2390010477333329</v>
      </c>
      <c r="J50" s="387"/>
      <c r="K50" s="82">
        <f t="shared" ref="K50:K78" si="87">I50-J50</f>
        <v>3.2390010477333329</v>
      </c>
      <c r="L50" s="87">
        <f t="shared" si="85"/>
        <v>0</v>
      </c>
      <c r="M50" s="461" t="s">
        <v>30</v>
      </c>
      <c r="N50" s="903"/>
      <c r="O50" s="899"/>
      <c r="P50" s="899"/>
      <c r="Q50" s="899"/>
      <c r="R50" s="899"/>
      <c r="S50" s="884"/>
      <c r="T50" s="884"/>
      <c r="V50" s="562"/>
    </row>
    <row r="51" spans="1:22" s="525" customFormat="1" ht="15" customHeight="1">
      <c r="A51" s="51">
        <v>2</v>
      </c>
      <c r="B51" s="961"/>
      <c r="C51" s="465" t="s">
        <v>426</v>
      </c>
      <c r="D51" s="936" t="s">
        <v>282</v>
      </c>
      <c r="E51" s="936">
        <v>2.02514905E-2</v>
      </c>
      <c r="F51" s="464" t="s">
        <v>35</v>
      </c>
      <c r="G51" s="517">
        <f>+E51*$D$6</f>
        <v>48.522571237999998</v>
      </c>
      <c r="H51" s="86">
        <v>-49.030999999999999</v>
      </c>
      <c r="I51" s="82">
        <f>G51+H51</f>
        <v>-0.5084287620000012</v>
      </c>
      <c r="J51" s="516">
        <v>13.701111111111109</v>
      </c>
      <c r="K51" s="82">
        <f t="shared" ref="K51:K62" si="88">I51-J51</f>
        <v>-14.20953987311111</v>
      </c>
      <c r="L51" s="686">
        <f>J51/I51</f>
        <v>-26.947946566231192</v>
      </c>
      <c r="M51" s="509">
        <v>43524</v>
      </c>
      <c r="N51" s="903">
        <f t="shared" ref="N51:O51" si="89">G51+G52</f>
        <v>76.429125146999993</v>
      </c>
      <c r="O51" s="899">
        <f t="shared" si="89"/>
        <v>-49.030999999999999</v>
      </c>
      <c r="P51" s="899">
        <f t="shared" ref="P51" si="90">N51+O51</f>
        <v>27.398125146999995</v>
      </c>
      <c r="Q51" s="899">
        <f t="shared" ref="Q51" si="91">J51+J52</f>
        <v>13.701111111111109</v>
      </c>
      <c r="R51" s="899">
        <f t="shared" ref="R51" si="92">P51-Q51</f>
        <v>13.697014035888886</v>
      </c>
      <c r="S51" s="884">
        <f t="shared" ref="S51" si="93">Q51/P51</f>
        <v>0.5000747692624995</v>
      </c>
      <c r="T51" s="884">
        <f t="shared" si="86"/>
        <v>0.82078803061601546</v>
      </c>
      <c r="V51" s="562"/>
    </row>
    <row r="52" spans="1:22" s="525" customFormat="1" ht="15" customHeight="1">
      <c r="A52" s="51"/>
      <c r="B52" s="961"/>
      <c r="C52" s="463"/>
      <c r="D52" s="943"/>
      <c r="E52" s="943">
        <v>2.02514905E-2</v>
      </c>
      <c r="F52" s="464" t="s">
        <v>96</v>
      </c>
      <c r="G52" s="518">
        <f>+E51*$D$8</f>
        <v>27.906553908999999</v>
      </c>
      <c r="H52" s="86"/>
      <c r="I52" s="82">
        <f>G52+H52+K51</f>
        <v>13.697014035888889</v>
      </c>
      <c r="J52" s="387"/>
      <c r="K52" s="82">
        <f t="shared" si="88"/>
        <v>13.697014035888889</v>
      </c>
      <c r="L52" s="87">
        <f t="shared" ref="L52:L62" si="94">J52/I52</f>
        <v>0</v>
      </c>
      <c r="M52" s="461" t="s">
        <v>30</v>
      </c>
      <c r="N52" s="903"/>
      <c r="O52" s="899"/>
      <c r="P52" s="899"/>
      <c r="Q52" s="899"/>
      <c r="R52" s="899"/>
      <c r="S52" s="884"/>
      <c r="T52" s="884"/>
      <c r="V52" s="562"/>
    </row>
    <row r="53" spans="1:22" s="525" customFormat="1" ht="15" customHeight="1">
      <c r="A53" s="51">
        <v>3</v>
      </c>
      <c r="B53" s="961"/>
      <c r="C53" s="887" t="s">
        <v>450</v>
      </c>
      <c r="D53" s="936" t="s">
        <v>285</v>
      </c>
      <c r="E53" s="936">
        <v>1.1437660000000001E-3</v>
      </c>
      <c r="F53" s="693" t="s">
        <v>35</v>
      </c>
      <c r="G53" s="518">
        <f>+E53*$D$6</f>
        <v>2.7404633359999999</v>
      </c>
      <c r="H53" s="86">
        <v>-4.3159999999999998</v>
      </c>
      <c r="I53" s="82">
        <f>G53+H53</f>
        <v>-1.5755366639999999</v>
      </c>
      <c r="J53" s="516"/>
      <c r="K53" s="82">
        <f>I53-J53</f>
        <v>-1.5755366639999999</v>
      </c>
      <c r="L53" s="87">
        <f>J53/I53</f>
        <v>0</v>
      </c>
      <c r="M53" s="509">
        <v>43508</v>
      </c>
      <c r="N53" s="902">
        <f>G53+G54</f>
        <v>4.3165728840000002</v>
      </c>
      <c r="O53" s="902">
        <f>H53+H54</f>
        <v>-4.3159999999999998</v>
      </c>
      <c r="P53" s="902">
        <f t="shared" ref="P53" si="95">N53+O53</f>
        <v>5.728840000003288E-4</v>
      </c>
      <c r="Q53" s="902">
        <f t="shared" ref="Q53" si="96">J53+J54</f>
        <v>0</v>
      </c>
      <c r="R53" s="902">
        <f>P53-Q53</f>
        <v>5.728840000003288E-4</v>
      </c>
      <c r="S53" s="848">
        <f t="shared" ref="S53" si="97">Q53/P53</f>
        <v>0</v>
      </c>
      <c r="T53" s="848">
        <f>(100%-+(R53/N53))</f>
        <v>0.99986728267646685</v>
      </c>
      <c r="V53" s="562"/>
    </row>
    <row r="54" spans="1:22" s="525" customFormat="1" ht="15" customHeight="1">
      <c r="A54" s="51"/>
      <c r="B54" s="961"/>
      <c r="C54" s="888"/>
      <c r="D54" s="937"/>
      <c r="E54" s="937">
        <v>1.1437660000000001E-3</v>
      </c>
      <c r="F54" s="693" t="s">
        <v>96</v>
      </c>
      <c r="G54" s="518">
        <f>+E53*$D$8</f>
        <v>1.576109548</v>
      </c>
      <c r="H54" s="86"/>
      <c r="I54" s="82">
        <f>G54+H54+K53</f>
        <v>5.7288400000010675E-4</v>
      </c>
      <c r="J54" s="387"/>
      <c r="K54" s="82">
        <f>I54-J54</f>
        <v>5.7288400000010675E-4</v>
      </c>
      <c r="L54" s="87">
        <f>J54/I54</f>
        <v>0</v>
      </c>
      <c r="M54" s="509">
        <v>43508</v>
      </c>
      <c r="N54" s="902"/>
      <c r="O54" s="902"/>
      <c r="P54" s="902"/>
      <c r="Q54" s="902"/>
      <c r="R54" s="902"/>
      <c r="S54" s="848"/>
      <c r="T54" s="848"/>
      <c r="V54" s="562"/>
    </row>
    <row r="55" spans="1:22" s="525" customFormat="1" ht="15" customHeight="1">
      <c r="A55" s="51">
        <v>4</v>
      </c>
      <c r="B55" s="961"/>
      <c r="C55" s="692" t="s">
        <v>392</v>
      </c>
      <c r="D55" s="936" t="s">
        <v>272</v>
      </c>
      <c r="E55" s="936">
        <v>1.9725258700000001E-2</v>
      </c>
      <c r="F55" s="693" t="s">
        <v>273</v>
      </c>
      <c r="G55" s="517">
        <f>+E55*$D$6</f>
        <v>47.261719845200005</v>
      </c>
      <c r="H55" s="86">
        <f>-68.281</f>
        <v>-68.281000000000006</v>
      </c>
      <c r="I55" s="82">
        <f>G55+H55</f>
        <v>-21.019280154800001</v>
      </c>
      <c r="J55" s="516"/>
      <c r="K55" s="82">
        <f>I55-J55</f>
        <v>-21.019280154800001</v>
      </c>
      <c r="L55" s="686">
        <f>J55/I55</f>
        <v>0</v>
      </c>
      <c r="M55" s="509">
        <v>43524</v>
      </c>
      <c r="N55" s="903">
        <f t="shared" ref="N55:O55" si="98">G55+G56</f>
        <v>74.443126333800009</v>
      </c>
      <c r="O55" s="899">
        <f t="shared" si="98"/>
        <v>-68.281000000000006</v>
      </c>
      <c r="P55" s="899">
        <f t="shared" ref="P55" si="99">N55+O55</f>
        <v>6.1621263338000034</v>
      </c>
      <c r="Q55" s="899">
        <f t="shared" ref="Q55" si="100">J55+J56</f>
        <v>0</v>
      </c>
      <c r="R55" s="899">
        <f t="shared" ref="R55" si="101">P55-Q55</f>
        <v>6.1621263338000034</v>
      </c>
      <c r="S55" s="884">
        <f t="shared" ref="S55" si="102">Q55/P55</f>
        <v>0</v>
      </c>
      <c r="T55" s="884">
        <f>(100%-+(R55/N55))</f>
        <v>0.91722370301632317</v>
      </c>
      <c r="V55" s="562"/>
    </row>
    <row r="56" spans="1:22" s="525" customFormat="1" ht="15" customHeight="1">
      <c r="A56" s="51"/>
      <c r="B56" s="961"/>
      <c r="C56" s="688"/>
      <c r="D56" s="943"/>
      <c r="E56" s="943">
        <v>1.9725258700000001E-2</v>
      </c>
      <c r="F56" s="693" t="s">
        <v>274</v>
      </c>
      <c r="G56" s="518">
        <f>+E55*$D$8</f>
        <v>27.1814064886</v>
      </c>
      <c r="H56" s="86"/>
      <c r="I56" s="82">
        <f>G56+H56+K55</f>
        <v>6.1621263337999999</v>
      </c>
      <c r="J56" s="387"/>
      <c r="K56" s="82">
        <f>I56-J56</f>
        <v>6.1621263337999999</v>
      </c>
      <c r="L56" s="87">
        <f>J56/I56</f>
        <v>0</v>
      </c>
      <c r="M56" s="461" t="s">
        <v>30</v>
      </c>
      <c r="N56" s="903"/>
      <c r="O56" s="899"/>
      <c r="P56" s="899"/>
      <c r="Q56" s="899"/>
      <c r="R56" s="899"/>
      <c r="S56" s="884"/>
      <c r="T56" s="884"/>
      <c r="V56" s="562"/>
    </row>
    <row r="57" spans="1:22" s="525" customFormat="1" ht="15" customHeight="1">
      <c r="A57" s="51">
        <v>5</v>
      </c>
      <c r="B57" s="961"/>
      <c r="C57" s="887" t="s">
        <v>395</v>
      </c>
      <c r="D57" s="936" t="s">
        <v>281</v>
      </c>
      <c r="E57" s="936">
        <v>2.93809311E-2</v>
      </c>
      <c r="F57" s="693" t="s">
        <v>35</v>
      </c>
      <c r="G57" s="518">
        <f>+E57*$D$6</f>
        <v>70.396710915599996</v>
      </c>
      <c r="H57" s="86">
        <v>-97.352000000000004</v>
      </c>
      <c r="I57" s="82">
        <f>G57+H57</f>
        <v>-26.955289084400007</v>
      </c>
      <c r="J57" s="516">
        <v>6.0433333333333339</v>
      </c>
      <c r="K57" s="82">
        <f t="shared" si="88"/>
        <v>-32.998622417733344</v>
      </c>
      <c r="L57" s="686">
        <f t="shared" si="94"/>
        <v>-0.22419842407962998</v>
      </c>
      <c r="M57" s="711"/>
      <c r="N57" s="903">
        <f t="shared" ref="N57:O57" si="103">G57+G58</f>
        <v>110.8836339714</v>
      </c>
      <c r="O57" s="899">
        <f t="shared" si="103"/>
        <v>-97.352000000000004</v>
      </c>
      <c r="P57" s="899">
        <f t="shared" ref="P57" si="104">N57+O57</f>
        <v>13.531633971399998</v>
      </c>
      <c r="Q57" s="899">
        <f t="shared" ref="Q57" si="105">J57+J58</f>
        <v>6.0433333333333339</v>
      </c>
      <c r="R57" s="899">
        <f t="shared" ref="R57" si="106">P57-Q57</f>
        <v>7.4883006380666641</v>
      </c>
      <c r="S57" s="884">
        <f t="shared" ref="S57" si="107">Q57/P57</f>
        <v>0.44660780406167638</v>
      </c>
      <c r="T57" s="884">
        <f t="shared" si="86"/>
        <v>0.93246703440475165</v>
      </c>
      <c r="V57" s="562"/>
    </row>
    <row r="58" spans="1:22" s="525" customFormat="1" ht="15" customHeight="1">
      <c r="A58" s="51"/>
      <c r="B58" s="961"/>
      <c r="C58" s="888"/>
      <c r="D58" s="937"/>
      <c r="E58" s="937">
        <v>2.93809311E-2</v>
      </c>
      <c r="F58" s="693" t="s">
        <v>96</v>
      </c>
      <c r="G58" s="518">
        <f>+E57*$D$8</f>
        <v>40.486923055799998</v>
      </c>
      <c r="H58" s="86"/>
      <c r="I58" s="82">
        <f>G58+H58+K57</f>
        <v>7.4883006380666544</v>
      </c>
      <c r="J58" s="387"/>
      <c r="K58" s="82">
        <f t="shared" si="88"/>
        <v>7.4883006380666544</v>
      </c>
      <c r="L58" s="87">
        <f t="shared" si="94"/>
        <v>0</v>
      </c>
      <c r="M58" s="691" t="s">
        <v>30</v>
      </c>
      <c r="N58" s="903"/>
      <c r="O58" s="899"/>
      <c r="P58" s="899"/>
      <c r="Q58" s="899"/>
      <c r="R58" s="899"/>
      <c r="S58" s="884"/>
      <c r="T58" s="884"/>
      <c r="V58" s="562"/>
    </row>
    <row r="59" spans="1:22" s="525" customFormat="1" ht="15" customHeight="1">
      <c r="A59" s="51">
        <v>6</v>
      </c>
      <c r="B59" s="961"/>
      <c r="C59" s="692" t="s">
        <v>277</v>
      </c>
      <c r="D59" s="936" t="s">
        <v>278</v>
      </c>
      <c r="E59" s="936">
        <v>1.8474085000000001E-2</v>
      </c>
      <c r="F59" s="693" t="s">
        <v>35</v>
      </c>
      <c r="G59" s="517">
        <f>+E59*$D$6</f>
        <v>44.263907660000001</v>
      </c>
      <c r="H59" s="86">
        <v>-67.206999999999994</v>
      </c>
      <c r="I59" s="82">
        <f>G59+H59</f>
        <v>-22.943092339999993</v>
      </c>
      <c r="J59" s="516">
        <v>2.4444444444444442</v>
      </c>
      <c r="K59" s="82">
        <f t="shared" si="88"/>
        <v>-25.387536784444436</v>
      </c>
      <c r="L59" s="686">
        <f t="shared" si="94"/>
        <v>-0.1065438088388239</v>
      </c>
      <c r="M59" s="509">
        <v>43524</v>
      </c>
      <c r="N59" s="903">
        <f t="shared" ref="N59:O59" si="108">G59+G60</f>
        <v>69.721196790000008</v>
      </c>
      <c r="O59" s="899">
        <f t="shared" si="108"/>
        <v>-67.206999999999994</v>
      </c>
      <c r="P59" s="899">
        <f t="shared" ref="P59" si="109">N59+O59</f>
        <v>2.5141967900000139</v>
      </c>
      <c r="Q59" s="899">
        <f t="shared" ref="Q59" si="110">J59+J60</f>
        <v>2.4444444444444442</v>
      </c>
      <c r="R59" s="899">
        <f t="shared" ref="R59" si="111">P59-Q59</f>
        <v>6.975234555556975E-2</v>
      </c>
      <c r="S59" s="884">
        <f t="shared" ref="S59" si="112">Q59/P59</f>
        <v>0.97225660861830576</v>
      </c>
      <c r="T59" s="883">
        <f>(100%-+(R59/N59))</f>
        <v>0.99899955323822587</v>
      </c>
      <c r="V59" s="562"/>
    </row>
    <row r="60" spans="1:22" s="525" customFormat="1" ht="15" customHeight="1">
      <c r="A60" s="51"/>
      <c r="B60" s="961"/>
      <c r="C60" s="688"/>
      <c r="D60" s="943"/>
      <c r="E60" s="943">
        <v>1.6815305400000001E-2</v>
      </c>
      <c r="F60" s="693" t="s">
        <v>96</v>
      </c>
      <c r="G60" s="518">
        <f>+E59*$D$8</f>
        <v>25.457289130000003</v>
      </c>
      <c r="H60" s="86"/>
      <c r="I60" s="82">
        <f>G60+H60+K59</f>
        <v>6.975234555556753E-2</v>
      </c>
      <c r="J60" s="387"/>
      <c r="K60" s="82">
        <f t="shared" si="88"/>
        <v>6.975234555556753E-2</v>
      </c>
      <c r="L60" s="87">
        <f t="shared" si="94"/>
        <v>0</v>
      </c>
      <c r="M60" s="461" t="s">
        <v>30</v>
      </c>
      <c r="N60" s="903"/>
      <c r="O60" s="899"/>
      <c r="P60" s="899"/>
      <c r="Q60" s="899"/>
      <c r="R60" s="899"/>
      <c r="S60" s="884"/>
      <c r="T60" s="883"/>
      <c r="V60" s="562"/>
    </row>
    <row r="61" spans="1:22" s="525" customFormat="1" ht="15" customHeight="1">
      <c r="A61" s="51">
        <v>7</v>
      </c>
      <c r="B61" s="961"/>
      <c r="C61" s="887" t="s">
        <v>447</v>
      </c>
      <c r="D61" s="936" t="s">
        <v>280</v>
      </c>
      <c r="E61" s="936">
        <v>2.3606734099999999E-2</v>
      </c>
      <c r="F61" s="693" t="s">
        <v>35</v>
      </c>
      <c r="G61" s="518">
        <f>+E61*$D$6</f>
        <v>56.561734903599998</v>
      </c>
      <c r="H61" s="86"/>
      <c r="I61" s="82">
        <f>G61+H61</f>
        <v>56.561734903599998</v>
      </c>
      <c r="J61" s="516">
        <v>40.817777777777756</v>
      </c>
      <c r="K61" s="82">
        <f t="shared" si="88"/>
        <v>15.743957125822241</v>
      </c>
      <c r="L61" s="87">
        <f t="shared" si="94"/>
        <v>0.72165003155127438</v>
      </c>
      <c r="M61" s="461" t="s">
        <v>30</v>
      </c>
      <c r="N61" s="903">
        <f t="shared" ref="N61:O61" si="113">G61+G62</f>
        <v>89.091814493399994</v>
      </c>
      <c r="O61" s="899">
        <f t="shared" si="113"/>
        <v>0</v>
      </c>
      <c r="P61" s="899">
        <f t="shared" ref="P61" si="114">N61+O61</f>
        <v>89.091814493399994</v>
      </c>
      <c r="Q61" s="899">
        <f t="shared" ref="Q61" si="115">J61+J62</f>
        <v>40.817777777777756</v>
      </c>
      <c r="R61" s="899">
        <f t="shared" ref="R61" si="116">P61-Q61</f>
        <v>48.274036715622238</v>
      </c>
      <c r="S61" s="884">
        <f t="shared" ref="S61" si="117">Q61/P61</f>
        <v>0.45815407408501685</v>
      </c>
      <c r="T61" s="883">
        <f t="shared" ref="T61" si="118">(100%-+(R61/N61))</f>
        <v>0.45815407408501685</v>
      </c>
      <c r="V61" s="562"/>
    </row>
    <row r="62" spans="1:22" s="525" customFormat="1" ht="15" customHeight="1">
      <c r="A62" s="51"/>
      <c r="B62" s="961"/>
      <c r="C62" s="888"/>
      <c r="D62" s="937"/>
      <c r="E62" s="937">
        <v>2.3606734099999999E-2</v>
      </c>
      <c r="F62" s="693" t="s">
        <v>96</v>
      </c>
      <c r="G62" s="518">
        <f>+E61*$D$8</f>
        <v>32.530079589799996</v>
      </c>
      <c r="H62" s="86"/>
      <c r="I62" s="82">
        <f>G62+H62+K61</f>
        <v>48.274036715622238</v>
      </c>
      <c r="J62" s="387"/>
      <c r="K62" s="82">
        <f t="shared" si="88"/>
        <v>48.274036715622238</v>
      </c>
      <c r="L62" s="87">
        <f t="shared" si="94"/>
        <v>0</v>
      </c>
      <c r="M62" s="461" t="s">
        <v>30</v>
      </c>
      <c r="N62" s="903"/>
      <c r="O62" s="899"/>
      <c r="P62" s="899"/>
      <c r="Q62" s="899"/>
      <c r="R62" s="899"/>
      <c r="S62" s="884"/>
      <c r="T62" s="883"/>
      <c r="V62" s="562"/>
    </row>
    <row r="63" spans="1:22" s="525" customFormat="1" ht="15" customHeight="1">
      <c r="A63" s="51">
        <v>8</v>
      </c>
      <c r="B63" s="961"/>
      <c r="C63" s="692" t="s">
        <v>448</v>
      </c>
      <c r="D63" s="936" t="s">
        <v>269</v>
      </c>
      <c r="E63" s="936">
        <v>1.4061789599999999E-2</v>
      </c>
      <c r="F63" s="693" t="s">
        <v>35</v>
      </c>
      <c r="G63" s="517">
        <f>+E63*$D$6</f>
        <v>33.692047881599997</v>
      </c>
      <c r="H63" s="86">
        <v>-13.84</v>
      </c>
      <c r="I63" s="82">
        <f>G63+H63</f>
        <v>19.852047881599997</v>
      </c>
      <c r="J63" s="516">
        <v>20.916666666666668</v>
      </c>
      <c r="K63" s="82">
        <f t="shared" si="87"/>
        <v>-1.0646187850666706</v>
      </c>
      <c r="L63" s="686">
        <f t="shared" si="85"/>
        <v>1.0536276555152488</v>
      </c>
      <c r="M63" s="509">
        <v>43612</v>
      </c>
      <c r="N63" s="903">
        <f t="shared" ref="N63:O63" si="119">G63+G64</f>
        <v>53.069193950399992</v>
      </c>
      <c r="O63" s="899">
        <f t="shared" si="119"/>
        <v>-13.84</v>
      </c>
      <c r="P63" s="899">
        <f t="shared" ref="P63" si="120">N63+O63</f>
        <v>39.229193950399988</v>
      </c>
      <c r="Q63" s="899">
        <f t="shared" ref="Q63" si="121">J63+J64</f>
        <v>20.916666666666668</v>
      </c>
      <c r="R63" s="899">
        <f t="shared" ref="R63" si="122">P63-Q63</f>
        <v>18.312527283733321</v>
      </c>
      <c r="S63" s="884">
        <f t="shared" ref="S63" si="123">Q63/P63</f>
        <v>0.53319134451533634</v>
      </c>
      <c r="T63" s="883">
        <f t="shared" ref="T63" si="124">(100%-+(R63/N63))</f>
        <v>0.65493112066392523</v>
      </c>
      <c r="V63" s="562"/>
    </row>
    <row r="64" spans="1:22" s="525" customFormat="1" ht="15" customHeight="1">
      <c r="A64" s="51"/>
      <c r="B64" s="961"/>
      <c r="C64" s="688"/>
      <c r="D64" s="943"/>
      <c r="E64" s="943">
        <v>1.4061789599999999E-2</v>
      </c>
      <c r="F64" s="693" t="s">
        <v>96</v>
      </c>
      <c r="G64" s="518">
        <f>+E63*$D$8</f>
        <v>19.377146068799998</v>
      </c>
      <c r="H64" s="86"/>
      <c r="I64" s="82">
        <f>G64+H64+K63</f>
        <v>18.312527283733328</v>
      </c>
      <c r="J64" s="387"/>
      <c r="K64" s="82">
        <f t="shared" si="87"/>
        <v>18.312527283733328</v>
      </c>
      <c r="L64" s="87">
        <f t="shared" si="85"/>
        <v>0</v>
      </c>
      <c r="M64" s="461" t="s">
        <v>30</v>
      </c>
      <c r="N64" s="903"/>
      <c r="O64" s="899"/>
      <c r="P64" s="899"/>
      <c r="Q64" s="899"/>
      <c r="R64" s="899"/>
      <c r="S64" s="884"/>
      <c r="T64" s="883"/>
      <c r="V64" s="562"/>
    </row>
    <row r="65" spans="1:22" s="525" customFormat="1" ht="15" customHeight="1">
      <c r="A65" s="51">
        <v>9</v>
      </c>
      <c r="B65" s="961"/>
      <c r="C65" s="887" t="s">
        <v>393</v>
      </c>
      <c r="D65" s="936" t="s">
        <v>279</v>
      </c>
      <c r="E65" s="936">
        <v>1.7517082E-2</v>
      </c>
      <c r="F65" s="693" t="s">
        <v>35</v>
      </c>
      <c r="G65" s="518">
        <f>+E65*$D$6</f>
        <v>41.970928471999997</v>
      </c>
      <c r="H65" s="86">
        <v>-66.11</v>
      </c>
      <c r="I65" s="82">
        <f>G65+H65</f>
        <v>-24.139071528000002</v>
      </c>
      <c r="J65" s="516"/>
      <c r="K65" s="82">
        <f t="shared" ref="K65:K70" si="125">I65-J65</f>
        <v>-24.139071528000002</v>
      </c>
      <c r="L65" s="87">
        <f t="shared" ref="L65:L70" si="126">J65/I65</f>
        <v>0</v>
      </c>
      <c r="M65" s="509">
        <v>43508</v>
      </c>
      <c r="N65" s="902">
        <f t="shared" ref="N65:O65" si="127">G65+G66</f>
        <v>66.109467467999991</v>
      </c>
      <c r="O65" s="902">
        <f t="shared" si="127"/>
        <v>-66.11</v>
      </c>
      <c r="P65" s="902">
        <f t="shared" ref="P65" si="128">N65+O65</f>
        <v>-5.3253200000824563E-4</v>
      </c>
      <c r="Q65" s="902">
        <f t="shared" ref="Q65" si="129">J65+J66</f>
        <v>0</v>
      </c>
      <c r="R65" s="902">
        <f t="shared" ref="R65" si="130">P65-Q65</f>
        <v>-5.3253200000824563E-4</v>
      </c>
      <c r="S65" s="848">
        <f t="shared" ref="S65" si="131">Q65/P65</f>
        <v>0</v>
      </c>
      <c r="T65" s="848">
        <f>(100%-+(R65/N65))</f>
        <v>1.0000080553061521</v>
      </c>
      <c r="V65" s="562"/>
    </row>
    <row r="66" spans="1:22" s="525" customFormat="1" ht="15" customHeight="1">
      <c r="A66" s="51"/>
      <c r="B66" s="961"/>
      <c r="C66" s="888"/>
      <c r="D66" s="937"/>
      <c r="E66" s="937">
        <v>1.7517082E-2</v>
      </c>
      <c r="F66" s="693" t="s">
        <v>96</v>
      </c>
      <c r="G66" s="518">
        <f>+E65*$D$8</f>
        <v>24.138538996000001</v>
      </c>
      <c r="H66" s="86"/>
      <c r="I66" s="82">
        <f>G66+H66+K65</f>
        <v>-5.325320000011402E-4</v>
      </c>
      <c r="J66" s="387"/>
      <c r="K66" s="82">
        <f t="shared" si="125"/>
        <v>-5.325320000011402E-4</v>
      </c>
      <c r="L66" s="87">
        <f t="shared" si="126"/>
        <v>0</v>
      </c>
      <c r="M66" s="509">
        <v>43508</v>
      </c>
      <c r="N66" s="902"/>
      <c r="O66" s="902"/>
      <c r="P66" s="902"/>
      <c r="Q66" s="902"/>
      <c r="R66" s="902"/>
      <c r="S66" s="848"/>
      <c r="T66" s="848"/>
      <c r="V66" s="562"/>
    </row>
    <row r="67" spans="1:22" s="525" customFormat="1" ht="15" customHeight="1">
      <c r="A67" s="51">
        <v>10</v>
      </c>
      <c r="B67" s="961"/>
      <c r="C67" s="739" t="s">
        <v>389</v>
      </c>
      <c r="D67" s="936" t="s">
        <v>267</v>
      </c>
      <c r="E67" s="936">
        <v>5.4949761999999999E-2</v>
      </c>
      <c r="F67" s="693" t="s">
        <v>35</v>
      </c>
      <c r="G67" s="517">
        <f>+E67*$D$6</f>
        <v>131.659629752</v>
      </c>
      <c r="H67" s="86">
        <v>-207.38</v>
      </c>
      <c r="I67" s="82">
        <f>G67+H67</f>
        <v>-75.720370247999995</v>
      </c>
      <c r="J67" s="516"/>
      <c r="K67" s="82">
        <f t="shared" si="125"/>
        <v>-75.720370247999995</v>
      </c>
      <c r="L67" s="686">
        <f t="shared" si="126"/>
        <v>0</v>
      </c>
      <c r="M67" s="509">
        <v>43508</v>
      </c>
      <c r="N67" s="902">
        <f t="shared" ref="N67:O67" si="132">G67+G68</f>
        <v>207.380401788</v>
      </c>
      <c r="O67" s="902">
        <f t="shared" si="132"/>
        <v>-207.38</v>
      </c>
      <c r="P67" s="902">
        <f t="shared" ref="P67" si="133">N67+O67</f>
        <v>4.01788000004899E-4</v>
      </c>
      <c r="Q67" s="902">
        <f t="shared" ref="Q67" si="134">J67+J68</f>
        <v>0</v>
      </c>
      <c r="R67" s="902">
        <f t="shared" ref="R67" si="135">P67-Q67</f>
        <v>4.01788000004899E-4</v>
      </c>
      <c r="S67" s="848">
        <f t="shared" ref="S67" si="136">Q67/P67</f>
        <v>0</v>
      </c>
      <c r="T67" s="848">
        <f t="shared" ref="T67" si="137">(100%-+(R67/N67))</f>
        <v>0.99999806255559087</v>
      </c>
      <c r="V67" s="562"/>
    </row>
    <row r="68" spans="1:22" s="525" customFormat="1" ht="15" customHeight="1">
      <c r="A68" s="51"/>
      <c r="B68" s="961"/>
      <c r="C68" s="732"/>
      <c r="D68" s="943"/>
      <c r="E68" s="943">
        <v>5.9070873500000003E-2</v>
      </c>
      <c r="F68" s="693" t="s">
        <v>96</v>
      </c>
      <c r="G68" s="518">
        <f>+E67*$D$8</f>
        <v>75.720772036</v>
      </c>
      <c r="H68" s="86"/>
      <c r="I68" s="82">
        <f>G68+H68+K67</f>
        <v>4.01788000004899E-4</v>
      </c>
      <c r="J68" s="387"/>
      <c r="K68" s="82">
        <f t="shared" si="125"/>
        <v>4.01788000004899E-4</v>
      </c>
      <c r="L68" s="87">
        <f t="shared" si="126"/>
        <v>0</v>
      </c>
      <c r="M68" s="509">
        <v>43508</v>
      </c>
      <c r="N68" s="902"/>
      <c r="O68" s="902"/>
      <c r="P68" s="902"/>
      <c r="Q68" s="902"/>
      <c r="R68" s="902"/>
      <c r="S68" s="848"/>
      <c r="T68" s="848"/>
      <c r="V68" s="562"/>
    </row>
    <row r="69" spans="1:22" s="525" customFormat="1" ht="15" customHeight="1">
      <c r="A69" s="51">
        <v>11</v>
      </c>
      <c r="B69" s="961"/>
      <c r="C69" s="889" t="s">
        <v>391</v>
      </c>
      <c r="D69" s="936" t="s">
        <v>271</v>
      </c>
      <c r="E69" s="936">
        <v>1.4386281000000001E-2</v>
      </c>
      <c r="F69" s="693" t="s">
        <v>35</v>
      </c>
      <c r="G69" s="518">
        <f>+E69*$D$6</f>
        <v>34.469529276000003</v>
      </c>
      <c r="H69" s="86">
        <v>-54.293999999999997</v>
      </c>
      <c r="I69" s="82">
        <f>G69+H69</f>
        <v>-19.824470723999994</v>
      </c>
      <c r="J69" s="516">
        <v>1.558888888888889</v>
      </c>
      <c r="K69" s="82">
        <f t="shared" si="125"/>
        <v>-21.383359612888881</v>
      </c>
      <c r="L69" s="87">
        <f t="shared" si="126"/>
        <v>-7.8634577971439079E-2</v>
      </c>
      <c r="M69" s="509">
        <v>43508</v>
      </c>
      <c r="N69" s="945">
        <f t="shared" ref="N69:O69" si="138">G69+G70</f>
        <v>54.293824494000006</v>
      </c>
      <c r="O69" s="945">
        <f t="shared" si="138"/>
        <v>-54.293999999999997</v>
      </c>
      <c r="P69" s="945">
        <f t="shared" ref="P69" si="139">N69+O69</f>
        <v>-1.7550599999083261E-4</v>
      </c>
      <c r="Q69" s="945">
        <f t="shared" ref="Q69" si="140">J69+J70</f>
        <v>1.558888888888889</v>
      </c>
      <c r="R69" s="944">
        <f t="shared" ref="R69" si="141">P69-Q69</f>
        <v>-1.5590643948888798</v>
      </c>
      <c r="S69" s="963">
        <f>Q69/P69</f>
        <v>-8882.2541051036205</v>
      </c>
      <c r="T69" s="963">
        <f>(100%-+(R69/N69))</f>
        <v>1.0287153172468293</v>
      </c>
      <c r="V69" s="562"/>
    </row>
    <row r="70" spans="1:22" s="525" customFormat="1" ht="15" customHeight="1">
      <c r="A70" s="51"/>
      <c r="B70" s="961"/>
      <c r="C70" s="890"/>
      <c r="D70" s="937"/>
      <c r="E70" s="937">
        <v>1.14960093E-2</v>
      </c>
      <c r="F70" s="693" t="s">
        <v>96</v>
      </c>
      <c r="G70" s="518">
        <f>+E69*$D$8</f>
        <v>19.824295218</v>
      </c>
      <c r="H70" s="86"/>
      <c r="I70" s="82">
        <f>G70+H70+K69</f>
        <v>-1.5590643948888818</v>
      </c>
      <c r="J70" s="387"/>
      <c r="K70" s="82">
        <f t="shared" si="125"/>
        <v>-1.5590643948888818</v>
      </c>
      <c r="L70" s="87">
        <f t="shared" si="126"/>
        <v>0</v>
      </c>
      <c r="M70" s="509">
        <v>43508</v>
      </c>
      <c r="N70" s="945"/>
      <c r="O70" s="945"/>
      <c r="P70" s="945"/>
      <c r="Q70" s="945"/>
      <c r="R70" s="944"/>
      <c r="S70" s="963"/>
      <c r="T70" s="963"/>
      <c r="V70" s="562"/>
    </row>
    <row r="71" spans="1:22" s="525" customFormat="1" ht="15" customHeight="1">
      <c r="A71" s="51">
        <v>12</v>
      </c>
      <c r="B71" s="961"/>
      <c r="C71" s="692" t="s">
        <v>425</v>
      </c>
      <c r="D71" s="936" t="s">
        <v>270</v>
      </c>
      <c r="E71" s="936">
        <v>3.7086950000000001E-3</v>
      </c>
      <c r="F71" s="693" t="s">
        <v>35</v>
      </c>
      <c r="G71" s="517">
        <f>+E71*$D$6</f>
        <v>8.8860332199999998</v>
      </c>
      <c r="H71" s="86">
        <v>-13.997</v>
      </c>
      <c r="I71" s="82">
        <f>G71+H71</f>
        <v>-5.11096678</v>
      </c>
      <c r="J71" s="516"/>
      <c r="K71" s="82">
        <f t="shared" si="87"/>
        <v>-5.11096678</v>
      </c>
      <c r="L71" s="686">
        <f t="shared" si="85"/>
        <v>0</v>
      </c>
      <c r="M71" s="509">
        <v>43508</v>
      </c>
      <c r="N71" s="902">
        <f t="shared" ref="N71:O71" si="142">G71+G72</f>
        <v>13.99661493</v>
      </c>
      <c r="O71" s="902">
        <f t="shared" si="142"/>
        <v>-13.997</v>
      </c>
      <c r="P71" s="902">
        <f t="shared" ref="P71" si="143">N71+O71</f>
        <v>-3.8507000000009839E-4</v>
      </c>
      <c r="Q71" s="902">
        <f t="shared" ref="Q71" si="144">J71+J72</f>
        <v>0</v>
      </c>
      <c r="R71" s="902">
        <f t="shared" ref="R71" si="145">P71-Q71</f>
        <v>-3.8507000000009839E-4</v>
      </c>
      <c r="S71" s="848">
        <f t="shared" ref="S71" si="146">Q71/P71</f>
        <v>0</v>
      </c>
      <c r="T71" s="848">
        <f t="shared" ref="T71" si="147">(100%-+(R71/N71))</f>
        <v>1.0000275116520621</v>
      </c>
      <c r="V71" s="562"/>
    </row>
    <row r="72" spans="1:22" s="525" customFormat="1" ht="15" customHeight="1">
      <c r="A72" s="51"/>
      <c r="B72" s="961"/>
      <c r="C72" s="688"/>
      <c r="D72" s="943"/>
      <c r="E72" s="943">
        <v>3.7086950000000001E-3</v>
      </c>
      <c r="F72" s="693" t="s">
        <v>96</v>
      </c>
      <c r="G72" s="518">
        <f>+E71*$D$8</f>
        <v>5.1105817099999999</v>
      </c>
      <c r="H72" s="86"/>
      <c r="I72" s="82">
        <f>G72+H72+K71</f>
        <v>-3.8507000000009839E-4</v>
      </c>
      <c r="J72" s="387"/>
      <c r="K72" s="82">
        <f t="shared" si="87"/>
        <v>-3.8507000000009839E-4</v>
      </c>
      <c r="L72" s="87">
        <f t="shared" si="85"/>
        <v>0</v>
      </c>
      <c r="M72" s="509">
        <v>43508</v>
      </c>
      <c r="N72" s="902"/>
      <c r="O72" s="902"/>
      <c r="P72" s="902"/>
      <c r="Q72" s="902"/>
      <c r="R72" s="902"/>
      <c r="S72" s="848"/>
      <c r="T72" s="848"/>
      <c r="V72" s="562"/>
    </row>
    <row r="73" spans="1:22" s="525" customFormat="1" ht="15" customHeight="1">
      <c r="A73" s="51">
        <v>13</v>
      </c>
      <c r="B73" s="961"/>
      <c r="C73" s="887" t="s">
        <v>449</v>
      </c>
      <c r="D73" s="936" t="s">
        <v>283</v>
      </c>
      <c r="E73" s="936">
        <v>7.8781179999999999E-3</v>
      </c>
      <c r="F73" s="693" t="s">
        <v>35</v>
      </c>
      <c r="G73" s="518">
        <f>+E73*$D$6</f>
        <v>18.875970727999999</v>
      </c>
      <c r="H73" s="86">
        <v>-24.238</v>
      </c>
      <c r="I73" s="82">
        <f>G73+H73</f>
        <v>-5.3620292720000009</v>
      </c>
      <c r="J73" s="516"/>
      <c r="K73" s="82">
        <f t="shared" si="87"/>
        <v>-5.3620292720000009</v>
      </c>
      <c r="L73" s="87">
        <f t="shared" si="85"/>
        <v>0</v>
      </c>
      <c r="M73" s="509">
        <v>43524</v>
      </c>
      <c r="N73" s="903">
        <f t="shared" ref="N73:O73" si="148">G73+G74</f>
        <v>29.732017331999998</v>
      </c>
      <c r="O73" s="899">
        <f t="shared" si="148"/>
        <v>-24.238</v>
      </c>
      <c r="P73" s="899">
        <f t="shared" ref="P73" si="149">N73+O73</f>
        <v>5.4940173319999985</v>
      </c>
      <c r="Q73" s="899">
        <f t="shared" ref="Q73" si="150">J73+J74</f>
        <v>0</v>
      </c>
      <c r="R73" s="899">
        <f t="shared" ref="R73" si="151">P73-Q73</f>
        <v>5.4940173319999985</v>
      </c>
      <c r="S73" s="884">
        <f t="shared" ref="S73" si="152">Q73/P73</f>
        <v>0</v>
      </c>
      <c r="T73" s="883">
        <f t="shared" ref="T73:T83" si="153">(100%-+(R73/N73))</f>
        <v>0.81521545374296234</v>
      </c>
      <c r="V73" s="562"/>
    </row>
    <row r="74" spans="1:22" s="525" customFormat="1" ht="15" customHeight="1">
      <c r="A74" s="51"/>
      <c r="B74" s="961"/>
      <c r="C74" s="888"/>
      <c r="D74" s="937"/>
      <c r="E74" s="937">
        <v>6.5118729999999996E-3</v>
      </c>
      <c r="F74" s="693" t="s">
        <v>96</v>
      </c>
      <c r="G74" s="518">
        <f>+E73*$D$8</f>
        <v>10.856046603999999</v>
      </c>
      <c r="H74" s="86"/>
      <c r="I74" s="82">
        <f>G74+H74+K73</f>
        <v>5.4940173319999985</v>
      </c>
      <c r="J74" s="387"/>
      <c r="K74" s="82">
        <f t="shared" si="87"/>
        <v>5.4940173319999985</v>
      </c>
      <c r="L74" s="87">
        <f t="shared" si="85"/>
        <v>0</v>
      </c>
      <c r="M74" s="713" t="s">
        <v>30</v>
      </c>
      <c r="N74" s="903"/>
      <c r="O74" s="899"/>
      <c r="P74" s="899"/>
      <c r="Q74" s="899"/>
      <c r="R74" s="899"/>
      <c r="S74" s="884"/>
      <c r="T74" s="883"/>
      <c r="V74" s="562"/>
    </row>
    <row r="75" spans="1:22" s="525" customFormat="1" ht="15" customHeight="1">
      <c r="A75" s="51">
        <v>14</v>
      </c>
      <c r="B75" s="961"/>
      <c r="C75" s="692" t="s">
        <v>397</v>
      </c>
      <c r="D75" s="936" t="s">
        <v>284</v>
      </c>
      <c r="E75" s="936">
        <v>3.7391969000000001E-3</v>
      </c>
      <c r="F75" s="693" t="s">
        <v>35</v>
      </c>
      <c r="G75" s="517">
        <f>+E75*$D$6</f>
        <v>8.9591157724000006</v>
      </c>
      <c r="H75" s="86">
        <f>-10.192</f>
        <v>-10.192</v>
      </c>
      <c r="I75" s="82">
        <f>G75+H75</f>
        <v>-1.2328842275999996</v>
      </c>
      <c r="J75" s="516">
        <v>0.55111111111111111</v>
      </c>
      <c r="K75" s="82">
        <f>I75-J75</f>
        <v>-1.7839953387111107</v>
      </c>
      <c r="L75" s="686">
        <f>J75/I75</f>
        <v>-0.44700962083352658</v>
      </c>
      <c r="M75" s="711"/>
      <c r="N75" s="903">
        <f t="shared" ref="N75:O75" si="154">G75+G76</f>
        <v>14.111729100600002</v>
      </c>
      <c r="O75" s="899">
        <f t="shared" si="154"/>
        <v>-10.192</v>
      </c>
      <c r="P75" s="899">
        <f t="shared" ref="P75" si="155">N75+O75</f>
        <v>3.9197291006000015</v>
      </c>
      <c r="Q75" s="899">
        <f t="shared" ref="Q75" si="156">J75+J76</f>
        <v>0.55111111111111111</v>
      </c>
      <c r="R75" s="899">
        <f t="shared" ref="R75" si="157">P75-Q75</f>
        <v>3.3686179894888904</v>
      </c>
      <c r="S75" s="884">
        <f t="shared" ref="S75" si="158">Q75/P75</f>
        <v>0.1405992855543898</v>
      </c>
      <c r="T75" s="883">
        <f t="shared" ref="T75" si="159">(100%-+(R75/N75))</f>
        <v>0.76128949432953164</v>
      </c>
      <c r="V75" s="562"/>
    </row>
    <row r="76" spans="1:22" s="525" customFormat="1" ht="15" customHeight="1">
      <c r="A76" s="51"/>
      <c r="B76" s="961"/>
      <c r="C76" s="688"/>
      <c r="D76" s="943"/>
      <c r="E76" s="943">
        <v>3.7391969000000001E-3</v>
      </c>
      <c r="F76" s="693" t="s">
        <v>96</v>
      </c>
      <c r="G76" s="518">
        <f>+E75*$D$8</f>
        <v>5.1526133282000002</v>
      </c>
      <c r="H76" s="86"/>
      <c r="I76" s="82">
        <f>G76+H76+K75</f>
        <v>3.3686179894888895</v>
      </c>
      <c r="J76" s="387"/>
      <c r="K76" s="82">
        <f>I76-J76</f>
        <v>3.3686179894888895</v>
      </c>
      <c r="L76" s="87">
        <f>J76/I76</f>
        <v>0</v>
      </c>
      <c r="M76" s="691" t="s">
        <v>30</v>
      </c>
      <c r="N76" s="903"/>
      <c r="O76" s="899"/>
      <c r="P76" s="899"/>
      <c r="Q76" s="899"/>
      <c r="R76" s="899"/>
      <c r="S76" s="884"/>
      <c r="T76" s="883"/>
      <c r="V76" s="562"/>
    </row>
    <row r="77" spans="1:22" s="525" customFormat="1" ht="15" customHeight="1">
      <c r="A77" s="51">
        <v>15</v>
      </c>
      <c r="B77" s="961"/>
      <c r="C77" s="887" t="s">
        <v>399</v>
      </c>
      <c r="D77" s="936" t="s">
        <v>286</v>
      </c>
      <c r="E77" s="936">
        <v>3.0986989999999999E-3</v>
      </c>
      <c r="F77" s="693" t="s">
        <v>35</v>
      </c>
      <c r="G77" s="518">
        <f>+E77*$D$6</f>
        <v>7.4244828040000002</v>
      </c>
      <c r="H77" s="86">
        <v>-10.819000000000001</v>
      </c>
      <c r="I77" s="82">
        <f>G77+H77</f>
        <v>-3.3945171960000007</v>
      </c>
      <c r="J77" s="516">
        <v>0.87555555555555542</v>
      </c>
      <c r="K77" s="82">
        <f t="shared" si="87"/>
        <v>-4.2700727515555563</v>
      </c>
      <c r="L77" s="686">
        <f t="shared" si="85"/>
        <v>-0.25793227873091479</v>
      </c>
      <c r="M77" s="509">
        <v>43573</v>
      </c>
      <c r="N77" s="938">
        <f t="shared" ref="N77:O77" si="160">G77+G78</f>
        <v>11.694490026</v>
      </c>
      <c r="O77" s="939">
        <f t="shared" si="160"/>
        <v>-10.819000000000001</v>
      </c>
      <c r="P77" s="939">
        <f t="shared" ref="P77" si="161">N77+O77</f>
        <v>0.87549002599999959</v>
      </c>
      <c r="Q77" s="939">
        <f t="shared" ref="Q77" si="162">J77+J78</f>
        <v>0.87555555555555542</v>
      </c>
      <c r="R77" s="939">
        <f>P77-Q77</f>
        <v>-6.5529555555832175E-5</v>
      </c>
      <c r="S77" s="940">
        <f t="shared" ref="S77" si="163">Q77/P77</f>
        <v>1.0000748490029694</v>
      </c>
      <c r="T77" s="964">
        <f t="shared" ref="T77" si="164">(100%-+(R77/N77))</f>
        <v>1.000005603455594</v>
      </c>
      <c r="V77" s="562"/>
    </row>
    <row r="78" spans="1:22" s="525" customFormat="1" ht="15" customHeight="1">
      <c r="A78" s="51"/>
      <c r="B78" s="961"/>
      <c r="C78" s="888"/>
      <c r="D78" s="937"/>
      <c r="E78" s="937"/>
      <c r="F78" s="693" t="s">
        <v>96</v>
      </c>
      <c r="G78" s="518">
        <f>+E77*$D$8</f>
        <v>4.2700072220000003</v>
      </c>
      <c r="H78" s="86"/>
      <c r="I78" s="82">
        <f>G78+H78+K77</f>
        <v>-6.552955555605422E-5</v>
      </c>
      <c r="J78" s="387"/>
      <c r="K78" s="82">
        <f t="shared" si="87"/>
        <v>-6.552955555605422E-5</v>
      </c>
      <c r="L78" s="87">
        <f t="shared" si="85"/>
        <v>0</v>
      </c>
      <c r="M78" s="509">
        <v>43573</v>
      </c>
      <c r="N78" s="938"/>
      <c r="O78" s="939"/>
      <c r="P78" s="939"/>
      <c r="Q78" s="939"/>
      <c r="R78" s="939"/>
      <c r="S78" s="940"/>
      <c r="T78" s="964"/>
      <c r="V78" s="562"/>
    </row>
    <row r="79" spans="1:22" s="525" customFormat="1" ht="15" customHeight="1">
      <c r="A79" s="51">
        <v>16</v>
      </c>
      <c r="B79" s="961"/>
      <c r="C79" s="692" t="s">
        <v>275</v>
      </c>
      <c r="D79" s="936" t="s">
        <v>276</v>
      </c>
      <c r="E79" s="936">
        <v>6.0805267E-3</v>
      </c>
      <c r="F79" s="693" t="s">
        <v>35</v>
      </c>
      <c r="G79" s="517">
        <f>+E79*$D$6+8.378</f>
        <v>22.946941973199998</v>
      </c>
      <c r="H79" s="86">
        <v>-22.302</v>
      </c>
      <c r="I79" s="82">
        <f>G79+H79</f>
        <v>0.64494197319999813</v>
      </c>
      <c r="J79" s="516"/>
      <c r="K79" s="82">
        <f>I79-J79</f>
        <v>0.64494197319999813</v>
      </c>
      <c r="L79" s="686">
        <f t="shared" ref="L79:L84" si="165">J79/I79</f>
        <v>0</v>
      </c>
      <c r="M79" s="509">
        <v>43524</v>
      </c>
      <c r="N79" s="903">
        <f t="shared" ref="N79:O79" si="166">G79+G80</f>
        <v>22.947907765799997</v>
      </c>
      <c r="O79" s="899">
        <f t="shared" si="166"/>
        <v>-22.302</v>
      </c>
      <c r="P79" s="899">
        <f t="shared" ref="P79" si="167">N79+O79</f>
        <v>0.64590776579999698</v>
      </c>
      <c r="Q79" s="899">
        <f t="shared" ref="Q79" si="168">J79+J80</f>
        <v>0</v>
      </c>
      <c r="R79" s="899">
        <f t="shared" ref="R79" si="169">P79-Q79</f>
        <v>0.64590776579999698</v>
      </c>
      <c r="S79" s="884">
        <f t="shared" ref="S79" si="170">Q79/P79</f>
        <v>0</v>
      </c>
      <c r="T79" s="883">
        <f t="shared" ref="T79" si="171">(100%-+(R79/N79))</f>
        <v>0.97185330478089971</v>
      </c>
      <c r="V79" s="562"/>
    </row>
    <row r="80" spans="1:22" s="525" customFormat="1" ht="15" customHeight="1">
      <c r="A80" s="51"/>
      <c r="B80" s="961"/>
      <c r="C80" s="688"/>
      <c r="D80" s="943"/>
      <c r="E80" s="943">
        <v>6.0805267E-3</v>
      </c>
      <c r="F80" s="693" t="s">
        <v>96</v>
      </c>
      <c r="G80" s="518">
        <f>+E79*$D$8-8.378</f>
        <v>9.6579260000062561E-4</v>
      </c>
      <c r="H80" s="86"/>
      <c r="I80" s="82">
        <f>G80+H80+K79</f>
        <v>0.64590776579999876</v>
      </c>
      <c r="J80" s="387"/>
      <c r="K80" s="82">
        <f>I80-J80</f>
        <v>0.64590776579999876</v>
      </c>
      <c r="L80" s="87">
        <f t="shared" si="165"/>
        <v>0</v>
      </c>
      <c r="M80" s="713" t="s">
        <v>30</v>
      </c>
      <c r="N80" s="903"/>
      <c r="O80" s="899"/>
      <c r="P80" s="899"/>
      <c r="Q80" s="899"/>
      <c r="R80" s="899"/>
      <c r="S80" s="884"/>
      <c r="T80" s="883"/>
      <c r="V80" s="562"/>
    </row>
    <row r="81" spans="1:22" s="525" customFormat="1" ht="15" customHeight="1">
      <c r="A81" s="51">
        <v>17</v>
      </c>
      <c r="B81" s="961"/>
      <c r="C81" s="887" t="s">
        <v>287</v>
      </c>
      <c r="D81" s="936"/>
      <c r="E81" s="936">
        <v>2.1869110000000001E-3</v>
      </c>
      <c r="F81" s="693" t="s">
        <v>35</v>
      </c>
      <c r="G81" s="518">
        <f>+E81*$D$6</f>
        <v>5.2398387560000002</v>
      </c>
      <c r="H81" s="86"/>
      <c r="I81" s="82">
        <f>G81+H81</f>
        <v>5.2398387560000002</v>
      </c>
      <c r="J81" s="516">
        <v>5.1888888888888891</v>
      </c>
      <c r="K81" s="82">
        <f>I81-J81</f>
        <v>5.0949867111111047E-2</v>
      </c>
      <c r="L81" s="87">
        <f t="shared" si="165"/>
        <v>0.99027644370682788</v>
      </c>
      <c r="M81" s="461" t="s">
        <v>30</v>
      </c>
      <c r="N81" s="903">
        <f t="shared" ref="N81:O81" si="172">G81+G82</f>
        <v>8.253402114</v>
      </c>
      <c r="O81" s="899">
        <f t="shared" si="172"/>
        <v>0</v>
      </c>
      <c r="P81" s="899">
        <f t="shared" ref="P81" si="173">N81+O81</f>
        <v>8.253402114</v>
      </c>
      <c r="Q81" s="899">
        <f t="shared" ref="Q81" si="174">J81+J82</f>
        <v>5.1888888888888891</v>
      </c>
      <c r="R81" s="899">
        <f t="shared" ref="R81" si="175">P81-Q81</f>
        <v>3.0645132251111109</v>
      </c>
      <c r="S81" s="884">
        <f t="shared" ref="S81" si="176">Q81/P81</f>
        <v>0.62869696850067824</v>
      </c>
      <c r="T81" s="883">
        <f t="shared" ref="T81" si="177">(100%-+(R81/N81))</f>
        <v>0.62869696850067824</v>
      </c>
      <c r="V81" s="562"/>
    </row>
    <row r="82" spans="1:22" s="525" customFormat="1" ht="15" customHeight="1">
      <c r="A82" s="51"/>
      <c r="B82" s="962"/>
      <c r="C82" s="888"/>
      <c r="D82" s="937"/>
      <c r="E82" s="937">
        <v>3.5531563000000001E-3</v>
      </c>
      <c r="F82" s="693" t="s">
        <v>96</v>
      </c>
      <c r="G82" s="518">
        <f>+E81*$D$8</f>
        <v>3.0135633580000003</v>
      </c>
      <c r="H82" s="86"/>
      <c r="I82" s="82">
        <f>G82+H82+K81</f>
        <v>3.0645132251111113</v>
      </c>
      <c r="J82" s="387"/>
      <c r="K82" s="82">
        <f>I82-J82</f>
        <v>3.0645132251111113</v>
      </c>
      <c r="L82" s="87">
        <f t="shared" si="165"/>
        <v>0</v>
      </c>
      <c r="M82" s="511" t="s">
        <v>30</v>
      </c>
      <c r="N82" s="903"/>
      <c r="O82" s="899"/>
      <c r="P82" s="899"/>
      <c r="Q82" s="899"/>
      <c r="R82" s="899"/>
      <c r="S82" s="884"/>
      <c r="T82" s="883"/>
      <c r="V82" s="562"/>
    </row>
    <row r="83" spans="1:22" s="525" customFormat="1" ht="15" customHeight="1">
      <c r="A83" s="51"/>
      <c r="B83" s="532" t="s">
        <v>288</v>
      </c>
      <c r="C83" s="536"/>
      <c r="D83" s="537"/>
      <c r="E83" s="941">
        <f>SUM(E49:E82)</f>
        <v>0.47890969030000002</v>
      </c>
      <c r="F83" s="461" t="s">
        <v>35</v>
      </c>
      <c r="G83" s="538">
        <f>+G49+G51+G53+G55+G57+G59+G61+G63+G65+G67+G69+G71+G73+G75+G77+G79+G81</f>
        <v>588.80181727119987</v>
      </c>
      <c r="H83" s="538">
        <f>+H49+H51+H53+H55+H57+H59+H61+H63+H65+H67+H69+H71+H73+H75+H77+H79+H81</f>
        <v>-709.35900000000004</v>
      </c>
      <c r="I83" s="538">
        <f t="shared" ref="I83:J83" si="178">+I49+I51+I53+I55+I57+I59+I61+I63+I65+I67+I69+I71+I73+I75+I77+I79+I81</f>
        <v>-120.55718272879999</v>
      </c>
      <c r="J83" s="538">
        <f t="shared" si="178"/>
        <v>96.624444444444407</v>
      </c>
      <c r="K83" s="538">
        <f t="shared" ref="K83" si="179">+K49+K51+K53+K55+K57+K59+K61+K63+K65+K67+K69+K71+K73+K75+K77+K79+K81</f>
        <v>-217.18162717324444</v>
      </c>
      <c r="L83" s="540">
        <f t="shared" si="165"/>
        <v>-0.80148226971931158</v>
      </c>
      <c r="M83" s="541" t="s">
        <v>30</v>
      </c>
      <c r="N83" s="942">
        <f>SUM(N49:N82)</f>
        <v>914.2401863028</v>
      </c>
      <c r="O83" s="942">
        <f>SUM(O49:O82)</f>
        <v>-709.35900000000004</v>
      </c>
      <c r="P83" s="942">
        <f>+N83+O83</f>
        <v>204.88118630279996</v>
      </c>
      <c r="Q83" s="942">
        <f>SUM(Q49:Q82)</f>
        <v>96.624444444444407</v>
      </c>
      <c r="R83" s="942">
        <f>+P83-Q83</f>
        <v>108.25674185835555</v>
      </c>
      <c r="S83" s="935">
        <f>Q83/P83</f>
        <v>0.47161208985602165</v>
      </c>
      <c r="T83" s="883">
        <f t="shared" si="153"/>
        <v>0.88158829213562873</v>
      </c>
    </row>
    <row r="84" spans="1:22" s="525" customFormat="1" ht="15" customHeight="1">
      <c r="A84" s="51"/>
      <c r="B84" s="534"/>
      <c r="C84" s="542"/>
      <c r="D84" s="543"/>
      <c r="E84" s="941"/>
      <c r="F84" s="461" t="s">
        <v>96</v>
      </c>
      <c r="G84" s="538">
        <f>+G50+G52+G54+G56+G58+G60+G62+G64+G66+G68+G70+G72+G74+G76+G78+G80+G82</f>
        <v>325.43836903159996</v>
      </c>
      <c r="H84" s="538">
        <f>+H50+H52+H54+H56+H58+H60+H62+H64+H66+H68+H70+H72+H74+H76+H78+H80+H82</f>
        <v>0</v>
      </c>
      <c r="I84" s="538">
        <f t="shared" ref="I84:J84" si="180">+I50+I52+I54+I56+I58+I60+I62+I64+I66+I68+I70+I72+I74+I76+I78+I80+I82</f>
        <v>108.25674185835558</v>
      </c>
      <c r="J84" s="538">
        <f t="shared" si="180"/>
        <v>0</v>
      </c>
      <c r="K84" s="538">
        <f t="shared" ref="K84" si="181">+K50+K52+K54+K56+K58+K60+K62+K64+K66+K68+K70+K72+K74+K76+K78+K80+K82</f>
        <v>108.25674185835558</v>
      </c>
      <c r="L84" s="540">
        <f t="shared" si="165"/>
        <v>0</v>
      </c>
      <c r="M84" s="544" t="s">
        <v>30</v>
      </c>
      <c r="N84" s="942"/>
      <c r="O84" s="942"/>
      <c r="P84" s="942"/>
      <c r="Q84" s="942"/>
      <c r="R84" s="942"/>
      <c r="S84" s="935"/>
      <c r="T84" s="883"/>
    </row>
    <row r="85" spans="1:22" s="549" customFormat="1" ht="15" customHeight="1">
      <c r="A85" s="389"/>
      <c r="B85" s="545"/>
      <c r="C85" s="546"/>
      <c r="D85" s="545"/>
      <c r="E85" s="545"/>
      <c r="F85" s="545"/>
      <c r="G85" s="529"/>
      <c r="H85" s="520"/>
      <c r="I85" s="520"/>
      <c r="J85" s="520"/>
      <c r="K85" s="520"/>
      <c r="L85" s="547"/>
      <c r="M85" s="548"/>
      <c r="N85" s="520"/>
      <c r="O85" s="520"/>
      <c r="P85" s="520"/>
      <c r="Q85" s="520"/>
      <c r="R85" s="520"/>
      <c r="S85" s="547"/>
      <c r="T85" s="547"/>
      <c r="U85" s="547"/>
      <c r="V85" s="547"/>
    </row>
    <row r="86" spans="1:22" s="525" customFormat="1" ht="15" customHeight="1" thickBot="1">
      <c r="A86" s="51"/>
      <c r="B86" s="92"/>
      <c r="C86" s="203"/>
      <c r="D86" s="92"/>
      <c r="E86" s="92"/>
      <c r="F86" s="92"/>
      <c r="G86" s="92"/>
      <c r="H86" s="92"/>
      <c r="I86" s="92"/>
      <c r="J86" s="92"/>
      <c r="K86" s="92"/>
      <c r="L86" s="92"/>
      <c r="M86" s="92"/>
      <c r="N86" s="92"/>
      <c r="O86" s="92"/>
      <c r="P86" s="92"/>
      <c r="Q86" s="92"/>
      <c r="R86" s="92"/>
      <c r="S86" s="92"/>
      <c r="T86" s="92"/>
      <c r="U86" s="92"/>
      <c r="V86" s="92"/>
    </row>
    <row r="87" spans="1:22" s="525" customFormat="1" ht="15" customHeight="1" thickBot="1">
      <c r="A87" s="51"/>
      <c r="B87" s="461" t="s">
        <v>240</v>
      </c>
      <c r="C87" s="461" t="s">
        <v>241</v>
      </c>
      <c r="D87" s="461" t="s">
        <v>242</v>
      </c>
      <c r="E87" s="461" t="s">
        <v>243</v>
      </c>
      <c r="F87" s="461" t="s">
        <v>244</v>
      </c>
      <c r="G87" s="527" t="s">
        <v>236</v>
      </c>
      <c r="H87" s="210" t="s">
        <v>4</v>
      </c>
      <c r="I87" s="461" t="s">
        <v>5</v>
      </c>
      <c r="J87" s="461" t="s">
        <v>237</v>
      </c>
      <c r="K87" s="461" t="s">
        <v>45</v>
      </c>
      <c r="L87" s="461" t="s">
        <v>46</v>
      </c>
      <c r="M87" s="461" t="s">
        <v>76</v>
      </c>
      <c r="N87" s="539" t="s">
        <v>245</v>
      </c>
      <c r="O87" s="539" t="s">
        <v>4</v>
      </c>
      <c r="P87" s="539" t="s">
        <v>5</v>
      </c>
      <c r="Q87" s="539" t="s">
        <v>6</v>
      </c>
      <c r="R87" s="539" t="s">
        <v>7</v>
      </c>
      <c r="S87" s="550" t="s">
        <v>460</v>
      </c>
      <c r="T87" s="551" t="s">
        <v>459</v>
      </c>
    </row>
    <row r="88" spans="1:22" s="525" customFormat="1" ht="15" customHeight="1">
      <c r="A88" s="51">
        <v>1</v>
      </c>
      <c r="B88" s="934" t="s">
        <v>289</v>
      </c>
      <c r="C88" s="887" t="s">
        <v>400</v>
      </c>
      <c r="D88" s="900" t="s">
        <v>290</v>
      </c>
      <c r="E88" s="901">
        <v>1.0825207E-2</v>
      </c>
      <c r="F88" s="464" t="s">
        <v>35</v>
      </c>
      <c r="G88" s="521">
        <f>+E88*$D$6</f>
        <v>25.937195972000001</v>
      </c>
      <c r="H88" s="86">
        <v>-40.853999999999999</v>
      </c>
      <c r="I88" s="82">
        <f>G88+H88</f>
        <v>-14.916804027999998</v>
      </c>
      <c r="J88" s="516"/>
      <c r="K88" s="94">
        <f>I88-J88</f>
        <v>-14.916804027999998</v>
      </c>
      <c r="L88" s="83">
        <f t="shared" ref="L88:L89" si="182">J88/I88</f>
        <v>0</v>
      </c>
      <c r="M88" s="509">
        <v>43508</v>
      </c>
      <c r="N88" s="902">
        <f>G88+G89</f>
        <v>40.854331217999999</v>
      </c>
      <c r="O88" s="927">
        <f>H88+H89</f>
        <v>-40.853999999999999</v>
      </c>
      <c r="P88" s="927">
        <f>N88+O88</f>
        <v>3.3121799999946688E-4</v>
      </c>
      <c r="Q88" s="927">
        <f>J88+J89</f>
        <v>0</v>
      </c>
      <c r="R88" s="927">
        <f>P88-Q88</f>
        <v>3.3121799999946688E-4</v>
      </c>
      <c r="S88" s="932">
        <f>Q88/P88</f>
        <v>0</v>
      </c>
      <c r="T88" s="848">
        <f t="shared" ref="T88" si="183">(100%-+(R88/N88))</f>
        <v>0.99999189270782007</v>
      </c>
      <c r="V88" s="562"/>
    </row>
    <row r="89" spans="1:22" s="525" customFormat="1" ht="15" customHeight="1">
      <c r="A89" s="51"/>
      <c r="B89" s="934"/>
      <c r="C89" s="888"/>
      <c r="D89" s="900"/>
      <c r="E89" s="901"/>
      <c r="F89" s="464" t="s">
        <v>96</v>
      </c>
      <c r="G89" s="521">
        <f>+E88*$D$8</f>
        <v>14.917135245999999</v>
      </c>
      <c r="H89" s="86"/>
      <c r="I89" s="82">
        <f>G89+H89+K88</f>
        <v>3.3121800000124324E-4</v>
      </c>
      <c r="J89" s="387"/>
      <c r="K89" s="94">
        <f t="shared" ref="K89:K156" si="184">I89-J89</f>
        <v>3.3121800000124324E-4</v>
      </c>
      <c r="L89" s="83">
        <f t="shared" si="182"/>
        <v>0</v>
      </c>
      <c r="M89" s="509">
        <v>43508</v>
      </c>
      <c r="N89" s="902"/>
      <c r="O89" s="894"/>
      <c r="P89" s="894"/>
      <c r="Q89" s="894"/>
      <c r="R89" s="894"/>
      <c r="S89" s="933"/>
      <c r="T89" s="848"/>
      <c r="V89" s="562"/>
    </row>
    <row r="90" spans="1:22" s="525" customFormat="1" ht="15" customHeight="1">
      <c r="A90" s="51">
        <v>2</v>
      </c>
      <c r="B90" s="934"/>
      <c r="C90" s="889" t="s">
        <v>420</v>
      </c>
      <c r="D90" s="900" t="s">
        <v>318</v>
      </c>
      <c r="E90" s="901">
        <v>1.22429215E-2</v>
      </c>
      <c r="F90" s="464" t="s">
        <v>35</v>
      </c>
      <c r="G90" s="521">
        <f>+E90*$D$6</f>
        <v>29.334039914000002</v>
      </c>
      <c r="H90" s="86">
        <v>-46.204999999999998</v>
      </c>
      <c r="I90" s="82">
        <f>G90+H90</f>
        <v>-16.870960085999997</v>
      </c>
      <c r="J90" s="516"/>
      <c r="K90" s="94">
        <f t="shared" ref="K90:K123" si="185">I90-J90</f>
        <v>-16.870960085999997</v>
      </c>
      <c r="L90" s="83">
        <v>0</v>
      </c>
      <c r="M90" s="510">
        <v>43508</v>
      </c>
      <c r="N90" s="902">
        <f>G90+G91</f>
        <v>46.204785741000002</v>
      </c>
      <c r="O90" s="902">
        <f t="shared" ref="O90" si="186">H90+H91</f>
        <v>-46.204999999999998</v>
      </c>
      <c r="P90" s="902">
        <f t="shared" ref="P90" si="187">N90+O90</f>
        <v>-2.1425899999627518E-4</v>
      </c>
      <c r="Q90" s="902">
        <f t="shared" ref="Q90" si="188">J90+J91</f>
        <v>0</v>
      </c>
      <c r="R90" s="902">
        <f t="shared" ref="R90" si="189">P90-Q90</f>
        <v>-2.1425899999627518E-4</v>
      </c>
      <c r="S90" s="848">
        <f>Q90/P90</f>
        <v>0</v>
      </c>
      <c r="T90" s="848">
        <f>(100%-+(R90/N90))</f>
        <v>1.0000046371603408</v>
      </c>
      <c r="V90" s="562"/>
    </row>
    <row r="91" spans="1:22" s="525" customFormat="1" ht="15" customHeight="1">
      <c r="A91" s="51"/>
      <c r="B91" s="934"/>
      <c r="C91" s="890"/>
      <c r="D91" s="900"/>
      <c r="E91" s="901">
        <v>1.22429215E-2</v>
      </c>
      <c r="F91" s="464" t="s">
        <v>96</v>
      </c>
      <c r="G91" s="521">
        <f>+E90*$D$8</f>
        <v>16.870745827</v>
      </c>
      <c r="H91" s="86"/>
      <c r="I91" s="82">
        <f>G91+H91+K90</f>
        <v>-2.1425899999627518E-4</v>
      </c>
      <c r="J91" s="387"/>
      <c r="K91" s="94">
        <f t="shared" si="185"/>
        <v>-2.1425899999627518E-4</v>
      </c>
      <c r="L91" s="83">
        <f>J91/I91</f>
        <v>0</v>
      </c>
      <c r="M91" s="510">
        <v>43508</v>
      </c>
      <c r="N91" s="902"/>
      <c r="O91" s="902"/>
      <c r="P91" s="902"/>
      <c r="Q91" s="902"/>
      <c r="R91" s="902"/>
      <c r="S91" s="848"/>
      <c r="T91" s="848"/>
      <c r="V91" s="562"/>
    </row>
    <row r="92" spans="1:22" s="525" customFormat="1" ht="15" customHeight="1">
      <c r="A92" s="51">
        <v>3</v>
      </c>
      <c r="B92" s="934"/>
      <c r="C92" s="889" t="s">
        <v>433</v>
      </c>
      <c r="D92" s="900" t="s">
        <v>343</v>
      </c>
      <c r="E92" s="901">
        <v>1.3602421E-3</v>
      </c>
      <c r="F92" s="464" t="s">
        <v>35</v>
      </c>
      <c r="G92" s="521">
        <f>+E92*$D$6</f>
        <v>3.2591400716000001</v>
      </c>
      <c r="H92" s="86">
        <v>-5.133</v>
      </c>
      <c r="I92" s="82">
        <f>G92+H92</f>
        <v>-1.8738599283999999</v>
      </c>
      <c r="J92" s="516"/>
      <c r="K92" s="94">
        <f t="shared" si="185"/>
        <v>-1.8738599283999999</v>
      </c>
      <c r="L92" s="83">
        <f>J92/I92</f>
        <v>0</v>
      </c>
      <c r="M92" s="510">
        <v>43508</v>
      </c>
      <c r="N92" s="902">
        <f t="shared" ref="N92:O92" si="190">G92+G93</f>
        <v>5.1335536853999999</v>
      </c>
      <c r="O92" s="902">
        <f t="shared" si="190"/>
        <v>-5.133</v>
      </c>
      <c r="P92" s="902">
        <f t="shared" ref="P92" si="191">N92+O92</f>
        <v>5.5368539999989252E-4</v>
      </c>
      <c r="Q92" s="902">
        <f t="shared" ref="Q92" si="192">J92+J93</f>
        <v>0</v>
      </c>
      <c r="R92" s="902">
        <f t="shared" ref="R92" si="193">P92-Q92</f>
        <v>5.5368539999989252E-4</v>
      </c>
      <c r="S92" s="848">
        <f t="shared" ref="S92" si="194">Q92/P92</f>
        <v>0</v>
      </c>
      <c r="T92" s="848">
        <f>(100%-+(R92/N92))</f>
        <v>0.99989214383759639</v>
      </c>
      <c r="V92" s="562"/>
    </row>
    <row r="93" spans="1:22" s="525" customFormat="1" ht="15" customHeight="1">
      <c r="A93" s="51"/>
      <c r="B93" s="934"/>
      <c r="C93" s="890"/>
      <c r="D93" s="900"/>
      <c r="E93" s="901">
        <v>1.3602421E-3</v>
      </c>
      <c r="F93" s="464" t="s">
        <v>96</v>
      </c>
      <c r="G93" s="521">
        <f>+E92*$D$8</f>
        <v>1.8744136138</v>
      </c>
      <c r="H93" s="86"/>
      <c r="I93" s="82">
        <f>G93+H93+K92</f>
        <v>5.5368540000011457E-4</v>
      </c>
      <c r="J93" s="387"/>
      <c r="K93" s="94">
        <f t="shared" si="185"/>
        <v>5.5368540000011457E-4</v>
      </c>
      <c r="L93" s="83">
        <f>J93/I93</f>
        <v>0</v>
      </c>
      <c r="M93" s="510">
        <v>43508</v>
      </c>
      <c r="N93" s="902"/>
      <c r="O93" s="902"/>
      <c r="P93" s="902"/>
      <c r="Q93" s="902"/>
      <c r="R93" s="902"/>
      <c r="S93" s="848"/>
      <c r="T93" s="848"/>
      <c r="V93" s="562"/>
    </row>
    <row r="94" spans="1:22" s="525" customFormat="1" ht="15" customHeight="1">
      <c r="A94" s="51">
        <v>4</v>
      </c>
      <c r="B94" s="934"/>
      <c r="C94" s="889" t="s">
        <v>321</v>
      </c>
      <c r="D94" s="900" t="s">
        <v>322</v>
      </c>
      <c r="E94" s="926">
        <v>2.114129E-2</v>
      </c>
      <c r="F94" s="464" t="s">
        <v>35</v>
      </c>
      <c r="G94" s="521">
        <f>+E94*$D$6</f>
        <v>50.65453084</v>
      </c>
      <c r="H94" s="86">
        <v>-79.787999999999997</v>
      </c>
      <c r="I94" s="82">
        <f>G94+H94</f>
        <v>-29.133469159999997</v>
      </c>
      <c r="J94" s="516"/>
      <c r="K94" s="94">
        <f t="shared" si="185"/>
        <v>-29.133469159999997</v>
      </c>
      <c r="L94" s="83">
        <v>0</v>
      </c>
      <c r="M94" s="510">
        <v>43508</v>
      </c>
      <c r="N94" s="902">
        <f t="shared" ref="N94:O94" si="195">G94+G95</f>
        <v>79.787228459999994</v>
      </c>
      <c r="O94" s="902">
        <f t="shared" si="195"/>
        <v>-79.787999999999997</v>
      </c>
      <c r="P94" s="902">
        <f t="shared" ref="P94" si="196">N94+O94</f>
        <v>-7.7154000000234646E-4</v>
      </c>
      <c r="Q94" s="902">
        <f t="shared" ref="Q94" si="197">J94+J95</f>
        <v>0</v>
      </c>
      <c r="R94" s="902">
        <f t="shared" ref="R94" si="198">P94-Q94</f>
        <v>-7.7154000000234646E-4</v>
      </c>
      <c r="S94" s="848">
        <f t="shared" ref="S94" si="199">Q94/P94</f>
        <v>0</v>
      </c>
      <c r="T94" s="848">
        <f>(100%-+(R94/N94))</f>
        <v>1.0000096699686767</v>
      </c>
      <c r="V94" s="562"/>
    </row>
    <row r="95" spans="1:22" s="525" customFormat="1" ht="15" customHeight="1">
      <c r="A95" s="51"/>
      <c r="B95" s="934"/>
      <c r="C95" s="890"/>
      <c r="D95" s="900"/>
      <c r="E95" s="926">
        <v>1.9612607800000001E-2</v>
      </c>
      <c r="F95" s="464" t="s">
        <v>96</v>
      </c>
      <c r="G95" s="521">
        <f>+E94*$D$8</f>
        <v>29.132697620000002</v>
      </c>
      <c r="H95" s="86"/>
      <c r="I95" s="82">
        <f>G95+H95+K94</f>
        <v>-7.7153999999524103E-4</v>
      </c>
      <c r="J95" s="387"/>
      <c r="K95" s="94">
        <f t="shared" si="185"/>
        <v>-7.7153999999524103E-4</v>
      </c>
      <c r="L95" s="83">
        <v>0</v>
      </c>
      <c r="M95" s="510">
        <v>43508</v>
      </c>
      <c r="N95" s="902"/>
      <c r="O95" s="902"/>
      <c r="P95" s="902"/>
      <c r="Q95" s="902"/>
      <c r="R95" s="902"/>
      <c r="S95" s="848"/>
      <c r="T95" s="848"/>
      <c r="V95" s="562"/>
    </row>
    <row r="96" spans="1:22" s="525" customFormat="1" ht="15" customHeight="1">
      <c r="A96" s="51">
        <v>6</v>
      </c>
      <c r="B96" s="934"/>
      <c r="C96" s="889" t="s">
        <v>314</v>
      </c>
      <c r="D96" s="900" t="s">
        <v>315</v>
      </c>
      <c r="E96" s="901">
        <v>8.3505049999999994E-3</v>
      </c>
      <c r="F96" s="464" t="s">
        <v>35</v>
      </c>
      <c r="G96" s="521">
        <f>+E96*$D$6</f>
        <v>20.007809979999998</v>
      </c>
      <c r="H96" s="86">
        <f>-31.515</f>
        <v>-31.515000000000001</v>
      </c>
      <c r="I96" s="82">
        <f>G96+H96</f>
        <v>-11.507190020000003</v>
      </c>
      <c r="J96" s="516"/>
      <c r="K96" s="94">
        <f t="shared" si="185"/>
        <v>-11.507190020000003</v>
      </c>
      <c r="L96" s="83">
        <f t="shared" ref="L96:L111" si="200">J96/I96</f>
        <v>0</v>
      </c>
      <c r="M96" s="510">
        <v>43528</v>
      </c>
      <c r="N96" s="902">
        <f t="shared" ref="N96:O96" si="201">G96+G97</f>
        <v>31.514805869999996</v>
      </c>
      <c r="O96" s="902">
        <f t="shared" si="201"/>
        <v>-31.515000000000001</v>
      </c>
      <c r="P96" s="902">
        <f t="shared" ref="P96" si="202">N96+O96</f>
        <v>-1.9413000000412239E-4</v>
      </c>
      <c r="Q96" s="902">
        <f t="shared" ref="Q96" si="203">J96+J97</f>
        <v>0</v>
      </c>
      <c r="R96" s="902">
        <f t="shared" ref="R96" si="204">P96-Q96</f>
        <v>-1.9413000000412239E-4</v>
      </c>
      <c r="S96" s="848">
        <f t="shared" ref="S96" si="205">Q96/P96</f>
        <v>0</v>
      </c>
      <c r="T96" s="848">
        <f>(100%-+(R96/N96))</f>
        <v>1.0000061599617909</v>
      </c>
      <c r="V96" s="562"/>
    </row>
    <row r="97" spans="1:22" s="525" customFormat="1" ht="15" customHeight="1">
      <c r="A97" s="51"/>
      <c r="B97" s="934"/>
      <c r="C97" s="890"/>
      <c r="D97" s="900"/>
      <c r="E97" s="901">
        <v>5.9917915000000004E-3</v>
      </c>
      <c r="F97" s="464" t="s">
        <v>96</v>
      </c>
      <c r="G97" s="521">
        <f>+E96*$D$8</f>
        <v>11.506995889999999</v>
      </c>
      <c r="H97" s="86"/>
      <c r="I97" s="82">
        <f>G97+H97+K96</f>
        <v>-1.9413000000412239E-4</v>
      </c>
      <c r="J97" s="387"/>
      <c r="K97" s="94">
        <f t="shared" si="185"/>
        <v>-1.9413000000412239E-4</v>
      </c>
      <c r="L97" s="83">
        <f t="shared" si="200"/>
        <v>0</v>
      </c>
      <c r="M97" s="510">
        <v>43528</v>
      </c>
      <c r="N97" s="902"/>
      <c r="O97" s="902"/>
      <c r="P97" s="902"/>
      <c r="Q97" s="902"/>
      <c r="R97" s="902"/>
      <c r="S97" s="848"/>
      <c r="T97" s="848"/>
      <c r="V97" s="562"/>
    </row>
    <row r="98" spans="1:22" s="525" customFormat="1" ht="15" customHeight="1">
      <c r="A98" s="51">
        <v>7</v>
      </c>
      <c r="B98" s="934"/>
      <c r="C98" s="889" t="s">
        <v>344</v>
      </c>
      <c r="D98" s="900" t="s">
        <v>345</v>
      </c>
      <c r="E98" s="926">
        <v>1.7838174E-3</v>
      </c>
      <c r="F98" s="464" t="s">
        <v>35</v>
      </c>
      <c r="G98" s="521">
        <f>+E98*$D$6</f>
        <v>4.2740264903999998</v>
      </c>
      <c r="H98" s="86"/>
      <c r="I98" s="82">
        <f>G98+H98</f>
        <v>4.2740264903999998</v>
      </c>
      <c r="J98" s="516"/>
      <c r="K98" s="94">
        <f t="shared" si="185"/>
        <v>4.2740264903999998</v>
      </c>
      <c r="L98" s="83">
        <f t="shared" si="200"/>
        <v>0</v>
      </c>
      <c r="M98" s="461" t="s">
        <v>30</v>
      </c>
      <c r="N98" s="903">
        <f t="shared" ref="N98:O98" si="206">G98+G99</f>
        <v>6.7321268675999999</v>
      </c>
      <c r="O98" s="899">
        <f t="shared" si="206"/>
        <v>0</v>
      </c>
      <c r="P98" s="899">
        <f t="shared" ref="P98" si="207">N98+O98</f>
        <v>6.7321268675999999</v>
      </c>
      <c r="Q98" s="899">
        <f t="shared" ref="Q98" si="208">J98+J99</f>
        <v>0</v>
      </c>
      <c r="R98" s="899">
        <f t="shared" ref="R98" si="209">P98-Q98</f>
        <v>6.7321268675999999</v>
      </c>
      <c r="S98" s="884">
        <f t="shared" ref="S98" si="210">Q98/P98</f>
        <v>0</v>
      </c>
      <c r="T98" s="883">
        <f>(100%-+(R98/N98))</f>
        <v>0</v>
      </c>
      <c r="V98" s="562"/>
    </row>
    <row r="99" spans="1:22" s="525" customFormat="1" ht="15" customHeight="1">
      <c r="A99" s="51"/>
      <c r="B99" s="934"/>
      <c r="C99" s="890"/>
      <c r="D99" s="900"/>
      <c r="E99" s="926">
        <v>1.7838174E-3</v>
      </c>
      <c r="F99" s="464" t="s">
        <v>96</v>
      </c>
      <c r="G99" s="521">
        <f>+E98*$D$8</f>
        <v>2.4581003772000001</v>
      </c>
      <c r="H99" s="86"/>
      <c r="I99" s="82">
        <f>G99+H99+K98</f>
        <v>6.7321268675999999</v>
      </c>
      <c r="J99" s="387"/>
      <c r="K99" s="94">
        <f t="shared" si="185"/>
        <v>6.7321268675999999</v>
      </c>
      <c r="L99" s="83">
        <f t="shared" si="200"/>
        <v>0</v>
      </c>
      <c r="M99" s="461" t="s">
        <v>30</v>
      </c>
      <c r="N99" s="903"/>
      <c r="O99" s="899"/>
      <c r="P99" s="899"/>
      <c r="Q99" s="899"/>
      <c r="R99" s="899"/>
      <c r="S99" s="884"/>
      <c r="T99" s="883"/>
      <c r="V99" s="562"/>
    </row>
    <row r="100" spans="1:22" s="525" customFormat="1" ht="15" customHeight="1">
      <c r="A100" s="51">
        <v>8</v>
      </c>
      <c r="B100" s="934"/>
      <c r="C100" s="889" t="s">
        <v>580</v>
      </c>
      <c r="D100" s="900" t="s">
        <v>308</v>
      </c>
      <c r="E100" s="901">
        <v>3.3082570000000002E-3</v>
      </c>
      <c r="F100" s="464" t="s">
        <v>35</v>
      </c>
      <c r="G100" s="521">
        <f>+E100*$D$6</f>
        <v>7.9265837720000007</v>
      </c>
      <c r="H100" s="86"/>
      <c r="I100" s="82">
        <f>G100+H100</f>
        <v>7.9265837720000007</v>
      </c>
      <c r="J100" s="516">
        <v>11.705555555555554</v>
      </c>
      <c r="K100" s="94">
        <f t="shared" si="185"/>
        <v>-3.7789717835555532</v>
      </c>
      <c r="L100" s="687">
        <f t="shared" si="200"/>
        <v>1.4767465899880421</v>
      </c>
      <c r="M100" s="741">
        <v>43613</v>
      </c>
      <c r="N100" s="903">
        <f t="shared" ref="N100:O100" si="211">G100+G101</f>
        <v>12.485361918000001</v>
      </c>
      <c r="O100" s="899">
        <f t="shared" si="211"/>
        <v>0</v>
      </c>
      <c r="P100" s="899">
        <f t="shared" ref="P100" si="212">N100+O100</f>
        <v>12.485361918000001</v>
      </c>
      <c r="Q100" s="899">
        <f t="shared" ref="Q100" si="213">J100+J101</f>
        <v>11.705555555555554</v>
      </c>
      <c r="R100" s="899">
        <f t="shared" ref="R100" si="214">P100-Q100</f>
        <v>0.77980636244444668</v>
      </c>
      <c r="S100" s="884">
        <f t="shared" ref="S100" si="215">Q100/P100</f>
        <v>0.93754235018848686</v>
      </c>
      <c r="T100" s="883">
        <f>(100%-+(R100/N100))</f>
        <v>0.93754235018848686</v>
      </c>
      <c r="V100" s="562"/>
    </row>
    <row r="101" spans="1:22" s="525" customFormat="1" ht="15" customHeight="1">
      <c r="A101" s="51"/>
      <c r="B101" s="934"/>
      <c r="C101" s="890"/>
      <c r="D101" s="900"/>
      <c r="E101" s="901">
        <v>3.8237229999999998E-3</v>
      </c>
      <c r="F101" s="464" t="s">
        <v>96</v>
      </c>
      <c r="G101" s="521">
        <f>+E100*$D$8</f>
        <v>4.5587781459999999</v>
      </c>
      <c r="H101" s="86"/>
      <c r="I101" s="82">
        <f>G101+H101+K100</f>
        <v>0.77980636244444668</v>
      </c>
      <c r="J101" s="387"/>
      <c r="K101" s="94">
        <f t="shared" si="185"/>
        <v>0.77980636244444668</v>
      </c>
      <c r="L101" s="83">
        <f t="shared" si="200"/>
        <v>0</v>
      </c>
      <c r="M101" s="741"/>
      <c r="N101" s="903"/>
      <c r="O101" s="899"/>
      <c r="P101" s="899"/>
      <c r="Q101" s="899"/>
      <c r="R101" s="899"/>
      <c r="S101" s="884"/>
      <c r="T101" s="883"/>
      <c r="V101" s="562"/>
    </row>
    <row r="102" spans="1:22" s="525" customFormat="1" ht="15" customHeight="1">
      <c r="A102" s="51">
        <v>9</v>
      </c>
      <c r="B102" s="934"/>
      <c r="C102" s="889" t="s">
        <v>325</v>
      </c>
      <c r="D102" s="900" t="s">
        <v>326</v>
      </c>
      <c r="E102" s="901">
        <v>1.41230929E-2</v>
      </c>
      <c r="F102" s="464" t="s">
        <v>35</v>
      </c>
      <c r="G102" s="521">
        <f>+E102*$D$6</f>
        <v>33.838930588400004</v>
      </c>
      <c r="H102" s="86">
        <v>-49.481000000000002</v>
      </c>
      <c r="I102" s="82">
        <f>G102+H102</f>
        <v>-15.642069411599998</v>
      </c>
      <c r="J102" s="651">
        <v>0.54444444444444451</v>
      </c>
      <c r="K102" s="94">
        <f t="shared" si="185"/>
        <v>-16.186513856044442</v>
      </c>
      <c r="L102" s="687">
        <f t="shared" si="200"/>
        <v>-3.4806420436971727E-2</v>
      </c>
      <c r="M102" s="509">
        <v>43524</v>
      </c>
      <c r="N102" s="903">
        <f t="shared" ref="N102:O102" si="216">G102+G103</f>
        <v>53.3005526046</v>
      </c>
      <c r="O102" s="899">
        <f t="shared" si="216"/>
        <v>-49.481000000000002</v>
      </c>
      <c r="P102" s="899">
        <f t="shared" ref="P102" si="217">N102+O102</f>
        <v>3.8195526045999983</v>
      </c>
      <c r="Q102" s="899">
        <f t="shared" ref="Q102" si="218">J102+J103</f>
        <v>0.54444444444444451</v>
      </c>
      <c r="R102" s="899">
        <f t="shared" ref="R102" si="219">P102-Q102</f>
        <v>3.2751081601555541</v>
      </c>
      <c r="S102" s="884">
        <f t="shared" ref="S102" si="220">Q102/P102</f>
        <v>0.14254141801549067</v>
      </c>
      <c r="T102" s="883">
        <f>(100%-+(R102/N102))</f>
        <v>0.93855395488201931</v>
      </c>
      <c r="V102" s="562"/>
    </row>
    <row r="103" spans="1:22" s="525" customFormat="1" ht="15" customHeight="1">
      <c r="A103" s="51"/>
      <c r="B103" s="934"/>
      <c r="C103" s="890"/>
      <c r="D103" s="900"/>
      <c r="E103" s="901">
        <v>1.3707184799999999E-2</v>
      </c>
      <c r="F103" s="464" t="s">
        <v>96</v>
      </c>
      <c r="G103" s="521">
        <f>+E102*$D$8</f>
        <v>19.4616220162</v>
      </c>
      <c r="H103" s="86"/>
      <c r="I103" s="82">
        <f>G103+H103+K102</f>
        <v>3.2751081601555576</v>
      </c>
      <c r="J103" s="387"/>
      <c r="K103" s="94">
        <f t="shared" si="185"/>
        <v>3.2751081601555576</v>
      </c>
      <c r="L103" s="83">
        <f t="shared" si="200"/>
        <v>0</v>
      </c>
      <c r="M103" s="461" t="s">
        <v>30</v>
      </c>
      <c r="N103" s="903"/>
      <c r="O103" s="899"/>
      <c r="P103" s="899"/>
      <c r="Q103" s="899"/>
      <c r="R103" s="899"/>
      <c r="S103" s="884"/>
      <c r="T103" s="883"/>
      <c r="V103" s="562"/>
    </row>
    <row r="104" spans="1:22" s="525" customFormat="1" ht="15" customHeight="1">
      <c r="A104" s="51">
        <v>10</v>
      </c>
      <c r="B104" s="934"/>
      <c r="C104" s="889" t="s">
        <v>329</v>
      </c>
      <c r="D104" s="931">
        <v>833</v>
      </c>
      <c r="E104" s="926">
        <v>1.6850338999999999E-2</v>
      </c>
      <c r="F104" s="464" t="s">
        <v>35</v>
      </c>
      <c r="G104" s="673">
        <f>+E104*$D$9-0.001</f>
        <v>63.592179385999998</v>
      </c>
      <c r="H104" s="86">
        <f>-50.126</f>
        <v>-50.125999999999998</v>
      </c>
      <c r="I104" s="82">
        <f>G104+H104</f>
        <v>13.466179386</v>
      </c>
      <c r="J104" s="682">
        <v>7.3161111111111117</v>
      </c>
      <c r="K104" s="94">
        <f t="shared" si="185"/>
        <v>6.1500682748888886</v>
      </c>
      <c r="L104" s="83">
        <f t="shared" si="200"/>
        <v>0.54329523626554721</v>
      </c>
      <c r="M104" s="691"/>
      <c r="N104" s="903">
        <f t="shared" ref="N104:O104" si="221">G104+G105</f>
        <v>63.593179385999996</v>
      </c>
      <c r="O104" s="899">
        <f t="shared" si="221"/>
        <v>-50.125999999999998</v>
      </c>
      <c r="P104" s="899">
        <f t="shared" ref="P104" si="222">N104+O104</f>
        <v>13.467179385999998</v>
      </c>
      <c r="Q104" s="899">
        <f t="shared" ref="Q104" si="223">J104+J105</f>
        <v>7.3161111111111117</v>
      </c>
      <c r="R104" s="899">
        <f t="shared" ref="R104" si="224">P104-Q104</f>
        <v>6.1510682748888863</v>
      </c>
      <c r="S104" s="884">
        <f t="shared" ref="S104" si="225">Q104/P104</f>
        <v>0.54325489409584027</v>
      </c>
      <c r="T104" s="883">
        <f>(100%-+(R104/N104))</f>
        <v>0.90327471696999251</v>
      </c>
      <c r="V104" s="562"/>
    </row>
    <row r="105" spans="1:22" s="525" customFormat="1" ht="15" customHeight="1">
      <c r="A105" s="51"/>
      <c r="B105" s="934"/>
      <c r="C105" s="890"/>
      <c r="D105" s="900"/>
      <c r="E105" s="926">
        <v>1.92966044E-2</v>
      </c>
      <c r="F105" s="464" t="s">
        <v>96</v>
      </c>
      <c r="G105" s="521">
        <f>0.001</f>
        <v>1E-3</v>
      </c>
      <c r="H105" s="86"/>
      <c r="I105" s="82">
        <f>G105+H105+K104</f>
        <v>6.151068274888889</v>
      </c>
      <c r="J105" s="681"/>
      <c r="K105" s="94">
        <f t="shared" si="185"/>
        <v>6.151068274888889</v>
      </c>
      <c r="L105" s="83">
        <f t="shared" si="200"/>
        <v>0</v>
      </c>
      <c r="M105" s="691" t="s">
        <v>30</v>
      </c>
      <c r="N105" s="903"/>
      <c r="O105" s="899"/>
      <c r="P105" s="899"/>
      <c r="Q105" s="899"/>
      <c r="R105" s="899"/>
      <c r="S105" s="884"/>
      <c r="T105" s="883"/>
      <c r="V105" s="562"/>
    </row>
    <row r="106" spans="1:22" s="525" customFormat="1" ht="15" customHeight="1">
      <c r="A106" s="51">
        <v>11</v>
      </c>
      <c r="B106" s="934"/>
      <c r="C106" s="889" t="s">
        <v>401</v>
      </c>
      <c r="D106" s="900" t="s">
        <v>291</v>
      </c>
      <c r="E106" s="926">
        <v>4.0591379999999999E-4</v>
      </c>
      <c r="F106" s="464" t="s">
        <v>35</v>
      </c>
      <c r="G106" s="521">
        <f>+E106*$D$6</f>
        <v>0.97256946479999995</v>
      </c>
      <c r="H106" s="86"/>
      <c r="I106" s="82">
        <f>G106+H106</f>
        <v>0.97256946479999995</v>
      </c>
      <c r="J106" s="516">
        <v>1.1622222222222223</v>
      </c>
      <c r="K106" s="94">
        <f t="shared" si="185"/>
        <v>-0.18965275742222232</v>
      </c>
      <c r="L106" s="687">
        <f t="shared" si="200"/>
        <v>1.1950017600657683</v>
      </c>
      <c r="M106" s="741">
        <v>43609</v>
      </c>
      <c r="N106" s="903">
        <f>G106+G107</f>
        <v>1.5319186812000001</v>
      </c>
      <c r="O106" s="899">
        <f t="shared" ref="O106" si="226">H106+H107</f>
        <v>0</v>
      </c>
      <c r="P106" s="899">
        <f t="shared" ref="P106" si="227">N106+O106</f>
        <v>1.5319186812000001</v>
      </c>
      <c r="Q106" s="899">
        <f t="shared" ref="Q106" si="228">J106+J107</f>
        <v>1.1622222222222223</v>
      </c>
      <c r="R106" s="899">
        <f t="shared" ref="R106" si="229">P106-Q106</f>
        <v>0.36969645897777781</v>
      </c>
      <c r="S106" s="884">
        <f t="shared" ref="S106" si="230">Q106/P106</f>
        <v>0.75867096373014853</v>
      </c>
      <c r="T106" s="883">
        <f>(100%-+(R106/N106))</f>
        <v>0.75867096373014853</v>
      </c>
      <c r="V106" s="562"/>
    </row>
    <row r="107" spans="1:22" s="525" customFormat="1" ht="15" customHeight="1">
      <c r="A107" s="51"/>
      <c r="B107" s="934"/>
      <c r="C107" s="890"/>
      <c r="D107" s="900"/>
      <c r="E107" s="926">
        <v>4.0591379999999999E-4</v>
      </c>
      <c r="F107" s="464" t="s">
        <v>96</v>
      </c>
      <c r="G107" s="521">
        <f>+E106*$D$8</f>
        <v>0.55934921640000002</v>
      </c>
      <c r="H107" s="86"/>
      <c r="I107" s="82">
        <f>G107+H107+K106</f>
        <v>0.3696964589777777</v>
      </c>
      <c r="J107" s="387"/>
      <c r="K107" s="94">
        <f t="shared" si="185"/>
        <v>0.3696964589777777</v>
      </c>
      <c r="L107" s="83">
        <f t="shared" si="200"/>
        <v>0</v>
      </c>
      <c r="M107" s="741" t="s">
        <v>30</v>
      </c>
      <c r="N107" s="903"/>
      <c r="O107" s="899"/>
      <c r="P107" s="899"/>
      <c r="Q107" s="899"/>
      <c r="R107" s="899"/>
      <c r="S107" s="884"/>
      <c r="T107" s="883"/>
      <c r="V107" s="562"/>
    </row>
    <row r="108" spans="1:22" s="525" customFormat="1" ht="15" customHeight="1">
      <c r="A108" s="51">
        <v>13</v>
      </c>
      <c r="B108" s="934"/>
      <c r="C108" s="889" t="s">
        <v>306</v>
      </c>
      <c r="D108" s="900">
        <v>4650</v>
      </c>
      <c r="E108" s="901">
        <v>4.7307310000000002E-3</v>
      </c>
      <c r="F108" s="464" t="s">
        <v>35</v>
      </c>
      <c r="G108" s="521">
        <f>+E108*$D$6</f>
        <v>11.334831476</v>
      </c>
      <c r="H108" s="86">
        <v>-17.853999999999999</v>
      </c>
      <c r="I108" s="466">
        <f>G108+H108</f>
        <v>-6.5191685239999995</v>
      </c>
      <c r="J108" s="516"/>
      <c r="K108" s="95">
        <f t="shared" si="185"/>
        <v>-6.5191685239999995</v>
      </c>
      <c r="L108" s="83">
        <f t="shared" si="200"/>
        <v>0</v>
      </c>
      <c r="M108" s="510">
        <v>43508</v>
      </c>
      <c r="N108" s="902">
        <f t="shared" ref="N108:O108" si="231">G108+G109</f>
        <v>17.853778794</v>
      </c>
      <c r="O108" s="902">
        <f t="shared" si="231"/>
        <v>-17.853999999999999</v>
      </c>
      <c r="P108" s="902">
        <f t="shared" ref="P108" si="232">N108+O108</f>
        <v>-2.2120599999908563E-4</v>
      </c>
      <c r="Q108" s="902">
        <f t="shared" ref="Q108" si="233">J108+J109</f>
        <v>0</v>
      </c>
      <c r="R108" s="902">
        <f t="shared" ref="R108" si="234">P108-Q108</f>
        <v>-2.2120599999908563E-4</v>
      </c>
      <c r="S108" s="848">
        <f t="shared" ref="S108" si="235">Q108/P108</f>
        <v>0</v>
      </c>
      <c r="T108" s="848">
        <f>(100%-+(R108/N108))</f>
        <v>1.000012389870097</v>
      </c>
      <c r="V108" s="562"/>
    </row>
    <row r="109" spans="1:22" s="525" customFormat="1" ht="15" customHeight="1">
      <c r="A109" s="51"/>
      <c r="B109" s="934"/>
      <c r="C109" s="890"/>
      <c r="D109" s="900"/>
      <c r="E109" s="901">
        <v>4.7307310000000002E-3</v>
      </c>
      <c r="F109" s="464" t="s">
        <v>96</v>
      </c>
      <c r="G109" s="521">
        <f>+E108*$D$8</f>
        <v>6.5189473180000004</v>
      </c>
      <c r="H109" s="563"/>
      <c r="I109" s="466">
        <f>G109+H109+K108</f>
        <v>-2.2120599999908563E-4</v>
      </c>
      <c r="J109" s="387"/>
      <c r="K109" s="95">
        <f t="shared" si="185"/>
        <v>-2.2120599999908563E-4</v>
      </c>
      <c r="L109" s="83">
        <f t="shared" si="200"/>
        <v>0</v>
      </c>
      <c r="M109" s="510">
        <v>43508</v>
      </c>
      <c r="N109" s="902"/>
      <c r="O109" s="902"/>
      <c r="P109" s="902"/>
      <c r="Q109" s="902"/>
      <c r="R109" s="902"/>
      <c r="S109" s="848"/>
      <c r="T109" s="848"/>
      <c r="V109" s="562"/>
    </row>
    <row r="110" spans="1:22" s="525" customFormat="1" ht="15" customHeight="1">
      <c r="A110" s="51">
        <v>14</v>
      </c>
      <c r="B110" s="934"/>
      <c r="C110" s="889" t="s">
        <v>316</v>
      </c>
      <c r="D110" s="900" t="s">
        <v>317</v>
      </c>
      <c r="E110" s="926">
        <v>1.3130843999999999E-2</v>
      </c>
      <c r="F110" s="464" t="s">
        <v>35</v>
      </c>
      <c r="G110" s="521">
        <f>+E110*$D$6</f>
        <v>31.461502223999997</v>
      </c>
      <c r="H110" s="86">
        <v>-49.555999999999997</v>
      </c>
      <c r="I110" s="82">
        <f>G110+H110</f>
        <v>-18.094497776000001</v>
      </c>
      <c r="J110" s="516"/>
      <c r="K110" s="94">
        <f t="shared" si="185"/>
        <v>-18.094497776000001</v>
      </c>
      <c r="L110" s="83">
        <f t="shared" si="200"/>
        <v>0</v>
      </c>
      <c r="M110" s="510">
        <v>43508</v>
      </c>
      <c r="N110" s="902">
        <f t="shared" ref="N110:O110" si="236">G110+G111</f>
        <v>49.555805255999999</v>
      </c>
      <c r="O110" s="902">
        <f t="shared" si="236"/>
        <v>-49.555999999999997</v>
      </c>
      <c r="P110" s="902">
        <f t="shared" ref="P110" si="237">N110+O110</f>
        <v>-1.9474399999808156E-4</v>
      </c>
      <c r="Q110" s="902">
        <f t="shared" ref="Q110" si="238">J110+J111</f>
        <v>0</v>
      </c>
      <c r="R110" s="902">
        <f t="shared" ref="R110" si="239">P110-Q110</f>
        <v>-1.9474399999808156E-4</v>
      </c>
      <c r="S110" s="848">
        <f t="shared" ref="S110" si="240">Q110/P110</f>
        <v>0</v>
      </c>
      <c r="T110" s="848">
        <f>(100%-+(R110/N110))</f>
        <v>1.0000039297918577</v>
      </c>
      <c r="V110" s="562"/>
    </row>
    <row r="111" spans="1:22" s="525" customFormat="1" ht="15" customHeight="1">
      <c r="A111" s="51"/>
      <c r="B111" s="934"/>
      <c r="C111" s="890"/>
      <c r="D111" s="900"/>
      <c r="E111" s="926">
        <v>1.1902403799999999E-2</v>
      </c>
      <c r="F111" s="464" t="s">
        <v>96</v>
      </c>
      <c r="G111" s="521">
        <f>+E110*$D$8</f>
        <v>18.094303031999999</v>
      </c>
      <c r="H111" s="86"/>
      <c r="I111" s="82">
        <f>G111+H111+K110</f>
        <v>-1.9474400000163428E-4</v>
      </c>
      <c r="J111" s="387"/>
      <c r="K111" s="94">
        <f t="shared" si="185"/>
        <v>-1.9474400000163428E-4</v>
      </c>
      <c r="L111" s="83">
        <f t="shared" si="200"/>
        <v>0</v>
      </c>
      <c r="M111" s="510">
        <v>43508</v>
      </c>
      <c r="N111" s="902"/>
      <c r="O111" s="902"/>
      <c r="P111" s="902"/>
      <c r="Q111" s="902"/>
      <c r="R111" s="902"/>
      <c r="S111" s="848"/>
      <c r="T111" s="848"/>
      <c r="V111" s="562"/>
    </row>
    <row r="112" spans="1:22" s="525" customFormat="1" ht="15" customHeight="1">
      <c r="A112" s="51">
        <v>15</v>
      </c>
      <c r="B112" s="934"/>
      <c r="C112" s="889" t="s">
        <v>432</v>
      </c>
      <c r="D112" s="900" t="s">
        <v>313</v>
      </c>
      <c r="E112" s="901">
        <v>9.1363445000000008E-3</v>
      </c>
      <c r="F112" s="464" t="s">
        <v>35</v>
      </c>
      <c r="G112" s="521">
        <f>+E112*$D$6</f>
        <v>21.890681422000004</v>
      </c>
      <c r="H112" s="86">
        <v>-34.481000000000002</v>
      </c>
      <c r="I112" s="82">
        <f>G112+H112</f>
        <v>-12.590318577999998</v>
      </c>
      <c r="J112" s="516"/>
      <c r="K112" s="94">
        <f t="shared" si="185"/>
        <v>-12.590318577999998</v>
      </c>
      <c r="L112" s="83">
        <v>0</v>
      </c>
      <c r="M112" s="510">
        <v>43508</v>
      </c>
      <c r="N112" s="902">
        <f t="shared" ref="N112:O112" si="241">G112+G113</f>
        <v>34.480564143000002</v>
      </c>
      <c r="O112" s="902">
        <f t="shared" si="241"/>
        <v>-34.481000000000002</v>
      </c>
      <c r="P112" s="902">
        <f t="shared" ref="P112" si="242">N112+O112</f>
        <v>-4.3585699999937333E-4</v>
      </c>
      <c r="Q112" s="902">
        <f t="shared" ref="Q112" si="243">J112+J113</f>
        <v>0</v>
      </c>
      <c r="R112" s="902">
        <f t="shared" ref="R112" si="244">P112-Q112</f>
        <v>-4.3585699999937333E-4</v>
      </c>
      <c r="S112" s="848">
        <f t="shared" ref="S112" si="245">Q112/P112</f>
        <v>0</v>
      </c>
      <c r="T112" s="848">
        <f>(100%-+(R112/N112))</f>
        <v>1.0000126406574497</v>
      </c>
      <c r="V112" s="562"/>
    </row>
    <row r="113" spans="1:22" s="525" customFormat="1" ht="15" customHeight="1">
      <c r="A113" s="51"/>
      <c r="B113" s="934"/>
      <c r="C113" s="890"/>
      <c r="D113" s="900"/>
      <c r="E113" s="901">
        <v>9.1363445000000008E-3</v>
      </c>
      <c r="F113" s="464" t="s">
        <v>96</v>
      </c>
      <c r="G113" s="521">
        <f>+E112*$D$8</f>
        <v>12.589882721</v>
      </c>
      <c r="H113" s="86"/>
      <c r="I113" s="82">
        <f>G113+H113+K112</f>
        <v>-4.3585699999759697E-4</v>
      </c>
      <c r="J113" s="387"/>
      <c r="K113" s="94">
        <f t="shared" si="185"/>
        <v>-4.3585699999759697E-4</v>
      </c>
      <c r="L113" s="83">
        <v>0</v>
      </c>
      <c r="M113" s="510">
        <v>43508</v>
      </c>
      <c r="N113" s="902"/>
      <c r="O113" s="902"/>
      <c r="P113" s="902"/>
      <c r="Q113" s="902"/>
      <c r="R113" s="902"/>
      <c r="S113" s="848"/>
      <c r="T113" s="848"/>
      <c r="V113" s="562"/>
    </row>
    <row r="114" spans="1:22" s="525" customFormat="1" ht="15" customHeight="1">
      <c r="A114" s="51">
        <v>16</v>
      </c>
      <c r="B114" s="934"/>
      <c r="C114" s="889" t="s">
        <v>327</v>
      </c>
      <c r="D114" s="900" t="s">
        <v>328</v>
      </c>
      <c r="E114" s="901">
        <v>2.0106202E-2</v>
      </c>
      <c r="F114" s="693" t="s">
        <v>35</v>
      </c>
      <c r="G114" s="521">
        <f>+E114*$D$6</f>
        <v>48.174459992000003</v>
      </c>
      <c r="H114" s="86">
        <v>-75.88</v>
      </c>
      <c r="I114" s="82">
        <f>G114+H114</f>
        <v>-27.705540007999993</v>
      </c>
      <c r="J114" s="516"/>
      <c r="K114" s="94">
        <f t="shared" si="185"/>
        <v>-27.705540007999993</v>
      </c>
      <c r="L114" s="83">
        <v>0</v>
      </c>
      <c r="M114" s="510">
        <v>43508</v>
      </c>
      <c r="N114" s="902">
        <f t="shared" ref="N114:O114" si="246">G114+G115</f>
        <v>75.880806348000007</v>
      </c>
      <c r="O114" s="902">
        <f t="shared" si="246"/>
        <v>-75.88</v>
      </c>
      <c r="P114" s="902">
        <f t="shared" ref="P114" si="247">N114+O114</f>
        <v>8.0634800001178064E-4</v>
      </c>
      <c r="Q114" s="902">
        <f t="shared" ref="Q114" si="248">J114+J115</f>
        <v>0</v>
      </c>
      <c r="R114" s="902">
        <f t="shared" ref="R114" si="249">P114-Q114</f>
        <v>8.0634800001178064E-4</v>
      </c>
      <c r="S114" s="848">
        <f t="shared" ref="S114" si="250">Q114/P114</f>
        <v>0</v>
      </c>
      <c r="T114" s="848">
        <f>(100%-+(R114/N114))</f>
        <v>0.99998937349194317</v>
      </c>
      <c r="V114" s="562"/>
    </row>
    <row r="115" spans="1:22" s="525" customFormat="1" ht="15" customHeight="1">
      <c r="A115" s="51"/>
      <c r="B115" s="934"/>
      <c r="C115" s="890"/>
      <c r="D115" s="900"/>
      <c r="E115" s="901">
        <v>2.0106202E-2</v>
      </c>
      <c r="F115" s="693" t="s">
        <v>96</v>
      </c>
      <c r="G115" s="521">
        <f>+E114*$D$8</f>
        <v>27.706346356000001</v>
      </c>
      <c r="H115" s="86"/>
      <c r="I115" s="82">
        <f>G115+H115+K114</f>
        <v>8.0634800000822793E-4</v>
      </c>
      <c r="J115" s="387"/>
      <c r="K115" s="94">
        <f t="shared" si="185"/>
        <v>8.0634800000822793E-4</v>
      </c>
      <c r="L115" s="83">
        <f>J115/I115</f>
        <v>0</v>
      </c>
      <c r="M115" s="510">
        <v>43508</v>
      </c>
      <c r="N115" s="902"/>
      <c r="O115" s="902"/>
      <c r="P115" s="902"/>
      <c r="Q115" s="902"/>
      <c r="R115" s="902"/>
      <c r="S115" s="848"/>
      <c r="T115" s="848"/>
      <c r="V115" s="562"/>
    </row>
    <row r="116" spans="1:22" s="525" customFormat="1" ht="15" customHeight="1">
      <c r="A116" s="51">
        <v>17</v>
      </c>
      <c r="B116" s="934"/>
      <c r="C116" s="889" t="s">
        <v>334</v>
      </c>
      <c r="D116" s="900" t="s">
        <v>335</v>
      </c>
      <c r="E116" s="901">
        <v>2.5707523999999999E-2</v>
      </c>
      <c r="F116" s="464" t="s">
        <v>35</v>
      </c>
      <c r="G116" s="521">
        <f>+E116*$D$6</f>
        <v>61.595227504</v>
      </c>
      <c r="H116" s="86">
        <v>-93.686999999999998</v>
      </c>
      <c r="I116" s="82">
        <f>G116+H116</f>
        <v>-32.091772495999997</v>
      </c>
      <c r="J116" s="516"/>
      <c r="K116" s="94">
        <f t="shared" si="185"/>
        <v>-32.091772495999997</v>
      </c>
      <c r="L116" s="83">
        <v>0</v>
      </c>
      <c r="M116" s="509">
        <v>43524</v>
      </c>
      <c r="N116" s="903">
        <f t="shared" ref="N116:O116" si="251">G116+G117</f>
        <v>97.020195575999992</v>
      </c>
      <c r="O116" s="899">
        <f t="shared" si="251"/>
        <v>-93.686999999999998</v>
      </c>
      <c r="P116" s="899">
        <f t="shared" ref="P116" si="252">N116+O116</f>
        <v>3.3331955759999943</v>
      </c>
      <c r="Q116" s="899">
        <f t="shared" ref="Q116" si="253">J116+J117</f>
        <v>0</v>
      </c>
      <c r="R116" s="899">
        <f t="shared" ref="R116" si="254">P116-Q116</f>
        <v>3.3331955759999943</v>
      </c>
      <c r="S116" s="884">
        <f t="shared" ref="S116" si="255">Q116/P116</f>
        <v>0</v>
      </c>
      <c r="T116" s="883">
        <f>(100%-+(R116/N116))</f>
        <v>0.96564431192690225</v>
      </c>
      <c r="V116" s="562"/>
    </row>
    <row r="117" spans="1:22" s="525" customFormat="1" ht="15" customHeight="1">
      <c r="A117" s="51"/>
      <c r="B117" s="934"/>
      <c r="C117" s="890"/>
      <c r="D117" s="900"/>
      <c r="E117" s="901">
        <v>2.7236206400000001E-2</v>
      </c>
      <c r="F117" s="464" t="s">
        <v>96</v>
      </c>
      <c r="G117" s="521">
        <f>+E116*$D$8</f>
        <v>35.424968071999999</v>
      </c>
      <c r="H117" s="86"/>
      <c r="I117" s="82">
        <f>G117+H117+K116</f>
        <v>3.3331955760000014</v>
      </c>
      <c r="J117" s="387"/>
      <c r="K117" s="94">
        <f t="shared" si="185"/>
        <v>3.3331955760000014</v>
      </c>
      <c r="L117" s="83">
        <v>0</v>
      </c>
      <c r="M117" s="461" t="s">
        <v>30</v>
      </c>
      <c r="N117" s="903"/>
      <c r="O117" s="899"/>
      <c r="P117" s="899"/>
      <c r="Q117" s="899"/>
      <c r="R117" s="899"/>
      <c r="S117" s="884"/>
      <c r="T117" s="883"/>
      <c r="V117" s="562"/>
    </row>
    <row r="118" spans="1:22" s="525" customFormat="1" ht="15" customHeight="1">
      <c r="A118" s="51">
        <v>18</v>
      </c>
      <c r="B118" s="934"/>
      <c r="C118" s="889" t="s">
        <v>443</v>
      </c>
      <c r="D118" s="900" t="s">
        <v>305</v>
      </c>
      <c r="E118" s="926">
        <v>1.4015631E-3</v>
      </c>
      <c r="F118" s="464" t="s">
        <v>35</v>
      </c>
      <c r="G118" s="521">
        <f>+E118*$D$6</f>
        <v>3.3581451875999999</v>
      </c>
      <c r="H118" s="86"/>
      <c r="I118" s="82">
        <f>G118+H118</f>
        <v>3.3581451875999999</v>
      </c>
      <c r="J118" s="516">
        <v>3.2599999999999993</v>
      </c>
      <c r="K118" s="94">
        <f t="shared" si="185"/>
        <v>9.8145187600000572E-2</v>
      </c>
      <c r="L118" s="83">
        <f>J118/I118</f>
        <v>0.97077398917640512</v>
      </c>
      <c r="M118" s="461" t="s">
        <v>30</v>
      </c>
      <c r="N118" s="903">
        <f t="shared" ref="N118:O118" si="256">G118+G119</f>
        <v>5.2894991394000002</v>
      </c>
      <c r="O118" s="899">
        <f t="shared" si="256"/>
        <v>0</v>
      </c>
      <c r="P118" s="899">
        <f t="shared" ref="P118" si="257">N118+O118</f>
        <v>5.2894991394000002</v>
      </c>
      <c r="Q118" s="899">
        <f t="shared" ref="Q118" si="258">J118+J119</f>
        <v>3.2599999999999993</v>
      </c>
      <c r="R118" s="899">
        <f t="shared" ref="R118" si="259">P118-Q118</f>
        <v>2.0294991394000008</v>
      </c>
      <c r="S118" s="884">
        <f t="shared" ref="S118" si="260">Q118/P118</f>
        <v>0.61631544198904786</v>
      </c>
      <c r="T118" s="883">
        <f>(100%-+(R118/N118))</f>
        <v>0.61631544198904786</v>
      </c>
      <c r="V118" s="562"/>
    </row>
    <row r="119" spans="1:22" s="525" customFormat="1" ht="15" customHeight="1">
      <c r="A119" s="51"/>
      <c r="B119" s="934"/>
      <c r="C119" s="890"/>
      <c r="D119" s="900"/>
      <c r="E119" s="926">
        <v>1.4015631E-3</v>
      </c>
      <c r="F119" s="464" t="s">
        <v>96</v>
      </c>
      <c r="G119" s="521">
        <f>+E118*$D$8</f>
        <v>1.9313539518</v>
      </c>
      <c r="H119" s="86"/>
      <c r="I119" s="82">
        <f>G119+H119+K118</f>
        <v>2.0294991394000004</v>
      </c>
      <c r="J119" s="387"/>
      <c r="K119" s="94">
        <f t="shared" si="185"/>
        <v>2.0294991394000004</v>
      </c>
      <c r="L119" s="83">
        <f>J119/I119</f>
        <v>0</v>
      </c>
      <c r="M119" s="461" t="s">
        <v>30</v>
      </c>
      <c r="N119" s="903"/>
      <c r="O119" s="899"/>
      <c r="P119" s="899"/>
      <c r="Q119" s="899"/>
      <c r="R119" s="899"/>
      <c r="S119" s="884"/>
      <c r="T119" s="883"/>
      <c r="V119" s="562"/>
    </row>
    <row r="120" spans="1:22" s="525" customFormat="1" ht="15" customHeight="1">
      <c r="A120" s="51">
        <v>19</v>
      </c>
      <c r="B120" s="934"/>
      <c r="C120" s="889" t="s">
        <v>311</v>
      </c>
      <c r="D120" s="900" t="s">
        <v>312</v>
      </c>
      <c r="E120" s="926">
        <v>1.3139868000000001E-2</v>
      </c>
      <c r="F120" s="464" t="s">
        <v>35</v>
      </c>
      <c r="G120" s="521">
        <f>+E120*$D$6</f>
        <v>31.483123728000002</v>
      </c>
      <c r="H120" s="86">
        <f>-44.368-5.222</f>
        <v>-49.59</v>
      </c>
      <c r="I120" s="82">
        <f>G120+H120</f>
        <v>-18.106876272000001</v>
      </c>
      <c r="J120" s="516"/>
      <c r="K120" s="94">
        <f t="shared" si="185"/>
        <v>-18.106876272000001</v>
      </c>
      <c r="L120" s="83">
        <v>0</v>
      </c>
      <c r="M120" s="510">
        <v>43524</v>
      </c>
      <c r="N120" s="902">
        <f t="shared" ref="N120:O120" si="261">G120+G121</f>
        <v>49.589861832000004</v>
      </c>
      <c r="O120" s="902">
        <f t="shared" si="261"/>
        <v>-49.59</v>
      </c>
      <c r="P120" s="902">
        <f t="shared" ref="P120" si="262">N120+O120</f>
        <v>-1.3816799999943896E-4</v>
      </c>
      <c r="Q120" s="902">
        <f t="shared" ref="Q120" si="263">J120+J121</f>
        <v>0</v>
      </c>
      <c r="R120" s="902">
        <f t="shared" ref="R120" si="264">P120-Q120</f>
        <v>-1.3816799999943896E-4</v>
      </c>
      <c r="S120" s="848">
        <f t="shared" ref="S120" si="265">Q120/P120</f>
        <v>0</v>
      </c>
      <c r="T120" s="848">
        <f>(100%-+(R120/N120))</f>
        <v>1.0000027862146594</v>
      </c>
      <c r="V120" s="562"/>
    </row>
    <row r="121" spans="1:22" s="525" customFormat="1" ht="15" customHeight="1">
      <c r="A121" s="51"/>
      <c r="B121" s="934"/>
      <c r="C121" s="890"/>
      <c r="D121" s="900"/>
      <c r="E121" s="926">
        <v>1.3139868000000001E-2</v>
      </c>
      <c r="F121" s="464" t="s">
        <v>96</v>
      </c>
      <c r="G121" s="521">
        <f>+E120*$D$8</f>
        <v>18.106738104000001</v>
      </c>
      <c r="H121" s="86"/>
      <c r="I121" s="82">
        <f>G121+H121+K120</f>
        <v>-1.3816799999943896E-4</v>
      </c>
      <c r="J121" s="387"/>
      <c r="K121" s="94">
        <f t="shared" si="185"/>
        <v>-1.3816799999943896E-4</v>
      </c>
      <c r="L121" s="83">
        <v>0</v>
      </c>
      <c r="M121" s="510">
        <v>43524</v>
      </c>
      <c r="N121" s="902"/>
      <c r="O121" s="902"/>
      <c r="P121" s="902"/>
      <c r="Q121" s="902"/>
      <c r="R121" s="902"/>
      <c r="S121" s="848"/>
      <c r="T121" s="848"/>
      <c r="V121" s="562"/>
    </row>
    <row r="122" spans="1:22" s="525" customFormat="1" ht="15" customHeight="1">
      <c r="A122" s="51">
        <v>20</v>
      </c>
      <c r="B122" s="934"/>
      <c r="C122" s="891" t="s">
        <v>581</v>
      </c>
      <c r="D122" s="929" t="s">
        <v>333</v>
      </c>
      <c r="E122" s="926">
        <v>2.9587983000000002E-2</v>
      </c>
      <c r="F122" s="464" t="s">
        <v>35</v>
      </c>
      <c r="G122" s="521">
        <f>+E122*$D$6</f>
        <v>70.892807267999999</v>
      </c>
      <c r="H122" s="86">
        <f>-108840/1000</f>
        <v>-108.84</v>
      </c>
      <c r="I122" s="82">
        <f>G122+H122</f>
        <v>-37.947192732000005</v>
      </c>
      <c r="J122" s="743"/>
      <c r="K122" s="94">
        <f t="shared" si="185"/>
        <v>-37.947192732000005</v>
      </c>
      <c r="L122" s="83">
        <v>0</v>
      </c>
      <c r="M122" s="744">
        <v>43619</v>
      </c>
      <c r="N122" s="904">
        <f t="shared" ref="N122" si="266">G122+G123</f>
        <v>111.66504784200001</v>
      </c>
      <c r="O122" s="930">
        <f>H122+H123</f>
        <v>-108.84</v>
      </c>
      <c r="P122" s="904">
        <f t="shared" ref="P122" si="267">N122+O122</f>
        <v>2.8250478420000036</v>
      </c>
      <c r="Q122" s="905">
        <f>J85+J123</f>
        <v>0</v>
      </c>
      <c r="R122" s="904">
        <f t="shared" ref="R122" si="268">P122-Q122</f>
        <v>2.8250478420000036</v>
      </c>
      <c r="S122" s="928">
        <f t="shared" ref="S122" si="269">Q122/P122</f>
        <v>0</v>
      </c>
      <c r="T122" s="964">
        <f>(100%-+(R122/N122))</f>
        <v>0.97470069733908771</v>
      </c>
      <c r="V122" s="562"/>
    </row>
    <row r="123" spans="1:22" s="525" customFormat="1" ht="15" customHeight="1">
      <c r="A123" s="51"/>
      <c r="B123" s="934"/>
      <c r="C123" s="892"/>
      <c r="D123" s="929"/>
      <c r="E123" s="926">
        <v>2.8822000399999999E-2</v>
      </c>
      <c r="F123" s="464" t="s">
        <v>96</v>
      </c>
      <c r="G123" s="521">
        <f>+E122*$D$8</f>
        <v>40.772240574000001</v>
      </c>
      <c r="H123" s="86"/>
      <c r="I123" s="82">
        <f>G123+H123+K122</f>
        <v>2.8250478419999965</v>
      </c>
      <c r="J123" s="510"/>
      <c r="K123" s="94">
        <f t="shared" si="185"/>
        <v>2.8250478419999965</v>
      </c>
      <c r="L123" s="83">
        <v>0</v>
      </c>
      <c r="M123" s="744">
        <v>43619</v>
      </c>
      <c r="N123" s="904"/>
      <c r="O123" s="930"/>
      <c r="P123" s="904"/>
      <c r="Q123" s="905"/>
      <c r="R123" s="904"/>
      <c r="S123" s="928"/>
      <c r="T123" s="964"/>
      <c r="V123" s="562"/>
    </row>
    <row r="124" spans="1:22" s="525" customFormat="1" ht="15" customHeight="1">
      <c r="A124" s="51">
        <v>21</v>
      </c>
      <c r="B124" s="934"/>
      <c r="C124" s="889" t="s">
        <v>574</v>
      </c>
      <c r="D124" s="900" t="s">
        <v>324</v>
      </c>
      <c r="E124" s="901">
        <v>1.2361425000000001E-2</v>
      </c>
      <c r="F124" s="464" t="s">
        <v>35</v>
      </c>
      <c r="G124" s="521">
        <f>+E124*$D$6</f>
        <v>29.6179743</v>
      </c>
      <c r="H124" s="86">
        <f>-46652/1000</f>
        <v>-46.652000000000001</v>
      </c>
      <c r="I124" s="82">
        <f>G124+H124</f>
        <v>-17.034025700000001</v>
      </c>
      <c r="J124" s="516"/>
      <c r="K124" s="94">
        <f t="shared" ref="K124:K153" si="270">I124-J124</f>
        <v>-17.034025700000001</v>
      </c>
      <c r="L124" s="83">
        <f t="shared" ref="L124:L125" si="271">J124/I124</f>
        <v>0</v>
      </c>
      <c r="M124" s="510">
        <v>43564</v>
      </c>
      <c r="N124" s="904">
        <f t="shared" ref="N124:O124" si="272">G124+G125</f>
        <v>46.652017950000001</v>
      </c>
      <c r="O124" s="930">
        <f t="shared" si="272"/>
        <v>-46.652000000000001</v>
      </c>
      <c r="P124" s="904">
        <f t="shared" ref="P124" si="273">N124+O124</f>
        <v>1.7950000000155342E-5</v>
      </c>
      <c r="Q124" s="905">
        <f t="shared" ref="Q124" si="274">J124+J125</f>
        <v>0</v>
      </c>
      <c r="R124" s="904">
        <f t="shared" ref="R124" si="275">P124-Q124</f>
        <v>1.7950000000155342E-5</v>
      </c>
      <c r="S124" s="928">
        <f t="shared" ref="S124" si="276">Q124/P124</f>
        <v>0</v>
      </c>
      <c r="T124" s="964">
        <f>(100%-+(R124/N124))</f>
        <v>0.99999961523636516</v>
      </c>
      <c r="V124" s="562"/>
    </row>
    <row r="125" spans="1:22" s="525" customFormat="1" ht="15" customHeight="1">
      <c r="A125" s="51"/>
      <c r="B125" s="934"/>
      <c r="C125" s="890"/>
      <c r="D125" s="900"/>
      <c r="E125" s="901">
        <v>1.30862228E-2</v>
      </c>
      <c r="F125" s="464" t="s">
        <v>96</v>
      </c>
      <c r="G125" s="521">
        <f>+E124*$D$8</f>
        <v>17.034043650000001</v>
      </c>
      <c r="H125" s="86"/>
      <c r="I125" s="82">
        <f>G125+H125+K124</f>
        <v>1.7950000000155342E-5</v>
      </c>
      <c r="J125" s="387"/>
      <c r="K125" s="94">
        <f t="shared" si="270"/>
        <v>1.7950000000155342E-5</v>
      </c>
      <c r="L125" s="83">
        <f t="shared" si="271"/>
        <v>0</v>
      </c>
      <c r="M125" s="510">
        <v>43564</v>
      </c>
      <c r="N125" s="904"/>
      <c r="O125" s="930"/>
      <c r="P125" s="904"/>
      <c r="Q125" s="905"/>
      <c r="R125" s="904"/>
      <c r="S125" s="928"/>
      <c r="T125" s="964"/>
      <c r="V125" s="562"/>
    </row>
    <row r="126" spans="1:22" s="525" customFormat="1" ht="15" customHeight="1">
      <c r="A126" s="51">
        <v>22</v>
      </c>
      <c r="B126" s="934"/>
      <c r="C126" s="889" t="s">
        <v>573</v>
      </c>
      <c r="D126" s="900" t="s">
        <v>320</v>
      </c>
      <c r="E126" s="901">
        <v>2.2955632E-2</v>
      </c>
      <c r="F126" s="464" t="s">
        <v>35</v>
      </c>
      <c r="G126" s="521">
        <f>+E126*$D$6</f>
        <v>55.001694272000002</v>
      </c>
      <c r="H126" s="86">
        <v>-86.635000000000005</v>
      </c>
      <c r="I126" s="82">
        <f>G126+H126</f>
        <v>-31.633305728000003</v>
      </c>
      <c r="J126" s="516"/>
      <c r="K126" s="94">
        <f t="shared" si="270"/>
        <v>-31.633305728000003</v>
      </c>
      <c r="L126" s="83">
        <v>0</v>
      </c>
      <c r="M126" s="510">
        <v>43508</v>
      </c>
      <c r="N126" s="902">
        <f t="shared" ref="N126:O126" si="277">G126+G127</f>
        <v>86.634555168000006</v>
      </c>
      <c r="O126" s="902">
        <f t="shared" si="277"/>
        <v>-86.635000000000005</v>
      </c>
      <c r="P126" s="902">
        <f t="shared" ref="P126" si="278">N126+O126</f>
        <v>-4.44831999999451E-4</v>
      </c>
      <c r="Q126" s="902">
        <f t="shared" ref="Q126" si="279">J126+J127</f>
        <v>0</v>
      </c>
      <c r="R126" s="902">
        <f t="shared" ref="R126" si="280">P126-Q126</f>
        <v>-4.44831999999451E-4</v>
      </c>
      <c r="S126" s="848">
        <v>1</v>
      </c>
      <c r="T126" s="848">
        <f>(100%-+(R126/N126))</f>
        <v>1.0000051345793735</v>
      </c>
      <c r="V126" s="562"/>
    </row>
    <row r="127" spans="1:22" s="525" customFormat="1" ht="15" customHeight="1">
      <c r="A127" s="51"/>
      <c r="B127" s="934"/>
      <c r="C127" s="890"/>
      <c r="D127" s="900"/>
      <c r="E127" s="901">
        <v>2.2940783100000001E-2</v>
      </c>
      <c r="F127" s="464" t="s">
        <v>96</v>
      </c>
      <c r="G127" s="521">
        <f>+E126*$D$8</f>
        <v>31.632860896</v>
      </c>
      <c r="H127" s="86"/>
      <c r="I127" s="82">
        <f>G127+H127+K126</f>
        <v>-4.4483200000300371E-4</v>
      </c>
      <c r="J127" s="387"/>
      <c r="K127" s="94">
        <f t="shared" si="270"/>
        <v>-4.4483200000300371E-4</v>
      </c>
      <c r="L127" s="83">
        <v>0</v>
      </c>
      <c r="M127" s="510">
        <v>43508</v>
      </c>
      <c r="N127" s="902"/>
      <c r="O127" s="902"/>
      <c r="P127" s="902"/>
      <c r="Q127" s="902"/>
      <c r="R127" s="902"/>
      <c r="S127" s="848"/>
      <c r="T127" s="848"/>
      <c r="V127" s="562"/>
    </row>
    <row r="128" spans="1:22" s="525" customFormat="1" ht="15" customHeight="1">
      <c r="A128" s="51">
        <v>23</v>
      </c>
      <c r="B128" s="934"/>
      <c r="C128" s="889" t="s">
        <v>294</v>
      </c>
      <c r="D128" s="900" t="s">
        <v>295</v>
      </c>
      <c r="E128" s="901">
        <v>6.8654809999999997E-4</v>
      </c>
      <c r="F128" s="464" t="s">
        <v>35</v>
      </c>
      <c r="G128" s="521">
        <f>+E128*$D$6</f>
        <v>1.6449692476</v>
      </c>
      <c r="H128" s="86"/>
      <c r="I128" s="82">
        <f>G128+H128</f>
        <v>1.6449692476</v>
      </c>
      <c r="J128" s="516">
        <v>2.1366666666666667</v>
      </c>
      <c r="K128" s="94">
        <f t="shared" si="270"/>
        <v>-0.49169741906666675</v>
      </c>
      <c r="L128" s="687">
        <f>J128/I128</f>
        <v>1.2989097940791601</v>
      </c>
      <c r="M128" s="509">
        <v>43612</v>
      </c>
      <c r="N128" s="903">
        <f t="shared" ref="N128:O128" si="281">G128+G129</f>
        <v>2.5910325294000001</v>
      </c>
      <c r="O128" s="899">
        <f t="shared" si="281"/>
        <v>0</v>
      </c>
      <c r="P128" s="899">
        <f>N128+O128</f>
        <v>2.5910325294000001</v>
      </c>
      <c r="Q128" s="899">
        <f>J128+J129</f>
        <v>2.1366666666666667</v>
      </c>
      <c r="R128" s="899">
        <f t="shared" ref="R128" si="282">P128-Q128</f>
        <v>0.45436586273333335</v>
      </c>
      <c r="S128" s="884">
        <f t="shared" ref="S128" si="283">Q128/P128</f>
        <v>0.82463907435444284</v>
      </c>
      <c r="T128" s="883">
        <f>(100%-+(R128/N128))</f>
        <v>0.82463907435444284</v>
      </c>
      <c r="V128" s="562"/>
    </row>
    <row r="129" spans="1:22" s="525" customFormat="1" ht="15" customHeight="1">
      <c r="A129" s="51"/>
      <c r="B129" s="934"/>
      <c r="C129" s="890"/>
      <c r="D129" s="900"/>
      <c r="E129" s="901">
        <v>6.8654809999999997E-4</v>
      </c>
      <c r="F129" s="464" t="s">
        <v>96</v>
      </c>
      <c r="G129" s="521">
        <f>+E128*$D$8</f>
        <v>0.94606328179999999</v>
      </c>
      <c r="H129" s="86"/>
      <c r="I129" s="82">
        <f>G129+H129+K128</f>
        <v>0.45436586273333324</v>
      </c>
      <c r="J129" s="387"/>
      <c r="K129" s="94">
        <f t="shared" si="270"/>
        <v>0.45436586273333324</v>
      </c>
      <c r="L129" s="83">
        <f t="shared" ref="L129:L139" si="284">J129/I129</f>
        <v>0</v>
      </c>
      <c r="M129" s="461" t="s">
        <v>30</v>
      </c>
      <c r="N129" s="903"/>
      <c r="O129" s="899"/>
      <c r="P129" s="899"/>
      <c r="Q129" s="899"/>
      <c r="R129" s="899"/>
      <c r="S129" s="884"/>
      <c r="T129" s="883"/>
      <c r="V129" s="562"/>
    </row>
    <row r="130" spans="1:22" s="525" customFormat="1" ht="15" customHeight="1">
      <c r="A130" s="51">
        <v>24</v>
      </c>
      <c r="B130" s="934"/>
      <c r="C130" s="889" t="s">
        <v>302</v>
      </c>
      <c r="D130" s="900" t="s">
        <v>303</v>
      </c>
      <c r="E130" s="901">
        <v>2.4980152000000002E-3</v>
      </c>
      <c r="F130" s="464" t="s">
        <v>35</v>
      </c>
      <c r="G130" s="521">
        <f>+E130*$D$6</f>
        <v>5.9852444192000007</v>
      </c>
      <c r="H130" s="86">
        <v>-9.4269999999999996</v>
      </c>
      <c r="I130" s="82">
        <f>G130+H130</f>
        <v>-3.4417555807999989</v>
      </c>
      <c r="J130" s="516">
        <v>0</v>
      </c>
      <c r="K130" s="94">
        <f t="shared" si="270"/>
        <v>-3.4417555807999989</v>
      </c>
      <c r="L130" s="83">
        <f t="shared" si="284"/>
        <v>0</v>
      </c>
      <c r="M130" s="510">
        <v>43508</v>
      </c>
      <c r="N130" s="902">
        <f t="shared" ref="N130:O130" si="285">G130+G131</f>
        <v>9.4275093648000006</v>
      </c>
      <c r="O130" s="902">
        <f t="shared" si="285"/>
        <v>-9.4269999999999996</v>
      </c>
      <c r="P130" s="902">
        <f t="shared" ref="P130" si="286">N130+O130</f>
        <v>5.0936480000096651E-4</v>
      </c>
      <c r="Q130" s="902">
        <f t="shared" ref="Q130" si="287">J130+J131</f>
        <v>0</v>
      </c>
      <c r="R130" s="902">
        <f t="shared" ref="R130" si="288">P130-Q130</f>
        <v>5.0936480000096651E-4</v>
      </c>
      <c r="S130" s="848">
        <f t="shared" ref="S130" si="289">Q130/P130</f>
        <v>0</v>
      </c>
      <c r="T130" s="848">
        <f>(100%-+(R130/N130))</f>
        <v>0.99994597037454003</v>
      </c>
      <c r="V130" s="562"/>
    </row>
    <row r="131" spans="1:22" s="525" customFormat="1" ht="15" customHeight="1">
      <c r="A131" s="51"/>
      <c r="B131" s="934"/>
      <c r="C131" s="890"/>
      <c r="D131" s="900"/>
      <c r="E131" s="901">
        <v>2.4980152000000002E-3</v>
      </c>
      <c r="F131" s="464" t="s">
        <v>96</v>
      </c>
      <c r="G131" s="521">
        <f>+E130*$D$8</f>
        <v>3.4422649456000003</v>
      </c>
      <c r="H131" s="86"/>
      <c r="I131" s="82">
        <f>G131+H131+K130</f>
        <v>5.093648000014106E-4</v>
      </c>
      <c r="J131" s="387"/>
      <c r="K131" s="94">
        <f t="shared" si="270"/>
        <v>5.093648000014106E-4</v>
      </c>
      <c r="L131" s="83">
        <f t="shared" si="284"/>
        <v>0</v>
      </c>
      <c r="M131" s="510">
        <v>43508</v>
      </c>
      <c r="N131" s="902"/>
      <c r="O131" s="902"/>
      <c r="P131" s="902"/>
      <c r="Q131" s="902"/>
      <c r="R131" s="902"/>
      <c r="S131" s="848"/>
      <c r="T131" s="848"/>
      <c r="V131" s="562"/>
    </row>
    <row r="132" spans="1:22" s="525" customFormat="1" ht="15" customHeight="1">
      <c r="A132" s="51">
        <v>25</v>
      </c>
      <c r="B132" s="934"/>
      <c r="C132" s="889" t="s">
        <v>292</v>
      </c>
      <c r="D132" s="900" t="s">
        <v>293</v>
      </c>
      <c r="E132" s="901">
        <v>6.4659199999999998E-4</v>
      </c>
      <c r="F132" s="464" t="s">
        <v>35</v>
      </c>
      <c r="G132" s="521">
        <f>+E132*$D$6</f>
        <v>1.549234432</v>
      </c>
      <c r="H132" s="86">
        <f>-2.44</f>
        <v>-2.44</v>
      </c>
      <c r="I132" s="82">
        <f>G132+H132</f>
        <v>-0.89076556799999995</v>
      </c>
      <c r="J132" s="516">
        <v>0</v>
      </c>
      <c r="K132" s="94">
        <f t="shared" si="270"/>
        <v>-0.89076556799999995</v>
      </c>
      <c r="L132" s="83">
        <f t="shared" si="284"/>
        <v>0</v>
      </c>
      <c r="M132" s="509">
        <v>43528</v>
      </c>
      <c r="N132" s="902">
        <f t="shared" ref="N132:O132" si="290">G132+G133</f>
        <v>2.4402382080000002</v>
      </c>
      <c r="O132" s="927">
        <f t="shared" si="290"/>
        <v>-2.44</v>
      </c>
      <c r="P132" s="927">
        <f t="shared" ref="P132" si="291">N132+O132</f>
        <v>2.3820800000029507E-4</v>
      </c>
      <c r="Q132" s="927">
        <f t="shared" ref="Q132" si="292">J132+J133</f>
        <v>0</v>
      </c>
      <c r="R132" s="927">
        <f t="shared" ref="R132" si="293">P132-Q132</f>
        <v>2.3820800000029507E-4</v>
      </c>
      <c r="S132" s="932">
        <f t="shared" ref="S132" si="294">Q132/P132</f>
        <v>0</v>
      </c>
      <c r="T132" s="848">
        <f>(100%-+(R132/N132))</f>
        <v>0.99990238330044201</v>
      </c>
      <c r="V132" s="562"/>
    </row>
    <row r="133" spans="1:22" s="525" customFormat="1" ht="15" customHeight="1">
      <c r="A133" s="51"/>
      <c r="B133" s="934"/>
      <c r="C133" s="890"/>
      <c r="D133" s="900"/>
      <c r="E133" s="901">
        <v>6.4659199999999998E-4</v>
      </c>
      <c r="F133" s="464" t="s">
        <v>96</v>
      </c>
      <c r="G133" s="521">
        <f>+E132*$D$8</f>
        <v>0.89100377600000003</v>
      </c>
      <c r="H133" s="86"/>
      <c r="I133" s="82">
        <f>G133+H133+K132</f>
        <v>2.3820800000007303E-4</v>
      </c>
      <c r="J133" s="387"/>
      <c r="K133" s="94">
        <f t="shared" si="270"/>
        <v>2.3820800000007303E-4</v>
      </c>
      <c r="L133" s="83">
        <f t="shared" si="284"/>
        <v>0</v>
      </c>
      <c r="M133" s="509">
        <v>43528</v>
      </c>
      <c r="N133" s="902"/>
      <c r="O133" s="894"/>
      <c r="P133" s="894"/>
      <c r="Q133" s="894"/>
      <c r="R133" s="894"/>
      <c r="S133" s="933"/>
      <c r="T133" s="848"/>
      <c r="V133" s="562"/>
    </row>
    <row r="134" spans="1:22" s="525" customFormat="1" ht="15" customHeight="1">
      <c r="A134" s="51">
        <v>26</v>
      </c>
      <c r="B134" s="934"/>
      <c r="C134" s="889" t="s">
        <v>346</v>
      </c>
      <c r="D134" s="900" t="s">
        <v>347</v>
      </c>
      <c r="E134" s="901">
        <v>4.2194629999999997E-3</v>
      </c>
      <c r="F134" s="464" t="s">
        <v>35</v>
      </c>
      <c r="G134" s="521">
        <f>+E134*$D$6</f>
        <v>10.109833347999999</v>
      </c>
      <c r="H134" s="86">
        <f>-15.924</f>
        <v>-15.923999999999999</v>
      </c>
      <c r="I134" s="82">
        <f>G134+H134</f>
        <v>-5.8141666520000008</v>
      </c>
      <c r="J134" s="516"/>
      <c r="K134" s="94">
        <f t="shared" si="270"/>
        <v>-5.8141666520000008</v>
      </c>
      <c r="L134" s="83">
        <f t="shared" si="284"/>
        <v>0</v>
      </c>
      <c r="M134" s="510">
        <v>43556</v>
      </c>
      <c r="N134" s="902">
        <f t="shared" ref="N134:O134" si="295">G134+G135</f>
        <v>15.924253361999998</v>
      </c>
      <c r="O134" s="902">
        <f t="shared" si="295"/>
        <v>-15.923999999999999</v>
      </c>
      <c r="P134" s="902">
        <f t="shared" ref="P134" si="296">N134+O134</f>
        <v>2.5336199999870246E-4</v>
      </c>
      <c r="Q134" s="902">
        <f t="shared" ref="Q134" si="297">J134+J135</f>
        <v>0</v>
      </c>
      <c r="R134" s="902">
        <f t="shared" ref="R134" si="298">P134-Q134</f>
        <v>2.5336199999870246E-4</v>
      </c>
      <c r="S134" s="848">
        <f t="shared" ref="S134" si="299">Q134/P134</f>
        <v>0</v>
      </c>
      <c r="T134" s="848">
        <f>(100%-+(R134/N134))</f>
        <v>0.99998408955231755</v>
      </c>
      <c r="V134" s="562"/>
    </row>
    <row r="135" spans="1:22" s="525" customFormat="1" ht="15" customHeight="1">
      <c r="A135" s="51"/>
      <c r="B135" s="934"/>
      <c r="C135" s="890"/>
      <c r="D135" s="900"/>
      <c r="E135" s="901">
        <v>4.2194629999999997E-3</v>
      </c>
      <c r="F135" s="464" t="s">
        <v>96</v>
      </c>
      <c r="G135" s="521">
        <f>+E134*$D$8</f>
        <v>5.8144200139999995</v>
      </c>
      <c r="H135" s="86"/>
      <c r="I135" s="82">
        <f>G135+H135+K134</f>
        <v>2.5336199999870246E-4</v>
      </c>
      <c r="J135" s="387"/>
      <c r="K135" s="94">
        <f t="shared" si="270"/>
        <v>2.5336199999870246E-4</v>
      </c>
      <c r="L135" s="83">
        <f t="shared" si="284"/>
        <v>0</v>
      </c>
      <c r="M135" s="510">
        <v>43556</v>
      </c>
      <c r="N135" s="902"/>
      <c r="O135" s="902"/>
      <c r="P135" s="902"/>
      <c r="Q135" s="902"/>
      <c r="R135" s="902"/>
      <c r="S135" s="848"/>
      <c r="T135" s="848"/>
      <c r="V135" s="562"/>
    </row>
    <row r="136" spans="1:22" s="525" customFormat="1" ht="15" customHeight="1">
      <c r="A136" s="51">
        <v>27</v>
      </c>
      <c r="B136" s="934"/>
      <c r="C136" s="889" t="s">
        <v>298</v>
      </c>
      <c r="D136" s="900" t="s">
        <v>299</v>
      </c>
      <c r="E136" s="926">
        <v>2.0477631999999998E-3</v>
      </c>
      <c r="F136" s="464" t="s">
        <v>35</v>
      </c>
      <c r="G136" s="521">
        <f>+E136*$D$6</f>
        <v>4.9064406271999994</v>
      </c>
      <c r="H136" s="86">
        <v>-7.7279999999999998</v>
      </c>
      <c r="I136" s="82">
        <f>G136+H136</f>
        <v>-2.8215593728000004</v>
      </c>
      <c r="J136" s="516"/>
      <c r="K136" s="94">
        <f t="shared" si="270"/>
        <v>-2.8215593728000004</v>
      </c>
      <c r="L136" s="83">
        <f t="shared" si="284"/>
        <v>0</v>
      </c>
      <c r="M136" s="509">
        <v>43508</v>
      </c>
      <c r="N136" s="902">
        <f t="shared" ref="N136:O136" si="300">G136+G137</f>
        <v>7.728258316799999</v>
      </c>
      <c r="O136" s="927">
        <f t="shared" si="300"/>
        <v>-7.7279999999999998</v>
      </c>
      <c r="P136" s="927">
        <f t="shared" ref="P136" si="301">N136+O136</f>
        <v>2.583167999992142E-4</v>
      </c>
      <c r="Q136" s="927">
        <f t="shared" ref="Q136" si="302">J136+J137</f>
        <v>0</v>
      </c>
      <c r="R136" s="927">
        <f t="shared" ref="R136" si="303">P136-Q136</f>
        <v>2.583167999992142E-4</v>
      </c>
      <c r="S136" s="932">
        <f t="shared" ref="S136" si="304">Q136/P136</f>
        <v>0</v>
      </c>
      <c r="T136" s="848">
        <f>(100%-+(R136/N136))</f>
        <v>0.9999665750303095</v>
      </c>
      <c r="V136" s="562"/>
    </row>
    <row r="137" spans="1:22" s="525" customFormat="1" ht="15" customHeight="1">
      <c r="A137" s="51"/>
      <c r="B137" s="934"/>
      <c r="C137" s="890"/>
      <c r="D137" s="900"/>
      <c r="E137" s="926">
        <v>2.0477631999999998E-3</v>
      </c>
      <c r="F137" s="464" t="s">
        <v>96</v>
      </c>
      <c r="G137" s="521">
        <f>+E136*$D$8</f>
        <v>2.8218176895999996</v>
      </c>
      <c r="H137" s="86"/>
      <c r="I137" s="82">
        <f>G137+H137+K136</f>
        <v>2.583167999992142E-4</v>
      </c>
      <c r="J137" s="387"/>
      <c r="K137" s="94">
        <f t="shared" si="270"/>
        <v>2.583167999992142E-4</v>
      </c>
      <c r="L137" s="83">
        <f t="shared" si="284"/>
        <v>0</v>
      </c>
      <c r="M137" s="509">
        <v>43508</v>
      </c>
      <c r="N137" s="902"/>
      <c r="O137" s="894"/>
      <c r="P137" s="894"/>
      <c r="Q137" s="894"/>
      <c r="R137" s="894"/>
      <c r="S137" s="933"/>
      <c r="T137" s="848"/>
      <c r="V137" s="562"/>
    </row>
    <row r="138" spans="1:22" s="525" customFormat="1" ht="15" customHeight="1">
      <c r="A138" s="51">
        <v>28</v>
      </c>
      <c r="B138" s="934"/>
      <c r="C138" s="889" t="s">
        <v>331</v>
      </c>
      <c r="D138" s="900" t="s">
        <v>332</v>
      </c>
      <c r="E138" s="901">
        <v>1.9397521000000001E-2</v>
      </c>
      <c r="F138" s="464" t="s">
        <v>35</v>
      </c>
      <c r="G138" s="521">
        <f>+E138*$D$6</f>
        <v>46.476460316000001</v>
      </c>
      <c r="H138" s="86">
        <v>-73.206000000000003</v>
      </c>
      <c r="I138" s="82">
        <f>G138+H138</f>
        <v>-26.729539684000002</v>
      </c>
      <c r="J138" s="516"/>
      <c r="K138" s="94">
        <f t="shared" si="270"/>
        <v>-26.729539684000002</v>
      </c>
      <c r="L138" s="83">
        <f t="shared" si="284"/>
        <v>0</v>
      </c>
      <c r="M138" s="510">
        <v>43508</v>
      </c>
      <c r="N138" s="902">
        <f t="shared" ref="N138" si="305">G138+G139</f>
        <v>73.206244253999998</v>
      </c>
      <c r="O138" s="902">
        <f>H138+H139</f>
        <v>-73.206000000000003</v>
      </c>
      <c r="P138" s="902">
        <f t="shared" ref="P138" si="306">N138+O138</f>
        <v>2.4425399999472575E-4</v>
      </c>
      <c r="Q138" s="902">
        <f t="shared" ref="Q138" si="307">J138+J139</f>
        <v>0</v>
      </c>
      <c r="R138" s="902">
        <f t="shared" ref="R138" si="308">P138-Q138</f>
        <v>2.4425399999472575E-4</v>
      </c>
      <c r="S138" s="848">
        <f t="shared" ref="S138" si="309">Q138/P138</f>
        <v>0</v>
      </c>
      <c r="T138" s="848">
        <f>(100%-+(R138/N138))</f>
        <v>0.99999666348133986</v>
      </c>
      <c r="V138" s="562"/>
    </row>
    <row r="139" spans="1:22" s="525" customFormat="1" ht="15" customHeight="1">
      <c r="A139" s="51"/>
      <c r="B139" s="934"/>
      <c r="C139" s="890"/>
      <c r="D139" s="900"/>
      <c r="E139" s="901">
        <v>1.7914275600000001E-2</v>
      </c>
      <c r="F139" s="464" t="s">
        <v>96</v>
      </c>
      <c r="G139" s="521">
        <f>+E138*$D$8</f>
        <v>26.729783938000001</v>
      </c>
      <c r="H139" s="86"/>
      <c r="I139" s="82">
        <f>G139+H139+K138</f>
        <v>2.4425399999827846E-4</v>
      </c>
      <c r="J139" s="387"/>
      <c r="K139" s="94">
        <f t="shared" si="270"/>
        <v>2.4425399999827846E-4</v>
      </c>
      <c r="L139" s="83">
        <f t="shared" si="284"/>
        <v>0</v>
      </c>
      <c r="M139" s="510">
        <v>43508</v>
      </c>
      <c r="N139" s="902"/>
      <c r="O139" s="902"/>
      <c r="P139" s="902"/>
      <c r="Q139" s="902"/>
      <c r="R139" s="902"/>
      <c r="S139" s="848"/>
      <c r="T139" s="848"/>
      <c r="V139" s="562"/>
    </row>
    <row r="140" spans="1:22" s="525" customFormat="1" ht="15" customHeight="1">
      <c r="A140" s="51">
        <v>29</v>
      </c>
      <c r="B140" s="934"/>
      <c r="C140" s="889" t="s">
        <v>300</v>
      </c>
      <c r="D140" s="900" t="s">
        <v>301</v>
      </c>
      <c r="E140" s="901">
        <v>2.4852229999999999E-3</v>
      </c>
      <c r="F140" s="464" t="s">
        <v>35</v>
      </c>
      <c r="G140" s="521">
        <f>+(E140*$D$6)+3.424</f>
        <v>9.3785943080000003</v>
      </c>
      <c r="H140" s="86">
        <v>-5</v>
      </c>
      <c r="I140" s="82">
        <f>G140+H140</f>
        <v>4.3785943080000003</v>
      </c>
      <c r="J140" s="516"/>
      <c r="K140" s="94">
        <f t="shared" si="270"/>
        <v>4.3785943080000003</v>
      </c>
      <c r="L140" s="83">
        <f t="shared" ref="L140:L141" si="310">J140/I140</f>
        <v>0</v>
      </c>
      <c r="M140" s="461" t="s">
        <v>30</v>
      </c>
      <c r="N140" s="903">
        <f t="shared" ref="N140:O140" si="311">G140+G141</f>
        <v>9.3792316020000008</v>
      </c>
      <c r="O140" s="899">
        <f t="shared" si="311"/>
        <v>-5</v>
      </c>
      <c r="P140" s="899">
        <f t="shared" ref="P140" si="312">N140+O140</f>
        <v>4.3792316020000008</v>
      </c>
      <c r="Q140" s="899">
        <f t="shared" ref="Q140" si="313">J140+J141</f>
        <v>0</v>
      </c>
      <c r="R140" s="899">
        <f t="shared" ref="R140" si="314">P140-Q140</f>
        <v>4.3792316020000008</v>
      </c>
      <c r="S140" s="884">
        <f t="shared" ref="S140" si="315">Q140/P140</f>
        <v>0</v>
      </c>
      <c r="T140" s="883">
        <f>(100%-+(R140/N140))</f>
        <v>0.53309271080733467</v>
      </c>
      <c r="V140" s="562"/>
    </row>
    <row r="141" spans="1:22" s="525" customFormat="1" ht="15" customHeight="1">
      <c r="A141" s="51"/>
      <c r="B141" s="934"/>
      <c r="C141" s="890"/>
      <c r="D141" s="900"/>
      <c r="E141" s="901">
        <v>2.4852228999999999E-3</v>
      </c>
      <c r="F141" s="464" t="s">
        <v>96</v>
      </c>
      <c r="G141" s="521">
        <f>+(E140*$D$8)-3.424</f>
        <v>6.3729400000012149E-4</v>
      </c>
      <c r="H141" s="86"/>
      <c r="I141" s="82">
        <f>G141+H141+K140</f>
        <v>4.3792316020000008</v>
      </c>
      <c r="J141" s="387"/>
      <c r="K141" s="94">
        <f t="shared" si="270"/>
        <v>4.3792316020000008</v>
      </c>
      <c r="L141" s="83">
        <f t="shared" si="310"/>
        <v>0</v>
      </c>
      <c r="M141" s="461" t="s">
        <v>30</v>
      </c>
      <c r="N141" s="903"/>
      <c r="O141" s="899"/>
      <c r="P141" s="899"/>
      <c r="Q141" s="899"/>
      <c r="R141" s="899"/>
      <c r="S141" s="884"/>
      <c r="T141" s="883"/>
      <c r="V141" s="562"/>
    </row>
    <row r="142" spans="1:22" s="525" customFormat="1" ht="15" customHeight="1">
      <c r="A142" s="51">
        <v>30</v>
      </c>
      <c r="B142" s="934"/>
      <c r="C142" s="889" t="s">
        <v>336</v>
      </c>
      <c r="D142" s="900" t="s">
        <v>337</v>
      </c>
      <c r="E142" s="901">
        <v>3.3778456999999998E-3</v>
      </c>
      <c r="F142" s="464" t="s">
        <v>35</v>
      </c>
      <c r="G142" s="521">
        <f>+E142*$D$6</f>
        <v>8.0933182971999997</v>
      </c>
      <c r="H142" s="86"/>
      <c r="I142" s="82">
        <f>G142+H142</f>
        <v>8.0933182971999997</v>
      </c>
      <c r="J142" s="651">
        <v>8.2011111111111088</v>
      </c>
      <c r="K142" s="94">
        <f t="shared" si="270"/>
        <v>-0.10779281391110906</v>
      </c>
      <c r="L142" s="83">
        <v>0</v>
      </c>
      <c r="M142" s="741">
        <v>43619</v>
      </c>
      <c r="N142" s="903">
        <f t="shared" ref="N142:O142" si="316">G142+G143</f>
        <v>12.747989671799999</v>
      </c>
      <c r="O142" s="899">
        <f t="shared" si="316"/>
        <v>0</v>
      </c>
      <c r="P142" s="899">
        <f t="shared" ref="P142" si="317">N142+O142</f>
        <v>12.747989671799999</v>
      </c>
      <c r="Q142" s="899">
        <f t="shared" ref="Q142" si="318">J142+J143</f>
        <v>8.2011111111111088</v>
      </c>
      <c r="R142" s="899">
        <f t="shared" ref="R142" si="319">P142-Q142</f>
        <v>4.5468785606888904</v>
      </c>
      <c r="S142" s="884">
        <f t="shared" ref="S142" si="320">Q142/P142</f>
        <v>0.64332583585731151</v>
      </c>
      <c r="T142" s="883">
        <f>(100%-+(R142/N142))</f>
        <v>0.64332583585731151</v>
      </c>
      <c r="V142" s="562"/>
    </row>
    <row r="143" spans="1:22" s="525" customFormat="1" ht="15" customHeight="1">
      <c r="A143" s="51"/>
      <c r="B143" s="934"/>
      <c r="C143" s="890"/>
      <c r="D143" s="900"/>
      <c r="E143" s="901">
        <v>3.3778456999999998E-3</v>
      </c>
      <c r="F143" s="464" t="s">
        <v>96</v>
      </c>
      <c r="G143" s="521">
        <f>+E142*$D$8</f>
        <v>4.6546713745999995</v>
      </c>
      <c r="H143" s="86"/>
      <c r="I143" s="82">
        <f>G143+H143+K142</f>
        <v>4.5468785606888904</v>
      </c>
      <c r="J143" s="387"/>
      <c r="K143" s="94">
        <f t="shared" si="270"/>
        <v>4.5468785606888904</v>
      </c>
      <c r="L143" s="83">
        <f t="shared" ref="L143:L153" si="321">J143/I143</f>
        <v>0</v>
      </c>
      <c r="M143" s="461" t="s">
        <v>30</v>
      </c>
      <c r="N143" s="903"/>
      <c r="O143" s="899"/>
      <c r="P143" s="899"/>
      <c r="Q143" s="899"/>
      <c r="R143" s="899"/>
      <c r="S143" s="884"/>
      <c r="T143" s="883"/>
      <c r="V143" s="562"/>
    </row>
    <row r="144" spans="1:22" s="525" customFormat="1" ht="15" customHeight="1">
      <c r="A144" s="51">
        <v>31</v>
      </c>
      <c r="B144" s="934"/>
      <c r="C144" s="889" t="s">
        <v>338</v>
      </c>
      <c r="D144" s="900" t="s">
        <v>339</v>
      </c>
      <c r="E144" s="926">
        <v>6.1819585999999998E-3</v>
      </c>
      <c r="F144" s="464" t="s">
        <v>35</v>
      </c>
      <c r="G144" s="521">
        <f>+E144*$D$6</f>
        <v>14.8119728056</v>
      </c>
      <c r="H144" s="86">
        <v>-23.331</v>
      </c>
      <c r="I144" s="82">
        <f>G144+H144</f>
        <v>-8.5190271943999996</v>
      </c>
      <c r="J144" s="516"/>
      <c r="K144" s="94">
        <f t="shared" si="270"/>
        <v>-8.5190271943999996</v>
      </c>
      <c r="L144" s="83">
        <f t="shared" si="321"/>
        <v>0</v>
      </c>
      <c r="M144" s="510">
        <v>43508</v>
      </c>
      <c r="N144" s="902">
        <f t="shared" ref="N144:O144" si="322">G144+G145</f>
        <v>23.3307117564</v>
      </c>
      <c r="O144" s="902">
        <f t="shared" si="322"/>
        <v>-23.331</v>
      </c>
      <c r="P144" s="902">
        <f t="shared" ref="P144" si="323">N144+O144</f>
        <v>-2.8824360000001548E-4</v>
      </c>
      <c r="Q144" s="902">
        <f t="shared" ref="Q144" si="324">J144+J145</f>
        <v>0</v>
      </c>
      <c r="R144" s="902">
        <f t="shared" ref="R144" si="325">P144-Q144</f>
        <v>-2.8824360000001548E-4</v>
      </c>
      <c r="S144" s="848">
        <f t="shared" ref="S144" si="326">Q144/P144</f>
        <v>0</v>
      </c>
      <c r="T144" s="848">
        <f>(100%-+(R144/N144))</f>
        <v>1.0000123546852324</v>
      </c>
      <c r="V144" s="562"/>
    </row>
    <row r="145" spans="1:22" s="525" customFormat="1" ht="15" customHeight="1">
      <c r="A145" s="51"/>
      <c r="B145" s="934"/>
      <c r="C145" s="890"/>
      <c r="D145" s="900"/>
      <c r="E145" s="926">
        <v>6.1819585999999998E-3</v>
      </c>
      <c r="F145" s="464" t="s">
        <v>96</v>
      </c>
      <c r="G145" s="521">
        <f>+E144*$D$8</f>
        <v>8.5187389507999995</v>
      </c>
      <c r="H145" s="86"/>
      <c r="I145" s="82">
        <f>G145+H145+K144</f>
        <v>-2.8824360000001548E-4</v>
      </c>
      <c r="J145" s="387"/>
      <c r="K145" s="94">
        <f t="shared" si="270"/>
        <v>-2.8824360000001548E-4</v>
      </c>
      <c r="L145" s="83">
        <f t="shared" si="321"/>
        <v>0</v>
      </c>
      <c r="M145" s="510">
        <v>43508</v>
      </c>
      <c r="N145" s="902"/>
      <c r="O145" s="902"/>
      <c r="P145" s="902"/>
      <c r="Q145" s="902"/>
      <c r="R145" s="902"/>
      <c r="S145" s="848"/>
      <c r="T145" s="848"/>
      <c r="V145" s="562"/>
    </row>
    <row r="146" spans="1:22" s="525" customFormat="1" ht="15" customHeight="1">
      <c r="A146" s="51">
        <v>32</v>
      </c>
      <c r="B146" s="934"/>
      <c r="C146" s="889" t="s">
        <v>350</v>
      </c>
      <c r="D146" s="900" t="s">
        <v>436</v>
      </c>
      <c r="E146" s="926">
        <v>1.1470409999999999E-3</v>
      </c>
      <c r="F146" s="464" t="s">
        <v>35</v>
      </c>
      <c r="G146" s="521">
        <f>+E146*$D$6</f>
        <v>2.7483102359999996</v>
      </c>
      <c r="H146" s="86">
        <f>-4</f>
        <v>-4</v>
      </c>
      <c r="I146" s="82">
        <f>G146+H146</f>
        <v>-1.2516897640000004</v>
      </c>
      <c r="J146" s="516">
        <v>0.27</v>
      </c>
      <c r="K146" s="94">
        <f t="shared" si="270"/>
        <v>-1.5216897640000004</v>
      </c>
      <c r="L146" s="687">
        <f t="shared" si="321"/>
        <v>-0.21570840296493782</v>
      </c>
      <c r="M146" s="741">
        <v>43613</v>
      </c>
      <c r="N146" s="903">
        <f t="shared" ref="N146:O146" si="327">G146+G147</f>
        <v>4.3289327339999994</v>
      </c>
      <c r="O146" s="899">
        <f t="shared" si="327"/>
        <v>-4</v>
      </c>
      <c r="P146" s="899">
        <f t="shared" ref="P146" si="328">N146+O146</f>
        <v>0.32893273399999945</v>
      </c>
      <c r="Q146" s="899">
        <f t="shared" ref="Q146" si="329">J146+J147</f>
        <v>0.27</v>
      </c>
      <c r="R146" s="899">
        <f t="shared" ref="R146" si="330">P146-Q146</f>
        <v>5.8932733999999432E-2</v>
      </c>
      <c r="S146" s="884">
        <f t="shared" ref="S146" si="331">Q146/P146</f>
        <v>0.82083651790034518</v>
      </c>
      <c r="T146" s="883">
        <f>(100%-+(R146/N146))</f>
        <v>0.98638631329677773</v>
      </c>
      <c r="V146" s="562"/>
    </row>
    <row r="147" spans="1:22" s="525" customFormat="1" ht="15" customHeight="1">
      <c r="A147" s="51"/>
      <c r="B147" s="934"/>
      <c r="C147" s="890"/>
      <c r="D147" s="900"/>
      <c r="E147" s="926">
        <v>1.729895E-3</v>
      </c>
      <c r="F147" s="464" t="s">
        <v>96</v>
      </c>
      <c r="G147" s="521">
        <f>+E146*$D$8</f>
        <v>1.5806224979999999</v>
      </c>
      <c r="H147" s="86"/>
      <c r="I147" s="82">
        <f>G147+H147+K146</f>
        <v>5.8932733999999432E-2</v>
      </c>
      <c r="J147" s="387"/>
      <c r="K147" s="94">
        <f t="shared" si="270"/>
        <v>5.8932733999999432E-2</v>
      </c>
      <c r="L147" s="83">
        <f t="shared" si="321"/>
        <v>0</v>
      </c>
      <c r="M147" s="461" t="s">
        <v>30</v>
      </c>
      <c r="N147" s="903"/>
      <c r="O147" s="899"/>
      <c r="P147" s="899"/>
      <c r="Q147" s="899"/>
      <c r="R147" s="899"/>
      <c r="S147" s="884"/>
      <c r="T147" s="883"/>
      <c r="V147" s="562"/>
    </row>
    <row r="148" spans="1:22" s="525" customFormat="1" ht="15" customHeight="1">
      <c r="A148" s="51">
        <v>33</v>
      </c>
      <c r="B148" s="934"/>
      <c r="C148" s="889" t="s">
        <v>434</v>
      </c>
      <c r="D148" s="900" t="s">
        <v>415</v>
      </c>
      <c r="E148" s="901">
        <v>9.70231E-4</v>
      </c>
      <c r="F148" s="464" t="s">
        <v>35</v>
      </c>
      <c r="G148" s="521">
        <f>+E148*$D$6</f>
        <v>2.3246734760000001</v>
      </c>
      <c r="H148" s="86">
        <f>-3662/1000</f>
        <v>-3.6619999999999999</v>
      </c>
      <c r="I148" s="82">
        <f>G148+H148</f>
        <v>-1.3373265239999998</v>
      </c>
      <c r="J148" s="516"/>
      <c r="K148" s="94">
        <f t="shared" si="270"/>
        <v>-1.3373265239999998</v>
      </c>
      <c r="L148" s="83">
        <f t="shared" si="321"/>
        <v>0</v>
      </c>
      <c r="M148" s="510">
        <v>43564</v>
      </c>
      <c r="N148" s="902">
        <f t="shared" ref="N148:O148" si="332">G148+G149</f>
        <v>3.661651794</v>
      </c>
      <c r="O148" s="902">
        <f t="shared" si="332"/>
        <v>-3.6619999999999999</v>
      </c>
      <c r="P148" s="902">
        <f t="shared" ref="P148" si="333">N148+O148</f>
        <v>-3.4820599999996205E-4</v>
      </c>
      <c r="Q148" s="902">
        <f t="shared" ref="Q148" si="334">J148+J149</f>
        <v>0</v>
      </c>
      <c r="R148" s="902">
        <f t="shared" ref="R148" si="335">P148-Q148</f>
        <v>-3.4820599999996205E-4</v>
      </c>
      <c r="S148" s="848">
        <f t="shared" ref="S148" si="336">Q148/P148</f>
        <v>0</v>
      </c>
      <c r="T148" s="848">
        <f>(100%-+(R148/N148))</f>
        <v>1.0000950953339065</v>
      </c>
      <c r="V148" s="562"/>
    </row>
    <row r="149" spans="1:22" s="525" customFormat="1" ht="15" customHeight="1">
      <c r="A149" s="51"/>
      <c r="B149" s="934"/>
      <c r="C149" s="890"/>
      <c r="D149" s="900"/>
      <c r="E149" s="901">
        <v>9.70231E-4</v>
      </c>
      <c r="F149" s="464" t="s">
        <v>96</v>
      </c>
      <c r="G149" s="521">
        <f>+E148*$D$8</f>
        <v>1.3369783180000001</v>
      </c>
      <c r="H149" s="86"/>
      <c r="I149" s="82">
        <f>G149+H149+K148</f>
        <v>-3.4820599999974E-4</v>
      </c>
      <c r="J149" s="387"/>
      <c r="K149" s="94">
        <f t="shared" si="270"/>
        <v>-3.4820599999974E-4</v>
      </c>
      <c r="L149" s="83">
        <f t="shared" si="321"/>
        <v>0</v>
      </c>
      <c r="M149" s="510">
        <v>43564</v>
      </c>
      <c r="N149" s="902"/>
      <c r="O149" s="902"/>
      <c r="P149" s="902"/>
      <c r="Q149" s="902"/>
      <c r="R149" s="902"/>
      <c r="S149" s="848"/>
      <c r="T149" s="848"/>
      <c r="V149" s="562"/>
    </row>
    <row r="150" spans="1:22" s="525" customFormat="1" ht="15" customHeight="1">
      <c r="A150" s="51">
        <v>34</v>
      </c>
      <c r="B150" s="934"/>
      <c r="C150" s="889" t="s">
        <v>349</v>
      </c>
      <c r="D150" s="900" t="s">
        <v>435</v>
      </c>
      <c r="E150" s="901">
        <v>1.729895E-3</v>
      </c>
      <c r="F150" s="464" t="s">
        <v>35</v>
      </c>
      <c r="G150" s="521">
        <f>+E150*$D$6</f>
        <v>4.1448284199999996</v>
      </c>
      <c r="H150" s="86"/>
      <c r="I150" s="82">
        <f>G150+H150</f>
        <v>4.1448284199999996</v>
      </c>
      <c r="J150" s="516">
        <v>6.5277777777777777</v>
      </c>
      <c r="K150" s="94">
        <f t="shared" si="270"/>
        <v>-2.3829493577777781</v>
      </c>
      <c r="L150" s="83">
        <f t="shared" si="321"/>
        <v>1.5749211104323055</v>
      </c>
      <c r="M150" s="510">
        <v>43564</v>
      </c>
      <c r="N150" s="902">
        <f t="shared" ref="N150:O150" si="337">G150+G151</f>
        <v>6.5286237299999996</v>
      </c>
      <c r="O150" s="902">
        <f t="shared" si="337"/>
        <v>0</v>
      </c>
      <c r="P150" s="902">
        <f t="shared" ref="P150" si="338">N150+O150</f>
        <v>6.5286237299999996</v>
      </c>
      <c r="Q150" s="902">
        <f t="shared" ref="Q150" si="339">J150+J151</f>
        <v>6.5277777777777777</v>
      </c>
      <c r="R150" s="902">
        <f t="shared" ref="R150" si="340">P150-Q150</f>
        <v>8.4595222222194622E-4</v>
      </c>
      <c r="S150" s="848">
        <f t="shared" ref="S150" si="341">Q150/P150</f>
        <v>0.99987042411123572</v>
      </c>
      <c r="T150" s="848">
        <f>(100%-+(R150/N150))</f>
        <v>0.99987042411123572</v>
      </c>
      <c r="V150" s="562"/>
    </row>
    <row r="151" spans="1:22" s="525" customFormat="1" ht="15" customHeight="1">
      <c r="A151" s="51"/>
      <c r="B151" s="934"/>
      <c r="C151" s="890"/>
      <c r="D151" s="900"/>
      <c r="E151" s="901">
        <v>1.729895E-3</v>
      </c>
      <c r="F151" s="464" t="s">
        <v>96</v>
      </c>
      <c r="G151" s="521">
        <f>+E150*$D$8</f>
        <v>2.38379531</v>
      </c>
      <c r="H151" s="86"/>
      <c r="I151" s="82">
        <f>G151+H151+K150</f>
        <v>8.4595222222194622E-4</v>
      </c>
      <c r="J151" s="387"/>
      <c r="K151" s="94">
        <f t="shared" si="270"/>
        <v>8.4595222222194622E-4</v>
      </c>
      <c r="L151" s="83">
        <f t="shared" si="321"/>
        <v>0</v>
      </c>
      <c r="M151" s="510">
        <v>43564</v>
      </c>
      <c r="N151" s="902"/>
      <c r="O151" s="902"/>
      <c r="P151" s="902"/>
      <c r="Q151" s="902"/>
      <c r="R151" s="902"/>
      <c r="S151" s="848"/>
      <c r="T151" s="848"/>
      <c r="V151" s="562"/>
    </row>
    <row r="152" spans="1:22" s="525" customFormat="1" ht="15" customHeight="1">
      <c r="A152" s="51">
        <v>35</v>
      </c>
      <c r="B152" s="934"/>
      <c r="C152" s="889" t="s">
        <v>340</v>
      </c>
      <c r="D152" s="900" t="s">
        <v>341</v>
      </c>
      <c r="E152" s="901">
        <v>5.6303055000000001E-3</v>
      </c>
      <c r="F152" s="464" t="s">
        <v>35</v>
      </c>
      <c r="G152" s="521">
        <f>+E152*$D$6</f>
        <v>13.490211978</v>
      </c>
      <c r="H152" s="86">
        <v>-21.248999999999999</v>
      </c>
      <c r="I152" s="82">
        <f>G152+H152</f>
        <v>-7.7587880219999992</v>
      </c>
      <c r="J152" s="516"/>
      <c r="K152" s="94">
        <f t="shared" si="270"/>
        <v>-7.7587880219999992</v>
      </c>
      <c r="L152" s="83">
        <f t="shared" si="321"/>
        <v>0</v>
      </c>
      <c r="M152" s="510">
        <v>43508</v>
      </c>
      <c r="N152" s="902">
        <f t="shared" ref="N152:O152" si="342">G152+G153</f>
        <v>21.248772957</v>
      </c>
      <c r="O152" s="902">
        <f t="shared" si="342"/>
        <v>-21.248999999999999</v>
      </c>
      <c r="P152" s="902">
        <f t="shared" ref="P152" si="343">N152+O152</f>
        <v>-2.2704299999887212E-4</v>
      </c>
      <c r="Q152" s="902">
        <f t="shared" ref="Q152" si="344">J152+J153</f>
        <v>0</v>
      </c>
      <c r="R152" s="902">
        <f t="shared" ref="R152" si="345">P152-Q152</f>
        <v>-2.2704299999887212E-4</v>
      </c>
      <c r="S152" s="848">
        <f t="shared" ref="S152" si="346">Q152/P152</f>
        <v>0</v>
      </c>
      <c r="T152" s="848">
        <f>(100%-+(R152/N152))</f>
        <v>1.0000106849934562</v>
      </c>
      <c r="V152" s="562"/>
    </row>
    <row r="153" spans="1:22" s="525" customFormat="1" ht="15" customHeight="1">
      <c r="A153" s="51"/>
      <c r="B153" s="934"/>
      <c r="C153" s="890"/>
      <c r="D153" s="900"/>
      <c r="E153" s="901">
        <v>5.6303055000000001E-3</v>
      </c>
      <c r="F153" s="464" t="s">
        <v>96</v>
      </c>
      <c r="G153" s="521">
        <f>+E152*$D$8</f>
        <v>7.7585609790000003</v>
      </c>
      <c r="H153" s="86"/>
      <c r="I153" s="82">
        <f>G153+H153+K152</f>
        <v>-2.2704299999887212E-4</v>
      </c>
      <c r="J153" s="387"/>
      <c r="K153" s="94">
        <f t="shared" si="270"/>
        <v>-2.2704299999887212E-4</v>
      </c>
      <c r="L153" s="83">
        <f t="shared" si="321"/>
        <v>0</v>
      </c>
      <c r="M153" s="510">
        <v>43508</v>
      </c>
      <c r="N153" s="902"/>
      <c r="O153" s="902"/>
      <c r="P153" s="902"/>
      <c r="Q153" s="902"/>
      <c r="R153" s="902"/>
      <c r="S153" s="848"/>
      <c r="T153" s="848"/>
      <c r="V153" s="562"/>
    </row>
    <row r="154" spans="1:22" s="525" customFormat="1" ht="15" customHeight="1">
      <c r="A154" s="51">
        <v>36</v>
      </c>
      <c r="B154" s="934"/>
      <c r="C154" s="889" t="s">
        <v>351</v>
      </c>
      <c r="D154" s="900"/>
      <c r="E154" s="901">
        <v>8.2242600000000002E-4</v>
      </c>
      <c r="F154" s="464" t="s">
        <v>35</v>
      </c>
      <c r="G154" s="521">
        <f>+E154*$D$6</f>
        <v>1.970532696</v>
      </c>
      <c r="H154" s="86"/>
      <c r="I154" s="82">
        <f>G154+H154</f>
        <v>1.970532696</v>
      </c>
      <c r="J154" s="516">
        <v>3.1033333333333331</v>
      </c>
      <c r="K154" s="94">
        <f t="shared" si="184"/>
        <v>-1.132800637333333</v>
      </c>
      <c r="L154" s="83">
        <f t="shared" ref="L154:L157" si="347">J154/I154</f>
        <v>1.574870256978133</v>
      </c>
      <c r="M154" s="510">
        <v>43564</v>
      </c>
      <c r="N154" s="902">
        <f>G154+G155</f>
        <v>3.1038357240000001</v>
      </c>
      <c r="O154" s="902">
        <f>H154+H155</f>
        <v>0</v>
      </c>
      <c r="P154" s="902">
        <f t="shared" ref="P154" si="348">N154+O154</f>
        <v>3.1038357240000001</v>
      </c>
      <c r="Q154" s="902">
        <f>J154+J155</f>
        <v>3.1033333333333331</v>
      </c>
      <c r="R154" s="902">
        <f t="shared" ref="R154" si="349">P154-Q154</f>
        <v>5.0239066666701859E-4</v>
      </c>
      <c r="S154" s="848">
        <f>Q154/P154</f>
        <v>0.99983813877043093</v>
      </c>
      <c r="T154" s="848">
        <f t="shared" ref="T154:T156" si="350">(100%-+(R154/N154))</f>
        <v>0.99983813877043093</v>
      </c>
      <c r="V154" s="562"/>
    </row>
    <row r="155" spans="1:22" s="525" customFormat="1" ht="15" customHeight="1">
      <c r="A155" s="51"/>
      <c r="B155" s="934"/>
      <c r="C155" s="890"/>
      <c r="D155" s="900"/>
      <c r="E155" s="901">
        <v>8.2242600000000002E-4</v>
      </c>
      <c r="F155" s="464" t="s">
        <v>96</v>
      </c>
      <c r="G155" s="521">
        <f>+E154*$D$8</f>
        <v>1.133303028</v>
      </c>
      <c r="H155" s="86"/>
      <c r="I155" s="82">
        <f>G155+H155+K154</f>
        <v>5.0239066666701859E-4</v>
      </c>
      <c r="J155" s="387"/>
      <c r="K155" s="94">
        <f>I155-J155</f>
        <v>5.0239066666701859E-4</v>
      </c>
      <c r="L155" s="83">
        <f t="shared" si="347"/>
        <v>0</v>
      </c>
      <c r="M155" s="510">
        <v>43564</v>
      </c>
      <c r="N155" s="902"/>
      <c r="O155" s="902"/>
      <c r="P155" s="902"/>
      <c r="Q155" s="902"/>
      <c r="R155" s="902"/>
      <c r="S155" s="848"/>
      <c r="T155" s="848"/>
      <c r="V155" s="562"/>
    </row>
    <row r="156" spans="1:22" s="525" customFormat="1" ht="15" customHeight="1">
      <c r="A156" s="51"/>
      <c r="B156" s="532" t="s">
        <v>352</v>
      </c>
      <c r="C156" s="552"/>
      <c r="D156" s="537"/>
      <c r="E156" s="941">
        <f>SUM(E88:E155)</f>
        <v>0.57615809879999991</v>
      </c>
      <c r="F156" s="461" t="s">
        <v>35</v>
      </c>
      <c r="G156" s="528">
        <f>G88+G90+G106+G132+G128+G136+G140+G130+G118+G108+G100+G120+G112+G96+G110+G126+G94+G124+G102+G114+G104+G138+G122+G116+G142+G144+G92+G152+G98+G134++G148+G150+G146+G154</f>
        <v>732.24207845960007</v>
      </c>
      <c r="H156" s="210">
        <f>H88+H90+H106+H132+H128+H136+H140+H130+H118+H108+H100+H120+H112+H96+H110+H126+H94+H124+H102+H114+H104+H138+H122+H116+H142+H144+H92+H152+H98+H134++H148+H150+H146+H154</f>
        <v>-1032.2440000000001</v>
      </c>
      <c r="I156" s="210">
        <f>+G156+H156</f>
        <v>-300.00192154040008</v>
      </c>
      <c r="J156" s="749">
        <f>J88+J90+J106+J132+J128+J136+J140+J130+J118+J108+J100+J120+J112+J96+J110+J126+J94+J124+J102+J114+J104+J138+J122+J116+J142+J144+J92+J152+J98+J134++J148+J150+J146+J154</f>
        <v>44.227222222222224</v>
      </c>
      <c r="K156" s="553">
        <f t="shared" si="184"/>
        <v>-344.2291437626223</v>
      </c>
      <c r="L156" s="210">
        <f t="shared" si="347"/>
        <v>-0.14742312980907463</v>
      </c>
      <c r="M156" s="925" t="s">
        <v>30</v>
      </c>
      <c r="N156" s="922">
        <f>SUM(N88:N155)</f>
        <v>1111.4072624843996</v>
      </c>
      <c r="O156" s="922">
        <f>SUM(O88:O155)</f>
        <v>-1032.2440000000001</v>
      </c>
      <c r="P156" s="922">
        <f>+N156+O156</f>
        <v>79.163262484399411</v>
      </c>
      <c r="Q156" s="922">
        <f>SUM(Q88:Q155)</f>
        <v>44.227222222222217</v>
      </c>
      <c r="R156" s="922">
        <f>+P156-Q156</f>
        <v>34.936040262177194</v>
      </c>
      <c r="S156" s="923">
        <f t="shared" ref="S156" si="351">Q156/P156</f>
        <v>0.5586836726308243</v>
      </c>
      <c r="T156" s="883">
        <f t="shared" si="350"/>
        <v>0.96856594207951963</v>
      </c>
    </row>
    <row r="157" spans="1:22" s="525" customFormat="1" ht="15" customHeight="1">
      <c r="A157" s="51"/>
      <c r="B157" s="534"/>
      <c r="C157" s="554"/>
      <c r="D157" s="543"/>
      <c r="E157" s="941"/>
      <c r="F157" s="461" t="s">
        <v>96</v>
      </c>
      <c r="G157" s="528">
        <f>G89+G91+G107+G133+G129+G137+G141+G131+G119+G109+G101+G121+G113+G97+G111+G127+G95+G125+G103+G115+G105+G139+G123+G117+G143+G145+G93+G153+G99+G135++G149+G151+G147+G155</f>
        <v>379.16518402480011</v>
      </c>
      <c r="H157" s="210">
        <f>H89+H91+H107+H133+H129+H137+H141+H131+H119+H109+H101+H121+H113+H97+H111+H127+H95+H125+H103+H115+H105+H139+H123+H117+H143+H145+H93+H153+H99+H135++H149+H151+H147+H155</f>
        <v>0</v>
      </c>
      <c r="I157" s="210">
        <f>G157+H157+K156</f>
        <v>34.936040262177812</v>
      </c>
      <c r="J157" s="210">
        <f>J89+J91+J107+J133+J129+J137+J141+J131+J119+J109+J101+J121+J113+J97+J111+J127+J95+J125+J103+J115+J105+J139+J123+J117+J143+J145+J93+J153+J99+J135++J149+J151+J147+J155</f>
        <v>0</v>
      </c>
      <c r="K157" s="553">
        <f>I157-J157</f>
        <v>34.936040262177812</v>
      </c>
      <c r="L157" s="210">
        <f t="shared" si="347"/>
        <v>0</v>
      </c>
      <c r="M157" s="925"/>
      <c r="N157" s="922"/>
      <c r="O157" s="922"/>
      <c r="P157" s="922"/>
      <c r="Q157" s="922"/>
      <c r="R157" s="922"/>
      <c r="S157" s="923"/>
      <c r="T157" s="883"/>
    </row>
    <row r="158" spans="1:22" s="1" customFormat="1" ht="15" customHeight="1">
      <c r="A158" s="51"/>
      <c r="B158" s="555"/>
      <c r="C158" s="54"/>
      <c r="D158" s="51"/>
      <c r="E158" s="51"/>
      <c r="F158" s="3"/>
      <c r="G158" s="52"/>
      <c r="H158" s="51"/>
      <c r="I158" s="51"/>
      <c r="J158" s="51"/>
      <c r="K158" s="51"/>
      <c r="L158" s="160"/>
      <c r="M158" s="67"/>
      <c r="N158" s="67"/>
      <c r="O158" s="67"/>
      <c r="P158" s="67"/>
      <c r="Q158" s="67"/>
      <c r="R158" s="67"/>
      <c r="S158" s="67"/>
      <c r="T158" s="966"/>
      <c r="V158" s="525"/>
    </row>
    <row r="159" spans="1:22" s="1" customFormat="1" ht="15" customHeight="1">
      <c r="A159" s="51"/>
      <c r="B159" s="51"/>
      <c r="C159" s="54"/>
      <c r="D159" s="51"/>
      <c r="E159" s="51"/>
      <c r="F159" s="3"/>
      <c r="G159" s="51"/>
      <c r="H159" s="327">
        <f>+H156-H148-H122-H124</f>
        <v>-873.09</v>
      </c>
      <c r="I159" s="51"/>
      <c r="J159" s="51"/>
      <c r="K159" s="51"/>
      <c r="L159" s="3"/>
      <c r="M159" s="51"/>
      <c r="N159" s="51"/>
      <c r="O159" s="51"/>
      <c r="P159" s="51"/>
      <c r="Q159" s="51"/>
      <c r="R159" s="51"/>
      <c r="S159" s="51"/>
      <c r="T159" s="966"/>
      <c r="V159" s="525"/>
    </row>
    <row r="160" spans="1:22" s="525" customFormat="1" ht="15" customHeight="1">
      <c r="A160" s="51"/>
      <c r="B160" s="512" t="s">
        <v>240</v>
      </c>
      <c r="C160" s="726" t="s">
        <v>241</v>
      </c>
      <c r="D160" s="697" t="s">
        <v>242</v>
      </c>
      <c r="E160" s="727" t="s">
        <v>243</v>
      </c>
      <c r="F160" s="697" t="s">
        <v>244</v>
      </c>
      <c r="G160" s="728" t="s">
        <v>236</v>
      </c>
      <c r="H160" s="722" t="s">
        <v>4</v>
      </c>
      <c r="I160" s="697" t="s">
        <v>5</v>
      </c>
      <c r="J160" s="697" t="s">
        <v>237</v>
      </c>
      <c r="K160" s="697" t="s">
        <v>45</v>
      </c>
      <c r="L160" s="512" t="s">
        <v>46</v>
      </c>
      <c r="M160" s="512" t="s">
        <v>76</v>
      </c>
      <c r="N160" s="697" t="s">
        <v>245</v>
      </c>
      <c r="O160" s="697" t="s">
        <v>4</v>
      </c>
      <c r="P160" s="697" t="s">
        <v>5</v>
      </c>
      <c r="Q160" s="697" t="s">
        <v>6</v>
      </c>
      <c r="R160" s="697" t="s">
        <v>7</v>
      </c>
      <c r="S160" s="729" t="s">
        <v>460</v>
      </c>
      <c r="T160" s="730" t="s">
        <v>459</v>
      </c>
    </row>
    <row r="161" spans="1:22" s="525" customFormat="1" ht="15" customHeight="1">
      <c r="A161" s="51">
        <v>1</v>
      </c>
      <c r="B161" s="985" t="s">
        <v>353</v>
      </c>
      <c r="C161" s="916" t="s">
        <v>461</v>
      </c>
      <c r="D161" s="438" t="s">
        <v>359</v>
      </c>
      <c r="E161" s="924">
        <v>2.11414194E-2</v>
      </c>
      <c r="F161" s="88" t="s">
        <v>35</v>
      </c>
      <c r="G161" s="522">
        <f>+E161*$D$6</f>
        <v>50.654840882400002</v>
      </c>
      <c r="H161" s="564">
        <f>-61.342-18.446</f>
        <v>-79.787999999999997</v>
      </c>
      <c r="I161" s="89">
        <f>G161+H161</f>
        <v>-29.133159117599995</v>
      </c>
      <c r="J161" s="725"/>
      <c r="K161" s="93">
        <f t="shared" ref="K161:K166" si="352">I161-J161</f>
        <v>-29.133159117599995</v>
      </c>
      <c r="L161" s="96">
        <f t="shared" ref="L161:L166" si="353">J161/I161</f>
        <v>0</v>
      </c>
      <c r="M161" s="731">
        <v>43556</v>
      </c>
      <c r="N161" s="894">
        <f>G161+G162</f>
        <v>79.787716815600007</v>
      </c>
      <c r="O161" s="894">
        <f>H161+H162</f>
        <v>-79.787999999999997</v>
      </c>
      <c r="P161" s="894">
        <f>N161+O161</f>
        <v>-2.8318439998997746E-4</v>
      </c>
      <c r="Q161" s="894">
        <f>J161+J162</f>
        <v>0</v>
      </c>
      <c r="R161" s="894">
        <f>P161-Q161</f>
        <v>-2.8318439998997746E-4</v>
      </c>
      <c r="S161" s="920">
        <f>Q161/P161</f>
        <v>0</v>
      </c>
      <c r="T161" s="920">
        <f t="shared" ref="T161:T195" si="354">(100%-+(R161/N161))</f>
        <v>1.0000035492230044</v>
      </c>
      <c r="V161" s="562"/>
    </row>
    <row r="162" spans="1:22" s="525" customFormat="1" ht="15" customHeight="1">
      <c r="A162" s="51"/>
      <c r="B162" s="986"/>
      <c r="C162" s="886"/>
      <c r="D162" s="463"/>
      <c r="E162" s="895"/>
      <c r="F162" s="464" t="s">
        <v>96</v>
      </c>
      <c r="G162" s="523">
        <f>+E161*$D$8</f>
        <v>29.132875933200001</v>
      </c>
      <c r="H162" s="86"/>
      <c r="I162" s="82">
        <f>G162+H162+K161</f>
        <v>-2.8318439999353018E-4</v>
      </c>
      <c r="J162" s="387"/>
      <c r="K162" s="94">
        <f t="shared" si="352"/>
        <v>-2.8318439999353018E-4</v>
      </c>
      <c r="L162" s="83">
        <f t="shared" si="353"/>
        <v>0</v>
      </c>
      <c r="M162" s="509">
        <v>43556</v>
      </c>
      <c r="N162" s="906"/>
      <c r="O162" s="906"/>
      <c r="P162" s="906"/>
      <c r="Q162" s="906"/>
      <c r="R162" s="906"/>
      <c r="S162" s="921"/>
      <c r="T162" s="921"/>
      <c r="V162" s="562"/>
    </row>
    <row r="163" spans="1:22" s="525" customFormat="1" ht="15" customHeight="1">
      <c r="A163" s="51">
        <v>2</v>
      </c>
      <c r="B163" s="986"/>
      <c r="C163" s="885" t="s">
        <v>355</v>
      </c>
      <c r="D163" s="465">
        <v>4410</v>
      </c>
      <c r="E163" s="895">
        <v>9.2118057000000007E-3</v>
      </c>
      <c r="F163" s="464" t="s">
        <v>35</v>
      </c>
      <c r="G163" s="523">
        <f>+E163*$D$6</f>
        <v>22.071486457200002</v>
      </c>
      <c r="H163" s="86">
        <v>-34.765000000000001</v>
      </c>
      <c r="I163" s="82">
        <f>G163+H163</f>
        <v>-12.693513542799998</v>
      </c>
      <c r="J163" s="516"/>
      <c r="K163" s="94">
        <f>I163-J163</f>
        <v>-12.693513542799998</v>
      </c>
      <c r="L163" s="83">
        <f t="shared" si="353"/>
        <v>0</v>
      </c>
      <c r="M163" s="509">
        <v>43524</v>
      </c>
      <c r="N163" s="906">
        <f t="shared" ref="N163" si="355">G163+G164</f>
        <v>34.765354711800001</v>
      </c>
      <c r="O163" s="906">
        <f>H163+H164</f>
        <v>-34.765000000000001</v>
      </c>
      <c r="P163" s="906">
        <f t="shared" ref="P163" si="356">N163+O163</f>
        <v>3.5471180000001823E-4</v>
      </c>
      <c r="Q163" s="906">
        <f t="shared" ref="Q163" si="357">J163+J164</f>
        <v>0</v>
      </c>
      <c r="R163" s="906">
        <f t="shared" ref="R163" si="358">P163-Q163</f>
        <v>3.5471180000001823E-4</v>
      </c>
      <c r="S163" s="921">
        <f t="shared" ref="S163" si="359">Q163/P163</f>
        <v>0</v>
      </c>
      <c r="T163" s="921">
        <f t="shared" si="354"/>
        <v>0.9999897969745184</v>
      </c>
      <c r="V163" s="562"/>
    </row>
    <row r="164" spans="1:22" s="525" customFormat="1" ht="15" customHeight="1">
      <c r="A164" s="51"/>
      <c r="B164" s="986"/>
      <c r="C164" s="886"/>
      <c r="D164" s="463"/>
      <c r="E164" s="895">
        <v>9.2118057000000007E-3</v>
      </c>
      <c r="F164" s="464" t="s">
        <v>96</v>
      </c>
      <c r="G164" s="523">
        <f>+E163*$D$8</f>
        <v>12.693868254600002</v>
      </c>
      <c r="H164" s="86"/>
      <c r="I164" s="82">
        <f>G164+H164+K163</f>
        <v>3.5471180000357094E-4</v>
      </c>
      <c r="J164" s="387"/>
      <c r="K164" s="94">
        <f t="shared" si="352"/>
        <v>3.5471180000357094E-4</v>
      </c>
      <c r="L164" s="83">
        <f>J164/I164</f>
        <v>0</v>
      </c>
      <c r="M164" s="509">
        <v>43524</v>
      </c>
      <c r="N164" s="906"/>
      <c r="O164" s="906"/>
      <c r="P164" s="906"/>
      <c r="Q164" s="906"/>
      <c r="R164" s="906"/>
      <c r="S164" s="921"/>
      <c r="T164" s="921"/>
      <c r="V164" s="562"/>
    </row>
    <row r="165" spans="1:22" s="525" customFormat="1" ht="15" customHeight="1">
      <c r="A165" s="51">
        <v>3</v>
      </c>
      <c r="B165" s="986"/>
      <c r="C165" s="885" t="s">
        <v>354</v>
      </c>
      <c r="D165" s="465">
        <v>4313</v>
      </c>
      <c r="E165" s="924">
        <v>8.0575730999999998E-3</v>
      </c>
      <c r="F165" s="88" t="s">
        <v>35</v>
      </c>
      <c r="G165" s="522">
        <f>+E165*$D$6</f>
        <v>19.305945147599999</v>
      </c>
      <c r="H165" s="86">
        <f>-30.409</f>
        <v>-30.408999999999999</v>
      </c>
      <c r="I165" s="82">
        <f>G165+H165</f>
        <v>-11.1030548524</v>
      </c>
      <c r="J165" s="516"/>
      <c r="K165" s="93">
        <f t="shared" si="352"/>
        <v>-11.1030548524</v>
      </c>
      <c r="L165" s="96">
        <f t="shared" si="353"/>
        <v>0</v>
      </c>
      <c r="M165" s="509">
        <v>43524</v>
      </c>
      <c r="N165" s="906">
        <f t="shared" ref="N165:O165" si="360">G165+G166</f>
        <v>30.409280879400001</v>
      </c>
      <c r="O165" s="906">
        <f t="shared" si="360"/>
        <v>-30.408999999999999</v>
      </c>
      <c r="P165" s="906">
        <f t="shared" ref="P165" si="361">N165+O165</f>
        <v>2.8087940000176559E-4</v>
      </c>
      <c r="Q165" s="906">
        <f t="shared" ref="Q165" si="362">J165+J166</f>
        <v>0</v>
      </c>
      <c r="R165" s="906">
        <f t="shared" ref="R165" si="363">P165-Q165</f>
        <v>2.8087940000176559E-4</v>
      </c>
      <c r="S165" s="921">
        <f t="shared" ref="S165" si="364">Q165/P165</f>
        <v>0</v>
      </c>
      <c r="T165" s="921">
        <f t="shared" si="354"/>
        <v>0.99999076336592385</v>
      </c>
      <c r="V165" s="562"/>
    </row>
    <row r="166" spans="1:22" s="525" customFormat="1" ht="15" customHeight="1">
      <c r="A166" s="51"/>
      <c r="B166" s="986"/>
      <c r="C166" s="886"/>
      <c r="D166" s="463"/>
      <c r="E166" s="895">
        <v>8.0575730999999998E-3</v>
      </c>
      <c r="F166" s="464" t="s">
        <v>96</v>
      </c>
      <c r="G166" s="523">
        <f>+E165*$D$8</f>
        <v>11.1033357318</v>
      </c>
      <c r="H166" s="86"/>
      <c r="I166" s="82">
        <f>G166+H166+K165</f>
        <v>2.8087939999998923E-4</v>
      </c>
      <c r="J166" s="387"/>
      <c r="K166" s="94">
        <f t="shared" si="352"/>
        <v>2.8087939999998923E-4</v>
      </c>
      <c r="L166" s="83">
        <f t="shared" si="353"/>
        <v>0</v>
      </c>
      <c r="M166" s="509">
        <v>43524</v>
      </c>
      <c r="N166" s="906"/>
      <c r="O166" s="906"/>
      <c r="P166" s="906"/>
      <c r="Q166" s="906"/>
      <c r="R166" s="906"/>
      <c r="S166" s="921"/>
      <c r="T166" s="921"/>
      <c r="V166" s="562"/>
    </row>
    <row r="167" spans="1:22" s="525" customFormat="1" ht="15" customHeight="1">
      <c r="A167" s="51">
        <v>4</v>
      </c>
      <c r="B167" s="986"/>
      <c r="C167" s="885" t="s">
        <v>441</v>
      </c>
      <c r="D167" s="465" t="s">
        <v>366</v>
      </c>
      <c r="E167" s="917">
        <v>1.2828120599999999E-2</v>
      </c>
      <c r="F167" s="88" t="s">
        <v>35</v>
      </c>
      <c r="G167" s="523">
        <f>+E167*$D$6</f>
        <v>30.736176957599998</v>
      </c>
      <c r="H167" s="86">
        <v>-48.412999999999997</v>
      </c>
      <c r="I167" s="82">
        <f>G167+H167</f>
        <v>-17.676823042399999</v>
      </c>
      <c r="J167" s="516"/>
      <c r="K167" s="94">
        <f t="shared" ref="K167:K194" si="365">I167-J167</f>
        <v>-17.676823042399999</v>
      </c>
      <c r="L167" s="83">
        <f t="shared" ref="L167:L196" si="366">J167/I167</f>
        <v>0</v>
      </c>
      <c r="M167" s="509">
        <v>43508</v>
      </c>
      <c r="N167" s="906">
        <f t="shared" ref="N167" si="367">G167+G168</f>
        <v>48.4133271444</v>
      </c>
      <c r="O167" s="906">
        <f>H167+H168</f>
        <v>-48.412999999999997</v>
      </c>
      <c r="P167" s="906">
        <f t="shared" ref="P167" si="368">N167+O167</f>
        <v>3.2714440000347622E-4</v>
      </c>
      <c r="Q167" s="906">
        <f t="shared" ref="Q167" si="369">J167+J168</f>
        <v>0</v>
      </c>
      <c r="R167" s="906">
        <f t="shared" ref="R167" si="370">P167-Q167</f>
        <v>3.2714440000347622E-4</v>
      </c>
      <c r="S167" s="921">
        <f t="shared" ref="S167" si="371">Q167/P167</f>
        <v>0</v>
      </c>
      <c r="T167" s="921">
        <f t="shared" si="354"/>
        <v>0.99999324267883871</v>
      </c>
      <c r="V167" s="562"/>
    </row>
    <row r="168" spans="1:22" s="525" customFormat="1" ht="15" customHeight="1">
      <c r="A168" s="51"/>
      <c r="B168" s="986"/>
      <c r="C168" s="886"/>
      <c r="D168" s="463"/>
      <c r="E168" s="918"/>
      <c r="F168" s="464" t="s">
        <v>96</v>
      </c>
      <c r="G168" s="523">
        <f>+E167*$D$8</f>
        <v>17.677150186799999</v>
      </c>
      <c r="H168" s="86"/>
      <c r="I168" s="82">
        <f>G168+H168+K167</f>
        <v>3.2714439999992351E-4</v>
      </c>
      <c r="J168" s="387"/>
      <c r="K168" s="94">
        <f t="shared" si="365"/>
        <v>3.2714439999992351E-4</v>
      </c>
      <c r="L168" s="83">
        <f t="shared" si="366"/>
        <v>0</v>
      </c>
      <c r="M168" s="509">
        <v>43508</v>
      </c>
      <c r="N168" s="906"/>
      <c r="O168" s="906"/>
      <c r="P168" s="906"/>
      <c r="Q168" s="906"/>
      <c r="R168" s="906"/>
      <c r="S168" s="921"/>
      <c r="T168" s="921"/>
      <c r="V168" s="562"/>
    </row>
    <row r="169" spans="1:22" s="525" customFormat="1" ht="15" customHeight="1">
      <c r="A169" s="51">
        <v>5</v>
      </c>
      <c r="B169" s="986"/>
      <c r="C169" s="885" t="s">
        <v>386</v>
      </c>
      <c r="D169" s="465" t="s">
        <v>369</v>
      </c>
      <c r="E169" s="914">
        <v>1.521573E-2</v>
      </c>
      <c r="F169" s="88" t="s">
        <v>35</v>
      </c>
      <c r="G169" s="523">
        <f>+E169*$D$6</f>
        <v>36.456889080000003</v>
      </c>
      <c r="H169" s="86">
        <v>-57.423999999999999</v>
      </c>
      <c r="I169" s="82">
        <f>G169+H169</f>
        <v>-20.967110919999996</v>
      </c>
      <c r="J169" s="516"/>
      <c r="K169" s="94">
        <f>I169-J169</f>
        <v>-20.967110919999996</v>
      </c>
      <c r="L169" s="83">
        <f>J169/I169</f>
        <v>0</v>
      </c>
      <c r="M169" s="509">
        <v>43508</v>
      </c>
      <c r="N169" s="893">
        <f t="shared" ref="N169:O169" si="372">G169+G170</f>
        <v>57.424165020000004</v>
      </c>
      <c r="O169" s="893">
        <f t="shared" si="372"/>
        <v>-57.423999999999999</v>
      </c>
      <c r="P169" s="893">
        <f t="shared" ref="P169" si="373">N169+O169</f>
        <v>1.6502000000429007E-4</v>
      </c>
      <c r="Q169" s="893">
        <f t="shared" ref="Q169" si="374">J169+J170</f>
        <v>0</v>
      </c>
      <c r="R169" s="893">
        <f t="shared" ref="R169" si="375">P169-Q169</f>
        <v>1.6502000000429007E-4</v>
      </c>
      <c r="S169" s="919">
        <f t="shared" ref="S169" si="376">Q169/P169</f>
        <v>0</v>
      </c>
      <c r="T169" s="919">
        <f>(100%-+(R169/N169))</f>
        <v>0.99999712629691795</v>
      </c>
      <c r="V169" s="562"/>
    </row>
    <row r="170" spans="1:22" s="525" customFormat="1" ht="15" customHeight="1">
      <c r="A170" s="51"/>
      <c r="B170" s="986"/>
      <c r="C170" s="886"/>
      <c r="D170" s="463"/>
      <c r="E170" s="915">
        <v>1.521573E-2</v>
      </c>
      <c r="F170" s="464" t="s">
        <v>96</v>
      </c>
      <c r="G170" s="523">
        <f>+E169*$D$8</f>
        <v>20.96727594</v>
      </c>
      <c r="H170" s="86"/>
      <c r="I170" s="82">
        <f>G170+H170+K169</f>
        <v>1.6502000000429007E-4</v>
      </c>
      <c r="J170" s="387"/>
      <c r="K170" s="94">
        <f>I170-J170</f>
        <v>1.6502000000429007E-4</v>
      </c>
      <c r="L170" s="83">
        <f>J170/I170</f>
        <v>0</v>
      </c>
      <c r="M170" s="509">
        <v>43508</v>
      </c>
      <c r="N170" s="894"/>
      <c r="O170" s="894"/>
      <c r="P170" s="894"/>
      <c r="Q170" s="894"/>
      <c r="R170" s="894"/>
      <c r="S170" s="920"/>
      <c r="T170" s="920"/>
      <c r="V170" s="562"/>
    </row>
    <row r="171" spans="1:22" s="525" customFormat="1" ht="15" customHeight="1">
      <c r="A171" s="51">
        <v>6</v>
      </c>
      <c r="B171" s="986"/>
      <c r="C171" s="885" t="s">
        <v>381</v>
      </c>
      <c r="D171" s="465" t="s">
        <v>363</v>
      </c>
      <c r="E171" s="914">
        <v>2.39364964E-2</v>
      </c>
      <c r="F171" s="88" t="s">
        <v>35</v>
      </c>
      <c r="G171" s="523">
        <f>+E171*$D$6</f>
        <v>57.3518453744</v>
      </c>
      <c r="H171" s="86">
        <v>-90.335999999999999</v>
      </c>
      <c r="I171" s="82">
        <f>G171+H171</f>
        <v>-32.984154625599999</v>
      </c>
      <c r="J171" s="516"/>
      <c r="K171" s="94">
        <f>I171-J171</f>
        <v>-32.984154625599999</v>
      </c>
      <c r="L171" s="83">
        <f>J171/I171</f>
        <v>0</v>
      </c>
      <c r="M171" s="509">
        <v>43508</v>
      </c>
      <c r="N171" s="893">
        <f t="shared" ref="N171:O171" si="377">G171+G172</f>
        <v>90.336337413600006</v>
      </c>
      <c r="O171" s="893">
        <f t="shared" si="377"/>
        <v>-90.335999999999999</v>
      </c>
      <c r="P171" s="893">
        <f t="shared" ref="P171" si="378">N171+O171</f>
        <v>3.3741360000760778E-4</v>
      </c>
      <c r="Q171" s="893">
        <f t="shared" ref="Q171" si="379">J171+J172</f>
        <v>0</v>
      </c>
      <c r="R171" s="893">
        <f t="shared" ref="R171" si="380">P171-Q171</f>
        <v>3.3741360000760778E-4</v>
      </c>
      <c r="S171" s="919">
        <f t="shared" ref="S171" si="381">Q171/P171</f>
        <v>0</v>
      </c>
      <c r="T171" s="919">
        <f>(100%-+(R171/N171))</f>
        <v>0.99999626491830784</v>
      </c>
      <c r="V171" s="562"/>
    </row>
    <row r="172" spans="1:22" s="525" customFormat="1" ht="15" customHeight="1">
      <c r="A172" s="51"/>
      <c r="B172" s="986"/>
      <c r="C172" s="886"/>
      <c r="D172" s="463"/>
      <c r="E172" s="915">
        <v>5.5353395999999996E-3</v>
      </c>
      <c r="F172" s="464" t="s">
        <v>96</v>
      </c>
      <c r="G172" s="523">
        <f>+E171*$D$8</f>
        <v>32.984492039199999</v>
      </c>
      <c r="H172" s="86"/>
      <c r="I172" s="82">
        <f>G172+H172+K171</f>
        <v>3.3741360000050236E-4</v>
      </c>
      <c r="J172" s="387"/>
      <c r="K172" s="94">
        <f>I172-J172</f>
        <v>3.3741360000050236E-4</v>
      </c>
      <c r="L172" s="83">
        <f>J172/I172</f>
        <v>0</v>
      </c>
      <c r="M172" s="509">
        <v>43508</v>
      </c>
      <c r="N172" s="894"/>
      <c r="O172" s="894"/>
      <c r="P172" s="894"/>
      <c r="Q172" s="894"/>
      <c r="R172" s="894"/>
      <c r="S172" s="920"/>
      <c r="T172" s="920"/>
      <c r="V172" s="562"/>
    </row>
    <row r="173" spans="1:22" s="525" customFormat="1" ht="15" customHeight="1">
      <c r="A173" s="51">
        <v>7</v>
      </c>
      <c r="B173" s="986"/>
      <c r="C173" s="885" t="s">
        <v>442</v>
      </c>
      <c r="D173" s="465" t="s">
        <v>368</v>
      </c>
      <c r="E173" s="917">
        <v>5.5353395999999996E-3</v>
      </c>
      <c r="F173" s="88" t="s">
        <v>35</v>
      </c>
      <c r="G173" s="523">
        <f>+E173*$D$6</f>
        <v>13.262673681599999</v>
      </c>
      <c r="H173" s="86">
        <v>-20.89</v>
      </c>
      <c r="I173" s="82">
        <f>G173+H173</f>
        <v>-7.6273263184000015</v>
      </c>
      <c r="J173" s="516"/>
      <c r="K173" s="94">
        <f t="shared" si="365"/>
        <v>-7.6273263184000015</v>
      </c>
      <c r="L173" s="83">
        <f t="shared" si="366"/>
        <v>0</v>
      </c>
      <c r="M173" s="509">
        <v>43508</v>
      </c>
      <c r="N173" s="906">
        <f t="shared" ref="N173:O173" si="382">G173+G174</f>
        <v>20.890371650399999</v>
      </c>
      <c r="O173" s="906">
        <f t="shared" si="382"/>
        <v>-20.89</v>
      </c>
      <c r="P173" s="906">
        <f t="shared" ref="P173" si="383">N173+O173</f>
        <v>3.7165039999820237E-4</v>
      </c>
      <c r="Q173" s="906">
        <f t="shared" ref="Q173" si="384">J173+J174</f>
        <v>0</v>
      </c>
      <c r="R173" s="906">
        <f t="shared" ref="R173" si="385">P173-Q173</f>
        <v>3.7165039999820237E-4</v>
      </c>
      <c r="S173" s="921">
        <f t="shared" ref="S173" si="386">Q173/P173</f>
        <v>0</v>
      </c>
      <c r="T173" s="921">
        <f t="shared" si="354"/>
        <v>0.99998220948836058</v>
      </c>
      <c r="V173" s="562"/>
    </row>
    <row r="174" spans="1:22" s="525" customFormat="1" ht="15" customHeight="1">
      <c r="A174" s="51"/>
      <c r="B174" s="986"/>
      <c r="C174" s="886"/>
      <c r="D174" s="463"/>
      <c r="E174" s="918"/>
      <c r="F174" s="464" t="s">
        <v>96</v>
      </c>
      <c r="G174" s="523">
        <f>+E173*$D$8</f>
        <v>7.6276979687999997</v>
      </c>
      <c r="H174" s="86"/>
      <c r="I174" s="82">
        <f>G174+H174+K173</f>
        <v>3.7165039999820237E-4</v>
      </c>
      <c r="J174" s="387"/>
      <c r="K174" s="94">
        <f t="shared" si="365"/>
        <v>3.7165039999820237E-4</v>
      </c>
      <c r="L174" s="83">
        <f t="shared" si="366"/>
        <v>0</v>
      </c>
      <c r="M174" s="509">
        <v>43508</v>
      </c>
      <c r="N174" s="906"/>
      <c r="O174" s="906"/>
      <c r="P174" s="906"/>
      <c r="Q174" s="906"/>
      <c r="R174" s="906"/>
      <c r="S174" s="921"/>
      <c r="T174" s="921"/>
      <c r="V174" s="562"/>
    </row>
    <row r="175" spans="1:22" s="525" customFormat="1" ht="15" customHeight="1">
      <c r="A175" s="51">
        <v>8</v>
      </c>
      <c r="B175" s="986"/>
      <c r="C175" s="885" t="s">
        <v>417</v>
      </c>
      <c r="D175" s="465" t="s">
        <v>358</v>
      </c>
      <c r="E175" s="895">
        <v>9.2013249999999998E-3</v>
      </c>
      <c r="F175" s="88" t="s">
        <v>35</v>
      </c>
      <c r="G175" s="523">
        <f>+E175*$D$6</f>
        <v>22.046374700000001</v>
      </c>
      <c r="H175" s="86">
        <f>-34.725</f>
        <v>-34.725000000000001</v>
      </c>
      <c r="I175" s="82">
        <f>+G175+H175</f>
        <v>-12.6786253</v>
      </c>
      <c r="J175" s="516"/>
      <c r="K175" s="94">
        <f t="shared" ref="K175:K190" si="387">I175-J175</f>
        <v>-12.6786253</v>
      </c>
      <c r="L175" s="83">
        <f t="shared" ref="L175:L190" si="388">J175/I175</f>
        <v>0</v>
      </c>
      <c r="M175" s="509">
        <v>43564</v>
      </c>
      <c r="N175" s="906">
        <f t="shared" ref="N175" si="389">G175+G176</f>
        <v>34.725800550000002</v>
      </c>
      <c r="O175" s="906">
        <f>H175+H176</f>
        <v>-34.725000000000001</v>
      </c>
      <c r="P175" s="906">
        <f t="shared" ref="P175" si="390">N175+O175</f>
        <v>8.0055000000101018E-4</v>
      </c>
      <c r="Q175" s="906">
        <f t="shared" ref="Q175" si="391">J175+J176</f>
        <v>0</v>
      </c>
      <c r="R175" s="906">
        <f t="shared" ref="R175" si="392">P175-Q175</f>
        <v>8.0055000000101018E-4</v>
      </c>
      <c r="S175" s="921">
        <f t="shared" ref="S175" si="393">Q175/P175</f>
        <v>0</v>
      </c>
      <c r="T175" s="921">
        <f t="shared" si="354"/>
        <v>0.99997694653579405</v>
      </c>
      <c r="V175" s="562"/>
    </row>
    <row r="176" spans="1:22" s="525" customFormat="1" ht="15" customHeight="1">
      <c r="A176" s="51"/>
      <c r="B176" s="986"/>
      <c r="C176" s="886"/>
      <c r="D176" s="463"/>
      <c r="E176" s="895">
        <v>9.2013249999999998E-3</v>
      </c>
      <c r="F176" s="464" t="s">
        <v>96</v>
      </c>
      <c r="G176" s="523">
        <f>+E175*$D$8</f>
        <v>12.679425849999999</v>
      </c>
      <c r="H176" s="86"/>
      <c r="I176" s="82">
        <f>G176+H176+K175</f>
        <v>8.0054999999923382E-4</v>
      </c>
      <c r="J176" s="387"/>
      <c r="K176" s="94">
        <f t="shared" si="387"/>
        <v>8.0054999999923382E-4</v>
      </c>
      <c r="L176" s="83">
        <f t="shared" si="388"/>
        <v>0</v>
      </c>
      <c r="M176" s="509">
        <v>43564</v>
      </c>
      <c r="N176" s="906"/>
      <c r="O176" s="906"/>
      <c r="P176" s="906"/>
      <c r="Q176" s="906"/>
      <c r="R176" s="906"/>
      <c r="S176" s="921"/>
      <c r="T176" s="921"/>
      <c r="V176" s="562"/>
    </row>
    <row r="177" spans="1:22" s="525" customFormat="1" ht="15" customHeight="1">
      <c r="A177" s="51">
        <v>9</v>
      </c>
      <c r="B177" s="986"/>
      <c r="C177" s="885" t="s">
        <v>383</v>
      </c>
      <c r="D177" s="465" t="s">
        <v>365</v>
      </c>
      <c r="E177" s="895">
        <v>1.0717428899999999E-2</v>
      </c>
      <c r="F177" s="88" t="s">
        <v>35</v>
      </c>
      <c r="G177" s="523">
        <f>+E177*$D$6</f>
        <v>25.678959644399999</v>
      </c>
      <c r="H177" s="86">
        <v>-37.067999999999998</v>
      </c>
      <c r="I177" s="82">
        <f>G177+H177</f>
        <v>-11.389040355599999</v>
      </c>
      <c r="J177" s="516"/>
      <c r="K177" s="94">
        <f t="shared" si="387"/>
        <v>-11.389040355599999</v>
      </c>
      <c r="L177" s="83">
        <f t="shared" si="388"/>
        <v>0</v>
      </c>
      <c r="M177" s="705">
        <v>43524</v>
      </c>
      <c r="N177" s="897">
        <f>G177+G178</f>
        <v>40.4475766686</v>
      </c>
      <c r="O177" s="897">
        <f>H177+H178</f>
        <v>-37.067999999999998</v>
      </c>
      <c r="P177" s="897">
        <f t="shared" ref="P177" si="394">N177+O177</f>
        <v>3.3795766686000022</v>
      </c>
      <c r="Q177" s="897">
        <f t="shared" ref="Q177" si="395">J177+J178</f>
        <v>0</v>
      </c>
      <c r="R177" s="897">
        <f t="shared" ref="R177" si="396">P177-Q177</f>
        <v>3.3795766686000022</v>
      </c>
      <c r="S177" s="907">
        <f t="shared" ref="S177" si="397">Q177/P177</f>
        <v>0</v>
      </c>
      <c r="T177" s="967">
        <f t="shared" si="354"/>
        <v>0.91644550929985347</v>
      </c>
      <c r="V177" s="562"/>
    </row>
    <row r="178" spans="1:22" s="525" customFormat="1" ht="15" customHeight="1">
      <c r="A178" s="51"/>
      <c r="B178" s="986"/>
      <c r="C178" s="886"/>
      <c r="D178" s="463"/>
      <c r="E178" s="895">
        <v>1.6824903700000001E-2</v>
      </c>
      <c r="F178" s="464" t="s">
        <v>96</v>
      </c>
      <c r="G178" s="523">
        <f>+E177*$D$8</f>
        <v>14.768617024199999</v>
      </c>
      <c r="H178" s="86"/>
      <c r="I178" s="82">
        <f>G178+H178+K177</f>
        <v>3.3795766686000004</v>
      </c>
      <c r="J178" s="387"/>
      <c r="K178" s="94">
        <f t="shared" si="387"/>
        <v>3.3795766686000004</v>
      </c>
      <c r="L178" s="83">
        <f t="shared" si="388"/>
        <v>0</v>
      </c>
      <c r="M178" s="512" t="s">
        <v>30</v>
      </c>
      <c r="N178" s="897"/>
      <c r="O178" s="897"/>
      <c r="P178" s="897"/>
      <c r="Q178" s="897"/>
      <c r="R178" s="897"/>
      <c r="S178" s="907"/>
      <c r="T178" s="967"/>
      <c r="V178" s="562"/>
    </row>
    <row r="179" spans="1:22" s="525" customFormat="1" ht="15" customHeight="1">
      <c r="A179" s="51">
        <v>10</v>
      </c>
      <c r="B179" s="986"/>
      <c r="C179" s="885" t="s">
        <v>356</v>
      </c>
      <c r="D179" s="465">
        <v>11414257</v>
      </c>
      <c r="E179" s="895">
        <v>2.5242113E-2</v>
      </c>
      <c r="F179" s="88" t="s">
        <v>35</v>
      </c>
      <c r="G179" s="523">
        <f>+E179*$D$6</f>
        <v>60.480102748</v>
      </c>
      <c r="H179" s="86">
        <f>-64.628</f>
        <v>-64.628</v>
      </c>
      <c r="I179" s="82">
        <f>G179+H179</f>
        <v>-4.1478972519999999</v>
      </c>
      <c r="J179" s="516">
        <v>6.2877777777777766</v>
      </c>
      <c r="K179" s="94">
        <f t="shared" si="387"/>
        <v>-10.435675029777777</v>
      </c>
      <c r="L179" s="687">
        <f t="shared" si="388"/>
        <v>-1.5158952586749794</v>
      </c>
      <c r="M179" s="705">
        <v>43524</v>
      </c>
      <c r="N179" s="897">
        <f t="shared" ref="N179:O179" si="398">G179+G180</f>
        <v>95.263734462000002</v>
      </c>
      <c r="O179" s="897">
        <f t="shared" si="398"/>
        <v>-64.628</v>
      </c>
      <c r="P179" s="897">
        <f t="shared" ref="P179" si="399">N179+O179</f>
        <v>30.635734462000002</v>
      </c>
      <c r="Q179" s="897">
        <f t="shared" ref="Q179" si="400">J179+J180</f>
        <v>6.2877777777777766</v>
      </c>
      <c r="R179" s="897">
        <f t="shared" ref="R179" si="401">P179-Q179</f>
        <v>24.347956684222225</v>
      </c>
      <c r="S179" s="907">
        <f t="shared" ref="S179" si="402">Q179/P179</f>
        <v>0.20524325230645343</v>
      </c>
      <c r="T179" s="967">
        <f t="shared" si="354"/>
        <v>0.74441526125627111</v>
      </c>
      <c r="V179" s="562"/>
    </row>
    <row r="180" spans="1:22" s="525" customFormat="1" ht="15" customHeight="1">
      <c r="A180" s="51"/>
      <c r="B180" s="986"/>
      <c r="C180" s="886"/>
      <c r="D180" s="463"/>
      <c r="E180" s="895">
        <v>2.52421127E-2</v>
      </c>
      <c r="F180" s="464" t="s">
        <v>96</v>
      </c>
      <c r="G180" s="523">
        <f>+E179*$D$8</f>
        <v>34.783631714000002</v>
      </c>
      <c r="H180" s="86"/>
      <c r="I180" s="82">
        <f>G180+H180+K179</f>
        <v>24.347956684222225</v>
      </c>
      <c r="J180" s="387"/>
      <c r="K180" s="94">
        <f t="shared" si="387"/>
        <v>24.347956684222225</v>
      </c>
      <c r="L180" s="83">
        <f t="shared" si="388"/>
        <v>0</v>
      </c>
      <c r="M180" s="512" t="s">
        <v>30</v>
      </c>
      <c r="N180" s="897"/>
      <c r="O180" s="897"/>
      <c r="P180" s="897"/>
      <c r="Q180" s="897"/>
      <c r="R180" s="897"/>
      <c r="S180" s="907"/>
      <c r="T180" s="967"/>
      <c r="V180" s="562"/>
    </row>
    <row r="181" spans="1:22" s="525" customFormat="1" ht="15" customHeight="1">
      <c r="A181" s="51">
        <v>11</v>
      </c>
      <c r="B181" s="986"/>
      <c r="C181" s="885" t="s">
        <v>440</v>
      </c>
      <c r="D181" s="465" t="s">
        <v>364</v>
      </c>
      <c r="E181" s="895">
        <v>1.5833384999999998E-2</v>
      </c>
      <c r="F181" s="88" t="s">
        <v>35</v>
      </c>
      <c r="G181" s="523">
        <f>+E181*$D$6</f>
        <v>37.936790459999997</v>
      </c>
      <c r="H181" s="86">
        <v>-59.755000000000003</v>
      </c>
      <c r="I181" s="82">
        <f>G181+H181</f>
        <v>-21.818209540000005</v>
      </c>
      <c r="J181" s="516"/>
      <c r="K181" s="94">
        <f t="shared" si="387"/>
        <v>-21.818209540000005</v>
      </c>
      <c r="L181" s="83">
        <f t="shared" si="388"/>
        <v>0</v>
      </c>
      <c r="M181" s="509">
        <v>43560</v>
      </c>
      <c r="N181" s="893">
        <f t="shared" ref="N181:O181" si="403">G181+G182</f>
        <v>59.755194989999993</v>
      </c>
      <c r="O181" s="893">
        <f t="shared" si="403"/>
        <v>-59.755000000000003</v>
      </c>
      <c r="P181" s="893">
        <f t="shared" ref="P181" si="404">N181+O181</f>
        <v>1.9498999999001398E-4</v>
      </c>
      <c r="Q181" s="893">
        <f t="shared" ref="Q181" si="405">J181+J182</f>
        <v>0</v>
      </c>
      <c r="R181" s="893">
        <f>P181-Q181</f>
        <v>1.9498999999001398E-4</v>
      </c>
      <c r="S181" s="919">
        <f>Q181/P181</f>
        <v>0</v>
      </c>
      <c r="T181" s="919">
        <f t="shared" si="354"/>
        <v>0.99999673685275359</v>
      </c>
      <c r="V181" s="562"/>
    </row>
    <row r="182" spans="1:22" s="525" customFormat="1" ht="15" customHeight="1">
      <c r="A182" s="51"/>
      <c r="B182" s="986"/>
      <c r="C182" s="886"/>
      <c r="D182" s="463"/>
      <c r="E182" s="980">
        <v>2.39364964E-2</v>
      </c>
      <c r="F182" s="464" t="s">
        <v>96</v>
      </c>
      <c r="G182" s="523">
        <f>+E181*$D$8</f>
        <v>21.818404529999999</v>
      </c>
      <c r="H182" s="86"/>
      <c r="I182" s="82">
        <f>G182+H182+K181</f>
        <v>1.949899999935667E-4</v>
      </c>
      <c r="J182" s="387"/>
      <c r="K182" s="94">
        <f t="shared" si="387"/>
        <v>1.949899999935667E-4</v>
      </c>
      <c r="L182" s="83">
        <f t="shared" si="388"/>
        <v>0</v>
      </c>
      <c r="M182" s="509">
        <v>43560</v>
      </c>
      <c r="N182" s="894"/>
      <c r="O182" s="894"/>
      <c r="P182" s="894"/>
      <c r="Q182" s="894"/>
      <c r="R182" s="894"/>
      <c r="S182" s="920"/>
      <c r="T182" s="920"/>
      <c r="V182" s="562"/>
    </row>
    <row r="183" spans="1:22" s="525" customFormat="1" ht="15" customHeight="1">
      <c r="A183" s="51">
        <v>12</v>
      </c>
      <c r="B183" s="986"/>
      <c r="C183" s="885" t="s">
        <v>423</v>
      </c>
      <c r="D183" s="465" t="s">
        <v>360</v>
      </c>
      <c r="E183" s="914">
        <v>3.1669227299999998E-2</v>
      </c>
      <c r="F183" s="88" t="s">
        <v>35</v>
      </c>
      <c r="G183" s="523">
        <f>+E183*$D$6</f>
        <v>75.879468610799989</v>
      </c>
      <c r="H183" s="86">
        <v>-119.51900000000001</v>
      </c>
      <c r="I183" s="82">
        <f>G183+H183</f>
        <v>-43.639531389200016</v>
      </c>
      <c r="J183" s="516">
        <v>0.33666666666666667</v>
      </c>
      <c r="K183" s="94">
        <f t="shared" si="387"/>
        <v>-43.976198055866682</v>
      </c>
      <c r="L183" s="687">
        <f t="shared" si="388"/>
        <v>-7.7147177329678083E-3</v>
      </c>
      <c r="M183" s="509">
        <v>43508</v>
      </c>
      <c r="N183" s="893">
        <f t="shared" ref="N183:O183" si="406">G183+G184</f>
        <v>119.51966383019999</v>
      </c>
      <c r="O183" s="893">
        <f t="shared" si="406"/>
        <v>-119.51900000000001</v>
      </c>
      <c r="P183" s="893">
        <f t="shared" ref="P183" si="407">N183+O183</f>
        <v>6.6383019998283999E-4</v>
      </c>
      <c r="Q183" s="893">
        <f t="shared" ref="Q183" si="408">J183+J184</f>
        <v>0.33666666666666667</v>
      </c>
      <c r="R183" s="893">
        <f t="shared" ref="R183" si="409">P183-Q183</f>
        <v>-0.33600283646668383</v>
      </c>
      <c r="S183" s="919">
        <f t="shared" ref="S183" si="410">Q183/P183</f>
        <v>507.15780432310777</v>
      </c>
      <c r="T183" s="919">
        <f t="shared" si="354"/>
        <v>1.0028112766192518</v>
      </c>
      <c r="V183" s="562"/>
    </row>
    <row r="184" spans="1:22" s="525" customFormat="1" ht="15" customHeight="1">
      <c r="A184" s="51"/>
      <c r="B184" s="986"/>
      <c r="C184" s="886"/>
      <c r="D184" s="463"/>
      <c r="E184" s="915">
        <v>3.1669227299999998E-2</v>
      </c>
      <c r="F184" s="464" t="s">
        <v>96</v>
      </c>
      <c r="G184" s="523">
        <f>+E183*$D$8</f>
        <v>43.640195219399999</v>
      </c>
      <c r="H184" s="86"/>
      <c r="I184" s="82">
        <f>G184+H184+K183</f>
        <v>-0.33600283646668316</v>
      </c>
      <c r="J184" s="387"/>
      <c r="K184" s="94">
        <f t="shared" si="387"/>
        <v>-0.33600283646668316</v>
      </c>
      <c r="L184" s="83">
        <f t="shared" si="388"/>
        <v>0</v>
      </c>
      <c r="M184" s="509">
        <v>43508</v>
      </c>
      <c r="N184" s="894"/>
      <c r="O184" s="894"/>
      <c r="P184" s="894"/>
      <c r="Q184" s="894"/>
      <c r="R184" s="894"/>
      <c r="S184" s="920"/>
      <c r="T184" s="920"/>
      <c r="V184" s="562"/>
    </row>
    <row r="185" spans="1:22" s="525" customFormat="1" ht="15" customHeight="1">
      <c r="A185" s="51">
        <v>13</v>
      </c>
      <c r="B185" s="986"/>
      <c r="C185" s="885" t="s">
        <v>380</v>
      </c>
      <c r="D185" s="465" t="s">
        <v>362</v>
      </c>
      <c r="E185" s="914">
        <v>1.83231378E-2</v>
      </c>
      <c r="F185" s="88" t="s">
        <v>35</v>
      </c>
      <c r="G185" s="523">
        <f>+E185*$D$6</f>
        <v>43.902238168799997</v>
      </c>
      <c r="H185" s="86">
        <v>-69.150999999999996</v>
      </c>
      <c r="I185" s="82">
        <f>G185+H185</f>
        <v>-25.2487618312</v>
      </c>
      <c r="J185" s="516"/>
      <c r="K185" s="94">
        <f t="shared" si="387"/>
        <v>-25.2487618312</v>
      </c>
      <c r="L185" s="83">
        <f t="shared" si="388"/>
        <v>0</v>
      </c>
      <c r="M185" s="509">
        <v>43508</v>
      </c>
      <c r="N185" s="893">
        <f t="shared" ref="N185:O185" si="411">G185+G186</f>
        <v>69.151522057199998</v>
      </c>
      <c r="O185" s="893">
        <f t="shared" si="411"/>
        <v>-69.150999999999996</v>
      </c>
      <c r="P185" s="893">
        <f t="shared" ref="P185" si="412">N185+O185</f>
        <v>5.220572000013135E-4</v>
      </c>
      <c r="Q185" s="893">
        <f t="shared" ref="Q185" si="413">J185+J186</f>
        <v>0</v>
      </c>
      <c r="R185" s="893">
        <f t="shared" ref="R185" si="414">P185-Q185</f>
        <v>5.220572000013135E-4</v>
      </c>
      <c r="S185" s="919">
        <f t="shared" ref="S185" si="415">Q185/P185</f>
        <v>0</v>
      </c>
      <c r="T185" s="919">
        <f t="shared" si="354"/>
        <v>0.99999245053204222</v>
      </c>
      <c r="V185" s="562"/>
    </row>
    <row r="186" spans="1:22" s="525" customFormat="1" ht="15" customHeight="1">
      <c r="A186" s="51"/>
      <c r="B186" s="986"/>
      <c r="C186" s="886"/>
      <c r="D186" s="463"/>
      <c r="E186" s="915">
        <v>1.83231378E-2</v>
      </c>
      <c r="F186" s="464" t="s">
        <v>96</v>
      </c>
      <c r="G186" s="523">
        <f>+E185*$D$8</f>
        <v>25.249283888400001</v>
      </c>
      <c r="H186" s="86"/>
      <c r="I186" s="82">
        <f>G186+H186+K185</f>
        <v>5.220572000013135E-4</v>
      </c>
      <c r="J186" s="387"/>
      <c r="K186" s="94">
        <f t="shared" si="387"/>
        <v>5.220572000013135E-4</v>
      </c>
      <c r="L186" s="83">
        <f t="shared" si="388"/>
        <v>0</v>
      </c>
      <c r="M186" s="509">
        <v>43508</v>
      </c>
      <c r="N186" s="894"/>
      <c r="O186" s="894"/>
      <c r="P186" s="894"/>
      <c r="Q186" s="894"/>
      <c r="R186" s="894"/>
      <c r="S186" s="920"/>
      <c r="T186" s="920"/>
      <c r="V186" s="562"/>
    </row>
    <row r="187" spans="1:22" s="525" customFormat="1" ht="15" customHeight="1">
      <c r="A187" s="51">
        <v>14</v>
      </c>
      <c r="B187" s="986"/>
      <c r="C187" s="885" t="s">
        <v>439</v>
      </c>
      <c r="D187" s="465" t="s">
        <v>367</v>
      </c>
      <c r="E187" s="914">
        <v>9.5119834E-3</v>
      </c>
      <c r="F187" s="88" t="s">
        <v>35</v>
      </c>
      <c r="G187" s="523">
        <f>+E187*$D$6</f>
        <v>22.7907122264</v>
      </c>
      <c r="H187" s="86">
        <v>-35.898000000000003</v>
      </c>
      <c r="I187" s="82">
        <f>G187+H187</f>
        <v>-13.107287773600003</v>
      </c>
      <c r="J187" s="516"/>
      <c r="K187" s="94">
        <f t="shared" si="387"/>
        <v>-13.107287773600003</v>
      </c>
      <c r="L187" s="83">
        <f t="shared" si="388"/>
        <v>0</v>
      </c>
      <c r="M187" s="509">
        <v>43508</v>
      </c>
      <c r="N187" s="893">
        <f t="shared" ref="N187:O187" si="416">G187+G188</f>
        <v>35.898225351600004</v>
      </c>
      <c r="O187" s="893">
        <f t="shared" si="416"/>
        <v>-35.898000000000003</v>
      </c>
      <c r="P187" s="893">
        <f t="shared" ref="P187" si="417">N187+O187</f>
        <v>2.253516000010336E-4</v>
      </c>
      <c r="Q187" s="893">
        <f t="shared" ref="Q187" si="418">J187+J188</f>
        <v>0</v>
      </c>
      <c r="R187" s="893">
        <f t="shared" ref="R187" si="419">P187-Q187</f>
        <v>2.253516000010336E-4</v>
      </c>
      <c r="S187" s="919">
        <f t="shared" ref="S187" si="420">Q187/P187</f>
        <v>0</v>
      </c>
      <c r="T187" s="919">
        <f t="shared" si="354"/>
        <v>0.99999372248634033</v>
      </c>
      <c r="V187" s="562"/>
    </row>
    <row r="188" spans="1:22" s="525" customFormat="1" ht="15" customHeight="1">
      <c r="A188" s="51"/>
      <c r="B188" s="986"/>
      <c r="C188" s="886"/>
      <c r="D188" s="463"/>
      <c r="E188" s="915">
        <v>1.2828120599999999E-2</v>
      </c>
      <c r="F188" s="464" t="s">
        <v>96</v>
      </c>
      <c r="G188" s="523">
        <f>+E187*$D$8</f>
        <v>13.107513125200001</v>
      </c>
      <c r="H188" s="86"/>
      <c r="I188" s="82">
        <f>G188+H188+K187</f>
        <v>2.2535159999748089E-4</v>
      </c>
      <c r="J188" s="387"/>
      <c r="K188" s="94">
        <f t="shared" si="387"/>
        <v>2.2535159999748089E-4</v>
      </c>
      <c r="L188" s="83">
        <f t="shared" si="388"/>
        <v>0</v>
      </c>
      <c r="M188" s="509">
        <v>43508</v>
      </c>
      <c r="N188" s="894"/>
      <c r="O188" s="894"/>
      <c r="P188" s="894"/>
      <c r="Q188" s="894"/>
      <c r="R188" s="894"/>
      <c r="S188" s="920"/>
      <c r="T188" s="920"/>
      <c r="V188" s="562"/>
    </row>
    <row r="189" spans="1:22" s="525" customFormat="1" ht="15" customHeight="1">
      <c r="A189" s="51">
        <v>15</v>
      </c>
      <c r="B189" s="986"/>
      <c r="C189" s="889" t="s">
        <v>438</v>
      </c>
      <c r="D189" s="465" t="s">
        <v>361</v>
      </c>
      <c r="E189" s="914">
        <v>6.9147745E-3</v>
      </c>
      <c r="F189" s="88" t="s">
        <v>35</v>
      </c>
      <c r="G189" s="523">
        <f>+E189*$D$6</f>
        <v>16.567799701999999</v>
      </c>
      <c r="H189" s="86">
        <v>-26.097000000000001</v>
      </c>
      <c r="I189" s="82">
        <f>G189+H189</f>
        <v>-9.5292002980000028</v>
      </c>
      <c r="J189" s="516"/>
      <c r="K189" s="94">
        <f t="shared" si="387"/>
        <v>-9.5292002980000028</v>
      </c>
      <c r="L189" s="83">
        <f t="shared" si="388"/>
        <v>0</v>
      </c>
      <c r="M189" s="509">
        <v>43508</v>
      </c>
      <c r="N189" s="893">
        <f t="shared" ref="N189:O189" si="421">G189+G190</f>
        <v>26.096358963</v>
      </c>
      <c r="O189" s="893">
        <f t="shared" si="421"/>
        <v>-26.097000000000001</v>
      </c>
      <c r="P189" s="893">
        <f t="shared" ref="P189" si="422">N189+O189</f>
        <v>-6.4103700000117669E-4</v>
      </c>
      <c r="Q189" s="893">
        <f t="shared" ref="Q189" si="423">J189+J190</f>
        <v>0</v>
      </c>
      <c r="R189" s="893">
        <f t="shared" ref="R189" si="424">P189-Q189</f>
        <v>-6.4103700000117669E-4</v>
      </c>
      <c r="S189" s="919">
        <f t="shared" ref="S189" si="425">Q189/P189</f>
        <v>0</v>
      </c>
      <c r="T189" s="919">
        <f t="shared" si="354"/>
        <v>1.0000245642313899</v>
      </c>
      <c r="V189" s="562"/>
    </row>
    <row r="190" spans="1:22" s="525" customFormat="1" ht="15" customHeight="1">
      <c r="A190" s="51"/>
      <c r="B190" s="986"/>
      <c r="C190" s="890"/>
      <c r="D190" s="463"/>
      <c r="E190" s="915">
        <v>6.9147745E-3</v>
      </c>
      <c r="F190" s="464" t="s">
        <v>96</v>
      </c>
      <c r="G190" s="523">
        <f>+E189*$D$8</f>
        <v>9.5285592609999998</v>
      </c>
      <c r="H190" s="86"/>
      <c r="I190" s="82">
        <f>G190+H190+K189</f>
        <v>-6.4103700000295305E-4</v>
      </c>
      <c r="J190" s="387"/>
      <c r="K190" s="94">
        <f t="shared" si="387"/>
        <v>-6.4103700000295305E-4</v>
      </c>
      <c r="L190" s="83">
        <f t="shared" si="388"/>
        <v>0</v>
      </c>
      <c r="M190" s="509">
        <v>43508</v>
      </c>
      <c r="N190" s="894"/>
      <c r="O190" s="894"/>
      <c r="P190" s="894"/>
      <c r="Q190" s="894"/>
      <c r="R190" s="894"/>
      <c r="S190" s="920"/>
      <c r="T190" s="920"/>
      <c r="V190" s="562"/>
    </row>
    <row r="191" spans="1:22" s="525" customFormat="1" ht="15" customHeight="1">
      <c r="A191" s="51">
        <v>16</v>
      </c>
      <c r="B191" s="986"/>
      <c r="C191" s="885" t="s">
        <v>437</v>
      </c>
      <c r="D191" s="465" t="s">
        <v>370</v>
      </c>
      <c r="E191" s="914">
        <v>6.7761519999999997E-4</v>
      </c>
      <c r="F191" s="88" t="s">
        <v>35</v>
      </c>
      <c r="G191" s="523">
        <f>+E191*$D$6</f>
        <v>1.6235660191999999</v>
      </c>
      <c r="H191" s="86">
        <v>-2.5569999999999999</v>
      </c>
      <c r="I191" s="82">
        <f>G191+H191</f>
        <v>-0.93343398080000006</v>
      </c>
      <c r="J191" s="516"/>
      <c r="K191" s="94">
        <f t="shared" si="365"/>
        <v>-0.93343398080000006</v>
      </c>
      <c r="L191" s="83">
        <f t="shared" si="366"/>
        <v>0</v>
      </c>
      <c r="M191" s="509">
        <v>43508</v>
      </c>
      <c r="N191" s="893">
        <f t="shared" ref="N191:O191" si="426">G191+G192</f>
        <v>2.5573197647999999</v>
      </c>
      <c r="O191" s="893">
        <f t="shared" si="426"/>
        <v>-2.5569999999999999</v>
      </c>
      <c r="P191" s="893">
        <f t="shared" ref="P191" si="427">N191+O191</f>
        <v>3.1976479999995533E-4</v>
      </c>
      <c r="Q191" s="893">
        <f t="shared" ref="Q191" si="428">J191+J192</f>
        <v>0</v>
      </c>
      <c r="R191" s="893">
        <f t="shared" ref="R191" si="429">P191-Q191</f>
        <v>3.1976479999995533E-4</v>
      </c>
      <c r="S191" s="919">
        <f t="shared" ref="S191" si="430">Q191/P191</f>
        <v>0</v>
      </c>
      <c r="T191" s="919">
        <f t="shared" si="354"/>
        <v>0.99987496096327044</v>
      </c>
      <c r="V191" s="562"/>
    </row>
    <row r="192" spans="1:22" s="525" customFormat="1" ht="15" customHeight="1">
      <c r="A192" s="51"/>
      <c r="B192" s="986"/>
      <c r="C192" s="886"/>
      <c r="D192" s="463"/>
      <c r="E192" s="915">
        <v>6.7761519999999997E-4</v>
      </c>
      <c r="F192" s="464" t="s">
        <v>96</v>
      </c>
      <c r="G192" s="523">
        <f>+E191*$D$8</f>
        <v>0.93375374559999991</v>
      </c>
      <c r="H192" s="86"/>
      <c r="I192" s="82">
        <f>G192+H192+K191</f>
        <v>3.1976479999984431E-4</v>
      </c>
      <c r="J192" s="387"/>
      <c r="K192" s="94">
        <f t="shared" si="365"/>
        <v>3.1976479999984431E-4</v>
      </c>
      <c r="L192" s="83">
        <f t="shared" si="366"/>
        <v>0</v>
      </c>
      <c r="M192" s="509">
        <v>43508</v>
      </c>
      <c r="N192" s="894"/>
      <c r="O192" s="894"/>
      <c r="P192" s="894"/>
      <c r="Q192" s="894"/>
      <c r="R192" s="894"/>
      <c r="S192" s="920"/>
      <c r="T192" s="920"/>
      <c r="V192" s="562"/>
    </row>
    <row r="193" spans="1:22" s="525" customFormat="1" ht="15" customHeight="1">
      <c r="A193" s="51">
        <v>17</v>
      </c>
      <c r="B193" s="986"/>
      <c r="C193" s="885" t="s">
        <v>371</v>
      </c>
      <c r="D193" s="465"/>
      <c r="E193" s="895">
        <v>4.3170543000000004E-3</v>
      </c>
      <c r="F193" s="88" t="s">
        <v>35</v>
      </c>
      <c r="G193" s="523">
        <f>+E193*$D$6</f>
        <v>10.343662102800002</v>
      </c>
      <c r="H193" s="86"/>
      <c r="I193" s="82">
        <f>G193+H193</f>
        <v>10.343662102800002</v>
      </c>
      <c r="J193" s="516">
        <v>11.636666666666667</v>
      </c>
      <c r="K193" s="94">
        <f t="shared" si="365"/>
        <v>-1.2930045638666652</v>
      </c>
      <c r="L193" s="687">
        <f t="shared" si="366"/>
        <v>1.1250045246080354</v>
      </c>
      <c r="M193" s="712" t="s">
        <v>30</v>
      </c>
      <c r="N193" s="897">
        <f t="shared" ref="N193:O193" si="431">G193+G194</f>
        <v>16.292562928200002</v>
      </c>
      <c r="O193" s="897">
        <f t="shared" si="431"/>
        <v>0</v>
      </c>
      <c r="P193" s="897">
        <f t="shared" ref="P193" si="432">N193+O193</f>
        <v>16.292562928200002</v>
      </c>
      <c r="Q193" s="897">
        <f t="shared" ref="Q193" si="433">J193+J194</f>
        <v>11.636666666666667</v>
      </c>
      <c r="R193" s="897">
        <f t="shared" ref="R193" si="434">P193-Q193</f>
        <v>4.6558962615333357</v>
      </c>
      <c r="S193" s="907">
        <f t="shared" ref="S193" si="435">Q193/P193</f>
        <v>0.71423180735581682</v>
      </c>
      <c r="T193" s="967">
        <f t="shared" si="354"/>
        <v>0.71423180735581682</v>
      </c>
      <c r="V193" s="562"/>
    </row>
    <row r="194" spans="1:22" s="525" customFormat="1" ht="15" customHeight="1">
      <c r="A194" s="51"/>
      <c r="B194" s="987"/>
      <c r="C194" s="916"/>
      <c r="D194" s="438"/>
      <c r="E194" s="896">
        <v>4.3170543000000004E-3</v>
      </c>
      <c r="F194" s="698" t="s">
        <v>96</v>
      </c>
      <c r="G194" s="714">
        <f>+E193*$D$8</f>
        <v>5.9489008254000009</v>
      </c>
      <c r="H194" s="715"/>
      <c r="I194" s="716">
        <f>G194+H194+K193</f>
        <v>4.6558962615333357</v>
      </c>
      <c r="J194" s="696"/>
      <c r="K194" s="717">
        <f t="shared" si="365"/>
        <v>4.6558962615333357</v>
      </c>
      <c r="L194" s="718">
        <f t="shared" si="366"/>
        <v>0</v>
      </c>
      <c r="M194" s="689" t="s">
        <v>30</v>
      </c>
      <c r="N194" s="898"/>
      <c r="O194" s="898"/>
      <c r="P194" s="898"/>
      <c r="Q194" s="898"/>
      <c r="R194" s="898"/>
      <c r="S194" s="908"/>
      <c r="T194" s="968"/>
      <c r="V194" s="562"/>
    </row>
    <row r="195" spans="1:22" s="525" customFormat="1" ht="15" customHeight="1">
      <c r="A195" s="51"/>
      <c r="B195" s="689" t="s">
        <v>372</v>
      </c>
      <c r="C195" s="719"/>
      <c r="D195" s="694"/>
      <c r="E195" s="909">
        <f>SUM(E161:E194)</f>
        <v>0.41628974509999994</v>
      </c>
      <c r="F195" s="697" t="s">
        <v>35</v>
      </c>
      <c r="G195" s="720">
        <f>G161+G163+G165+G187+G171+G175+G167+G179+G177+G183+G185+G173+G189+G181+G169+G191+G193</f>
        <v>547.08953196319999</v>
      </c>
      <c r="H195" s="721">
        <f>+H161+H163+H165+H167+H173+H175+H177+H179+H181+H183+H185+H187+H189+H171+H169+H191+H193</f>
        <v>-811.423</v>
      </c>
      <c r="I195" s="722">
        <f t="shared" ref="I195:K196" si="436">I161+I163+I165+I187+I171+I175+I167+I179+I177+I183+I185+I173+I189+I181+I169+I191+I193</f>
        <v>-264.33346803680001</v>
      </c>
      <c r="J195" s="722">
        <f t="shared" si="436"/>
        <v>18.261111111111109</v>
      </c>
      <c r="K195" s="722">
        <f t="shared" si="436"/>
        <v>-282.59457914791108</v>
      </c>
      <c r="L195" s="723">
        <f t="shared" si="366"/>
        <v>-6.9083613387044995E-2</v>
      </c>
      <c r="M195" s="910" t="s">
        <v>30</v>
      </c>
      <c r="N195" s="912">
        <f>SUM(N161:N194)</f>
        <v>861.73451320079982</v>
      </c>
      <c r="O195" s="912">
        <f>SUM(O165:O194)</f>
        <v>-696.86999999999989</v>
      </c>
      <c r="P195" s="912">
        <f>+N195+O195</f>
        <v>164.86451320079993</v>
      </c>
      <c r="Q195" s="912">
        <f>SUM(Q165:Q194)</f>
        <v>18.261111111111109</v>
      </c>
      <c r="R195" s="912">
        <f>SUM(R165:R194)</f>
        <v>32.050330562288892</v>
      </c>
      <c r="S195" s="913">
        <f>Q195/P195</f>
        <v>0.11076435284086658</v>
      </c>
      <c r="T195" s="967">
        <f t="shared" si="354"/>
        <v>0.96280718704970725</v>
      </c>
    </row>
    <row r="196" spans="1:22" s="525" customFormat="1" ht="15" customHeight="1">
      <c r="A196" s="51"/>
      <c r="B196" s="690"/>
      <c r="C196" s="724"/>
      <c r="D196" s="695"/>
      <c r="E196" s="909"/>
      <c r="F196" s="697" t="s">
        <v>96</v>
      </c>
      <c r="G196" s="720">
        <f>G162+G164+G166+G188+G172+G176+G168+G180+G178+G184+G186+G174+G190+G182+G170+G192+G194</f>
        <v>314.64498123760001</v>
      </c>
      <c r="H196" s="722">
        <f>+H162+H164+H166+H168+H174+H176+H178+H180+H182+H184+H186+H188+H190+H172+H170+H192+H194</f>
        <v>0</v>
      </c>
      <c r="I196" s="722">
        <f t="shared" si="436"/>
        <v>32.05040208968888</v>
      </c>
      <c r="J196" s="722">
        <f t="shared" si="436"/>
        <v>0</v>
      </c>
      <c r="K196" s="722">
        <f t="shared" si="436"/>
        <v>32.05040208968888</v>
      </c>
      <c r="L196" s="723">
        <f t="shared" si="366"/>
        <v>0</v>
      </c>
      <c r="M196" s="911"/>
      <c r="N196" s="912"/>
      <c r="O196" s="912"/>
      <c r="P196" s="912"/>
      <c r="Q196" s="912"/>
      <c r="R196" s="912"/>
      <c r="S196" s="913"/>
      <c r="T196" s="967"/>
    </row>
    <row r="197" spans="1:22" s="525" customFormat="1" ht="15" customHeight="1">
      <c r="A197" s="51"/>
      <c r="B197" s="51"/>
      <c r="C197" s="54"/>
      <c r="D197" s="51"/>
      <c r="E197" s="51"/>
      <c r="F197" s="3"/>
      <c r="G197" s="51"/>
      <c r="H197" s="51"/>
      <c r="I197" s="51"/>
      <c r="J197" s="51"/>
      <c r="K197" s="51"/>
      <c r="L197" s="3"/>
      <c r="M197" s="51"/>
      <c r="N197" s="51"/>
      <c r="O197" s="51"/>
      <c r="P197" s="51"/>
      <c r="Q197" s="51"/>
      <c r="R197" s="51"/>
      <c r="S197" s="51"/>
    </row>
    <row r="198" spans="1:22" s="525" customFormat="1" ht="15" customHeight="1">
      <c r="A198" s="51"/>
      <c r="B198" s="51"/>
      <c r="C198" s="54"/>
      <c r="D198" s="51"/>
      <c r="E198" s="51"/>
      <c r="F198" s="3"/>
      <c r="G198" s="576"/>
      <c r="H198" s="576"/>
      <c r="I198" s="576"/>
      <c r="J198" s="576"/>
      <c r="K198" s="576"/>
      <c r="L198" s="577"/>
      <c r="M198" s="51"/>
      <c r="N198" s="51"/>
      <c r="O198" s="51"/>
      <c r="P198" s="51"/>
      <c r="Q198" s="51"/>
      <c r="R198" s="51"/>
      <c r="S198" s="391"/>
      <c r="T198" s="966"/>
      <c r="U198" s="556"/>
    </row>
    <row r="199" spans="1:22" s="525" customFormat="1" ht="15" customHeight="1">
      <c r="A199" s="51"/>
      <c r="B199" s="983" t="s">
        <v>373</v>
      </c>
      <c r="C199" s="984"/>
      <c r="D199" s="461" t="s">
        <v>431</v>
      </c>
      <c r="E199" s="512" t="s">
        <v>243</v>
      </c>
      <c r="F199" s="512" t="s">
        <v>244</v>
      </c>
      <c r="G199" s="527" t="s">
        <v>236</v>
      </c>
      <c r="H199" s="567" t="s">
        <v>4</v>
      </c>
      <c r="I199" s="566" t="s">
        <v>5</v>
      </c>
      <c r="J199" s="566" t="s">
        <v>237</v>
      </c>
      <c r="K199" s="566" t="s">
        <v>45</v>
      </c>
      <c r="L199" s="566" t="s">
        <v>46</v>
      </c>
      <c r="M199" s="51"/>
      <c r="N199" s="51"/>
      <c r="O199" s="51"/>
      <c r="P199" s="51"/>
      <c r="Q199" s="51"/>
      <c r="R199" s="51"/>
      <c r="S199" s="391"/>
      <c r="T199" s="966"/>
      <c r="U199" s="556"/>
    </row>
    <row r="200" spans="1:22" s="525" customFormat="1" ht="15" customHeight="1">
      <c r="A200" s="51"/>
      <c r="B200" s="976" t="s">
        <v>429</v>
      </c>
      <c r="C200" s="981"/>
      <c r="D200" s="978">
        <v>16</v>
      </c>
      <c r="E200" s="557">
        <f>+E44</f>
        <v>0.24698050980000003</v>
      </c>
      <c r="F200" s="575" t="s">
        <v>35</v>
      </c>
      <c r="G200" s="578">
        <f>+G44</f>
        <v>576.78533609359999</v>
      </c>
      <c r="H200" s="742">
        <f>+H44</f>
        <v>-261.81599999999997</v>
      </c>
      <c r="I200" s="578">
        <f>+G200+H200</f>
        <v>314.96933609360002</v>
      </c>
      <c r="J200" s="582">
        <f>+J44</f>
        <v>353.98888888888888</v>
      </c>
      <c r="K200" s="579">
        <f>+I200-J200</f>
        <v>-39.01955279528886</v>
      </c>
      <c r="L200" s="138">
        <f>+J200/I200</f>
        <v>1.1238836557209917</v>
      </c>
      <c r="M200" s="51"/>
      <c r="N200" s="51"/>
      <c r="O200" s="51"/>
      <c r="P200" s="51"/>
      <c r="Q200" s="51"/>
      <c r="R200" s="51"/>
      <c r="S200" s="391"/>
      <c r="T200" s="966"/>
      <c r="U200" s="556"/>
    </row>
    <row r="201" spans="1:22" s="525" customFormat="1" ht="15" customHeight="1">
      <c r="A201" s="51"/>
      <c r="B201" s="977"/>
      <c r="C201" s="982"/>
      <c r="D201" s="979"/>
      <c r="E201" s="531"/>
      <c r="F201" s="575" t="s">
        <v>96</v>
      </c>
      <c r="G201" s="578">
        <f>+G45</f>
        <v>309.83269663480007</v>
      </c>
      <c r="H201" s="579">
        <f>+H45</f>
        <v>0</v>
      </c>
      <c r="I201" s="214">
        <f>G201+H201+K200</f>
        <v>270.81314383951121</v>
      </c>
      <c r="J201" s="580">
        <f>+J45</f>
        <v>0</v>
      </c>
      <c r="K201" s="579">
        <f>+I201-J201</f>
        <v>270.81314383951121</v>
      </c>
      <c r="L201" s="138">
        <f>+J201/I201</f>
        <v>0</v>
      </c>
      <c r="M201" s="51"/>
      <c r="N201" s="51"/>
      <c r="O201" s="51"/>
      <c r="P201" s="51"/>
      <c r="Q201" s="51"/>
      <c r="R201" s="51"/>
      <c r="S201" s="391"/>
      <c r="T201" s="966"/>
      <c r="U201" s="556"/>
    </row>
    <row r="202" spans="1:22" s="525" customFormat="1" ht="15" customHeight="1">
      <c r="A202" s="51"/>
      <c r="B202" s="976" t="s">
        <v>430</v>
      </c>
      <c r="C202" s="981"/>
      <c r="D202" s="974">
        <v>17</v>
      </c>
      <c r="E202" s="557">
        <f>+E83</f>
        <v>0.47890969030000002</v>
      </c>
      <c r="F202" s="575" t="s">
        <v>35</v>
      </c>
      <c r="G202" s="581">
        <f>+G83</f>
        <v>588.80181727119987</v>
      </c>
      <c r="H202" s="742">
        <f>+H83</f>
        <v>-709.35900000000004</v>
      </c>
      <c r="I202" s="578">
        <f>+G202+H202</f>
        <v>-120.55718272880017</v>
      </c>
      <c r="J202" s="582">
        <f>+J83</f>
        <v>96.624444444444407</v>
      </c>
      <c r="K202" s="579">
        <f t="shared" ref="K202:K205" si="437">+I202-J202</f>
        <v>-217.18162717324458</v>
      </c>
      <c r="L202" s="138">
        <f t="shared" ref="L202:L207" si="438">+J202/I202</f>
        <v>-0.80148226971931036</v>
      </c>
      <c r="M202" s="51"/>
      <c r="N202" s="51"/>
      <c r="O202" s="51"/>
      <c r="P202" s="51"/>
      <c r="Q202" s="51"/>
      <c r="R202" s="51"/>
      <c r="S202" s="391"/>
      <c r="T202" s="966"/>
      <c r="U202" s="556"/>
    </row>
    <row r="203" spans="1:22" s="525" customFormat="1" ht="15" customHeight="1">
      <c r="A203" s="51"/>
      <c r="B203" s="977"/>
      <c r="C203" s="982"/>
      <c r="D203" s="975"/>
      <c r="E203" s="531"/>
      <c r="F203" s="575" t="s">
        <v>96</v>
      </c>
      <c r="G203" s="581">
        <f>+G84</f>
        <v>325.43836903159996</v>
      </c>
      <c r="H203" s="579">
        <f>+H84</f>
        <v>0</v>
      </c>
      <c r="I203" s="214">
        <f>G203+H203+K202</f>
        <v>108.25674185835538</v>
      </c>
      <c r="J203" s="580">
        <f>+J84</f>
        <v>0</v>
      </c>
      <c r="K203" s="579">
        <f t="shared" si="437"/>
        <v>108.25674185835538</v>
      </c>
      <c r="L203" s="138">
        <f t="shared" si="438"/>
        <v>0</v>
      </c>
      <c r="M203" s="51"/>
      <c r="N203" s="51"/>
      <c r="O203" s="51"/>
      <c r="P203" s="51"/>
      <c r="Q203" s="51"/>
      <c r="R203" s="51"/>
      <c r="S203" s="391"/>
      <c r="T203" s="966"/>
      <c r="U203" s="556"/>
    </row>
    <row r="204" spans="1:22" s="525" customFormat="1" ht="15" customHeight="1">
      <c r="A204" s="51"/>
      <c r="B204" s="976" t="s">
        <v>428</v>
      </c>
      <c r="C204" s="981"/>
      <c r="D204" s="976">
        <v>36</v>
      </c>
      <c r="E204" s="557">
        <f>+E156</f>
        <v>0.57615809879999991</v>
      </c>
      <c r="F204" s="575" t="s">
        <v>35</v>
      </c>
      <c r="G204" s="581">
        <f>+G156</f>
        <v>732.24207845960007</v>
      </c>
      <c r="H204" s="742">
        <f>+H156</f>
        <v>-1032.2440000000001</v>
      </c>
      <c r="I204" s="578">
        <f>+G204+H204</f>
        <v>-300.00192154040008</v>
      </c>
      <c r="J204" s="582">
        <f>+J156</f>
        <v>44.227222222222224</v>
      </c>
      <c r="K204" s="579">
        <f t="shared" si="437"/>
        <v>-344.2291437626223</v>
      </c>
      <c r="L204" s="138">
        <f t="shared" si="438"/>
        <v>-0.14742312980907463</v>
      </c>
      <c r="M204" s="51"/>
      <c r="N204" s="51"/>
      <c r="O204" s="51"/>
      <c r="P204" s="51"/>
      <c r="Q204" s="51"/>
      <c r="R204" s="51"/>
      <c r="S204" s="391"/>
      <c r="T204" s="966"/>
      <c r="U204" s="556"/>
    </row>
    <row r="205" spans="1:22" s="525" customFormat="1" ht="15" customHeight="1">
      <c r="A205" s="51"/>
      <c r="B205" s="977"/>
      <c r="C205" s="982"/>
      <c r="D205" s="977" t="s">
        <v>96</v>
      </c>
      <c r="E205" s="531"/>
      <c r="F205" s="575" t="s">
        <v>96</v>
      </c>
      <c r="G205" s="581">
        <f>+G157</f>
        <v>379.16518402480011</v>
      </c>
      <c r="H205" s="579">
        <f>+H157</f>
        <v>0</v>
      </c>
      <c r="I205" s="214">
        <f>G205+H205+K204</f>
        <v>34.936040262177812</v>
      </c>
      <c r="J205" s="580">
        <f>+J157</f>
        <v>0</v>
      </c>
      <c r="K205" s="579">
        <f t="shared" si="437"/>
        <v>34.936040262177812</v>
      </c>
      <c r="L205" s="138">
        <f t="shared" si="438"/>
        <v>0</v>
      </c>
      <c r="M205" s="51"/>
      <c r="N205" s="51"/>
      <c r="O205" s="51"/>
      <c r="P205" s="51"/>
      <c r="Q205" s="51"/>
      <c r="R205" s="51"/>
      <c r="S205" s="391"/>
      <c r="T205" s="966"/>
      <c r="U205" s="556"/>
    </row>
    <row r="206" spans="1:22" s="525" customFormat="1" ht="15" customHeight="1">
      <c r="A206" s="51"/>
      <c r="B206" s="976" t="s">
        <v>427</v>
      </c>
      <c r="C206" s="981"/>
      <c r="D206" s="976">
        <v>17</v>
      </c>
      <c r="E206" s="557">
        <f>+E195</f>
        <v>0.41628974509999994</v>
      </c>
      <c r="F206" s="575" t="s">
        <v>35</v>
      </c>
      <c r="G206" s="581">
        <f>+G195</f>
        <v>547.08953196319999</v>
      </c>
      <c r="H206" s="742">
        <f>+H195</f>
        <v>-811.423</v>
      </c>
      <c r="I206" s="578">
        <f>+G206+H206</f>
        <v>-264.33346803680001</v>
      </c>
      <c r="J206" s="582">
        <f>+J195</f>
        <v>18.261111111111109</v>
      </c>
      <c r="K206" s="579">
        <f>+I206-J206</f>
        <v>-282.59457914791113</v>
      </c>
      <c r="L206" s="138">
        <f t="shared" si="438"/>
        <v>-6.9083613387044995E-2</v>
      </c>
      <c r="M206" s="573">
        <f>+'[1]RAE M. SUR 2019'!$L$261</f>
        <v>6.29</v>
      </c>
      <c r="N206" s="51"/>
      <c r="O206" s="51"/>
      <c r="P206" s="51"/>
      <c r="Q206" s="51"/>
      <c r="R206" s="51"/>
      <c r="S206" s="391"/>
      <c r="T206" s="966"/>
      <c r="U206" s="556"/>
    </row>
    <row r="207" spans="1:22" s="525" customFormat="1" ht="15" customHeight="1">
      <c r="A207" s="51"/>
      <c r="B207" s="977"/>
      <c r="C207" s="982"/>
      <c r="D207" s="977" t="s">
        <v>96</v>
      </c>
      <c r="E207" s="531"/>
      <c r="F207" s="575" t="s">
        <v>96</v>
      </c>
      <c r="G207" s="581">
        <f t="shared" ref="G207:H207" si="439">+G196</f>
        <v>314.64498123760001</v>
      </c>
      <c r="H207" s="579">
        <f t="shared" si="439"/>
        <v>0</v>
      </c>
      <c r="I207" s="214">
        <f>G207+H207+K206</f>
        <v>32.050402089688873</v>
      </c>
      <c r="J207" s="580">
        <f t="shared" ref="J207" si="440">+J196</f>
        <v>0</v>
      </c>
      <c r="K207" s="579">
        <f>+I207-J207</f>
        <v>32.050402089688873</v>
      </c>
      <c r="L207" s="138">
        <f t="shared" si="438"/>
        <v>0</v>
      </c>
      <c r="M207" s="573"/>
      <c r="N207" s="51"/>
      <c r="O207" s="51"/>
      <c r="P207" s="51"/>
      <c r="Q207" s="51"/>
      <c r="R207" s="51"/>
      <c r="S207" s="391"/>
      <c r="T207" s="966"/>
      <c r="U207" s="556"/>
    </row>
    <row r="208" spans="1:22" s="525" customFormat="1" ht="15" customHeight="1">
      <c r="A208" s="51"/>
      <c r="B208" s="558" t="s">
        <v>376</v>
      </c>
      <c r="C208" s="559"/>
      <c r="D208" s="560">
        <f>SUM(D200:D207)</f>
        <v>86</v>
      </c>
      <c r="E208" s="560">
        <f>SUM(E200:E207)</f>
        <v>1.7183380439999998</v>
      </c>
      <c r="F208" s="561"/>
      <c r="G208" s="530">
        <f>SUM(G200:G207)</f>
        <v>3773.9999947164001</v>
      </c>
      <c r="H208" s="524">
        <f>SUM(H200:H207)</f>
        <v>-2814.8420000000001</v>
      </c>
      <c r="I208" s="524">
        <f>+G208+H208</f>
        <v>959.15799471640003</v>
      </c>
      <c r="J208" s="524">
        <f>SUM(J200:J207)</f>
        <v>513.10166666666657</v>
      </c>
      <c r="K208" s="524">
        <f>+I208-J208</f>
        <v>446.05632804973345</v>
      </c>
      <c r="L208" s="572">
        <f>+J208/I208</f>
        <v>0.53495010154023526</v>
      </c>
      <c r="M208" s="573"/>
      <c r="N208" s="51"/>
      <c r="O208" s="51"/>
      <c r="P208" s="51"/>
      <c r="Q208" s="51"/>
      <c r="R208" s="51"/>
      <c r="S208" s="391"/>
      <c r="T208" s="966"/>
      <c r="U208" s="556"/>
    </row>
    <row r="209" spans="1:21" s="525" customFormat="1" ht="15" customHeight="1">
      <c r="A209" s="51"/>
      <c r="C209" s="204"/>
      <c r="M209" s="574"/>
      <c r="S209" s="556"/>
      <c r="T209" s="966"/>
      <c r="U209" s="556"/>
    </row>
    <row r="210" spans="1:21" s="525" customFormat="1" ht="15" customHeight="1">
      <c r="A210" s="51"/>
      <c r="C210" s="204"/>
      <c r="S210" s="556"/>
      <c r="T210" s="966"/>
      <c r="U210" s="556"/>
    </row>
    <row r="211" spans="1:21" s="525" customFormat="1" ht="15" customHeight="1">
      <c r="A211" s="51"/>
      <c r="C211" s="204"/>
      <c r="S211" s="556"/>
      <c r="T211" s="966"/>
      <c r="U211" s="556"/>
    </row>
    <row r="212" spans="1:21" s="525" customFormat="1" ht="15" customHeight="1">
      <c r="A212" s="51"/>
      <c r="C212" s="204"/>
      <c r="S212" s="556"/>
      <c r="T212" s="966"/>
      <c r="U212" s="556"/>
    </row>
    <row r="213" spans="1:21" s="525" customFormat="1" ht="15" customHeight="1">
      <c r="A213" s="51"/>
      <c r="C213" s="204"/>
      <c r="H213" s="562"/>
      <c r="S213" s="556"/>
      <c r="T213" s="966"/>
      <c r="U213" s="556"/>
    </row>
    <row r="214" spans="1:21" s="525" customFormat="1" ht="15" customHeight="1">
      <c r="A214" s="51"/>
      <c r="C214" s="204"/>
      <c r="S214" s="556"/>
      <c r="T214" s="966"/>
      <c r="U214" s="556"/>
    </row>
    <row r="215" spans="1:21" s="525" customFormat="1" ht="15" customHeight="1">
      <c r="A215" s="51"/>
      <c r="C215" s="204"/>
      <c r="S215" s="556"/>
      <c r="T215" s="966"/>
      <c r="U215" s="556"/>
    </row>
    <row r="216" spans="1:21" s="525" customFormat="1" ht="15" customHeight="1">
      <c r="A216" s="51"/>
      <c r="C216" s="636" t="s">
        <v>489</v>
      </c>
      <c r="D216" s="637" t="s">
        <v>497</v>
      </c>
      <c r="E216" s="972" t="s">
        <v>562</v>
      </c>
      <c r="F216" s="973"/>
      <c r="G216" s="636" t="s">
        <v>505</v>
      </c>
      <c r="H216" s="735" t="s">
        <v>576</v>
      </c>
      <c r="I216" s="639" t="s">
        <v>577</v>
      </c>
      <c r="S216" s="556"/>
      <c r="T216" s="966"/>
      <c r="U216" s="556"/>
    </row>
    <row r="217" spans="1:21" s="525" customFormat="1" ht="15" customHeight="1">
      <c r="A217" s="51"/>
      <c r="C217" s="632">
        <v>442</v>
      </c>
      <c r="D217" s="633">
        <v>43503</v>
      </c>
      <c r="E217" s="970" t="s">
        <v>558</v>
      </c>
      <c r="F217" s="971"/>
      <c r="G217" s="634">
        <v>193.87899999999999</v>
      </c>
      <c r="H217" s="635" t="s">
        <v>543</v>
      </c>
      <c r="I217" s="635" t="s">
        <v>494</v>
      </c>
      <c r="S217" s="556"/>
      <c r="T217" s="966"/>
      <c r="U217" s="556"/>
    </row>
    <row r="218" spans="1:21" s="525" customFormat="1" ht="15" customHeight="1">
      <c r="A218" s="51"/>
      <c r="C218" s="632">
        <v>531</v>
      </c>
      <c r="D218" s="633">
        <v>43503</v>
      </c>
      <c r="E218" s="970" t="s">
        <v>559</v>
      </c>
      <c r="F218" s="971"/>
      <c r="G218" s="634">
        <v>722.274</v>
      </c>
      <c r="H218" s="635" t="s">
        <v>543</v>
      </c>
      <c r="I218" s="635" t="s">
        <v>492</v>
      </c>
      <c r="S218" s="556"/>
      <c r="T218" s="966"/>
      <c r="U218" s="556"/>
    </row>
    <row r="219" spans="1:21" s="525" customFormat="1" ht="15" customHeight="1">
      <c r="A219" s="51"/>
      <c r="C219" s="632">
        <v>532</v>
      </c>
      <c r="D219" s="633">
        <v>43503</v>
      </c>
      <c r="E219" s="970" t="s">
        <v>560</v>
      </c>
      <c r="F219" s="971"/>
      <c r="G219" s="634">
        <v>1402.471</v>
      </c>
      <c r="H219" s="635" t="s">
        <v>543</v>
      </c>
      <c r="I219" s="635" t="s">
        <v>546</v>
      </c>
      <c r="S219" s="556"/>
      <c r="T219" s="966"/>
      <c r="U219" s="556"/>
    </row>
    <row r="220" spans="1:21" s="525" customFormat="1" ht="15" customHeight="1">
      <c r="A220" s="51"/>
      <c r="C220" s="632">
        <v>674</v>
      </c>
      <c r="D220" s="633">
        <v>43516</v>
      </c>
      <c r="E220" s="970" t="s">
        <v>556</v>
      </c>
      <c r="F220" s="971"/>
      <c r="G220" s="634">
        <v>167.67400000000001</v>
      </c>
      <c r="H220" s="635" t="s">
        <v>543</v>
      </c>
      <c r="I220" s="635" t="s">
        <v>546</v>
      </c>
      <c r="S220" s="556"/>
      <c r="T220" s="966"/>
      <c r="U220" s="556"/>
    </row>
    <row r="221" spans="1:21" s="525" customFormat="1" ht="15" customHeight="1">
      <c r="A221" s="51"/>
      <c r="C221" s="632">
        <v>675</v>
      </c>
      <c r="D221" s="633">
        <v>43516</v>
      </c>
      <c r="E221" s="970" t="s">
        <v>555</v>
      </c>
      <c r="F221" s="971"/>
      <c r="G221" s="634">
        <v>40.600999999999999</v>
      </c>
      <c r="H221" s="635" t="s">
        <v>543</v>
      </c>
      <c r="I221" s="635" t="s">
        <v>546</v>
      </c>
      <c r="S221" s="556"/>
      <c r="T221" s="966"/>
      <c r="U221" s="556"/>
    </row>
    <row r="222" spans="1:21" s="525" customFormat="1" ht="15" customHeight="1">
      <c r="A222" s="51"/>
      <c r="C222" s="632">
        <v>687</v>
      </c>
      <c r="D222" s="633">
        <v>43516</v>
      </c>
      <c r="E222" s="970" t="s">
        <v>554</v>
      </c>
      <c r="F222" s="971"/>
      <c r="G222" s="634">
        <v>5.2220000000000004</v>
      </c>
      <c r="H222" s="635" t="s">
        <v>543</v>
      </c>
      <c r="I222" s="635" t="s">
        <v>546</v>
      </c>
      <c r="S222" s="556"/>
      <c r="T222" s="966"/>
      <c r="U222" s="556"/>
    </row>
    <row r="223" spans="1:21" s="525" customFormat="1" ht="15" customHeight="1">
      <c r="A223" s="51"/>
      <c r="C223" s="632">
        <v>809</v>
      </c>
      <c r="D223" s="633">
        <v>43528</v>
      </c>
      <c r="E223" s="970" t="s">
        <v>553</v>
      </c>
      <c r="F223" s="971"/>
      <c r="G223" s="634">
        <v>177.50700000000001</v>
      </c>
      <c r="H223" s="635" t="s">
        <v>543</v>
      </c>
      <c r="I223" s="635" t="s">
        <v>546</v>
      </c>
      <c r="S223" s="556"/>
      <c r="T223" s="966"/>
      <c r="U223" s="556"/>
    </row>
    <row r="224" spans="1:21" s="525" customFormat="1" ht="15" customHeight="1">
      <c r="A224" s="51"/>
      <c r="C224" s="632">
        <v>1096</v>
      </c>
      <c r="D224" s="633">
        <v>43552</v>
      </c>
      <c r="E224" s="970" t="s">
        <v>540</v>
      </c>
      <c r="F224" s="971"/>
      <c r="G224" s="634">
        <v>15.923999999999999</v>
      </c>
      <c r="H224" s="635" t="s">
        <v>543</v>
      </c>
      <c r="I224" s="635" t="s">
        <v>492</v>
      </c>
      <c r="S224" s="556"/>
      <c r="T224" s="966"/>
      <c r="U224" s="556"/>
    </row>
    <row r="225" spans="1:21" s="525" customFormat="1" ht="15" customHeight="1">
      <c r="A225" s="51">
        <v>36</v>
      </c>
      <c r="C225" s="632">
        <v>1097</v>
      </c>
      <c r="D225" s="633">
        <v>43552</v>
      </c>
      <c r="E225" s="970" t="s">
        <v>538</v>
      </c>
      <c r="F225" s="971"/>
      <c r="G225" s="634">
        <v>18.446000000000002</v>
      </c>
      <c r="H225" s="635" t="s">
        <v>543</v>
      </c>
      <c r="I225" s="635" t="s">
        <v>494</v>
      </c>
      <c r="S225" s="556"/>
      <c r="T225" s="966"/>
      <c r="U225" s="556"/>
    </row>
    <row r="226" spans="1:21" s="525" customFormat="1" ht="15" customHeight="1">
      <c r="A226" s="51"/>
      <c r="C226" s="632">
        <v>1195</v>
      </c>
      <c r="D226" s="633">
        <v>43553</v>
      </c>
      <c r="E226" s="970" t="s">
        <v>541</v>
      </c>
      <c r="F226" s="971"/>
      <c r="G226" s="634">
        <v>59.755000000000003</v>
      </c>
      <c r="H226" s="635" t="s">
        <v>543</v>
      </c>
      <c r="I226" s="635" t="s">
        <v>492</v>
      </c>
      <c r="S226" s="556"/>
      <c r="T226" s="966"/>
      <c r="U226" s="556"/>
    </row>
    <row r="227" spans="1:21" s="525" customFormat="1" ht="15" customHeight="1">
      <c r="C227" s="632">
        <v>1464</v>
      </c>
      <c r="D227" s="633">
        <v>43572</v>
      </c>
      <c r="E227" s="970" t="s">
        <v>578</v>
      </c>
      <c r="F227" s="971"/>
      <c r="G227" s="634">
        <v>10.819000000000001</v>
      </c>
      <c r="H227" s="635" t="s">
        <v>543</v>
      </c>
      <c r="I227" s="635" t="s">
        <v>494</v>
      </c>
      <c r="S227" s="556"/>
      <c r="T227" s="966"/>
      <c r="U227" s="556"/>
    </row>
    <row r="228" spans="1:21" s="525" customFormat="1" ht="15" customHeight="1">
      <c r="C228" s="204"/>
      <c r="G228" s="736">
        <f>SUM(G217:G227)</f>
        <v>2814.5720000000001</v>
      </c>
      <c r="S228" s="556"/>
      <c r="T228" s="966"/>
      <c r="U228" s="556"/>
    </row>
    <row r="229" spans="1:21" s="525" customFormat="1" ht="15" customHeight="1">
      <c r="C229" s="204"/>
      <c r="S229" s="556"/>
      <c r="T229" s="966"/>
      <c r="U229" s="556"/>
    </row>
    <row r="230" spans="1:21" s="525" customFormat="1" ht="15" customHeight="1">
      <c r="C230" s="204"/>
      <c r="S230" s="556"/>
      <c r="T230" s="966"/>
      <c r="U230" s="556"/>
    </row>
    <row r="231" spans="1:21" s="525" customFormat="1" ht="15" customHeight="1">
      <c r="C231" s="204"/>
      <c r="S231" s="556"/>
      <c r="T231" s="966"/>
      <c r="U231" s="556"/>
    </row>
    <row r="232" spans="1:21" s="525" customFormat="1" ht="15" customHeight="1">
      <c r="C232" s="204"/>
      <c r="G232" s="562">
        <f>+G228+H208</f>
        <v>-0.26999999999998181</v>
      </c>
      <c r="S232" s="556"/>
      <c r="T232" s="966"/>
      <c r="U232" s="556"/>
    </row>
    <row r="233" spans="1:21" s="525" customFormat="1" ht="15" customHeight="1">
      <c r="C233" s="204"/>
      <c r="S233" s="556"/>
      <c r="T233" s="966"/>
      <c r="U233" s="556"/>
    </row>
    <row r="234" spans="1:21" s="525" customFormat="1" ht="15" customHeight="1">
      <c r="C234" s="204"/>
      <c r="S234" s="556"/>
      <c r="T234" s="966"/>
      <c r="U234" s="556"/>
    </row>
    <row r="235" spans="1:21" s="525" customFormat="1" ht="15" customHeight="1">
      <c r="C235" s="204"/>
      <c r="S235" s="556"/>
      <c r="T235" s="966"/>
      <c r="U235" s="556"/>
    </row>
    <row r="236" spans="1:21" s="525" customFormat="1" ht="15" customHeight="1">
      <c r="C236" s="204"/>
      <c r="S236" s="556"/>
      <c r="T236" s="966"/>
      <c r="U236" s="556"/>
    </row>
    <row r="237" spans="1:21" s="525" customFormat="1" ht="15" customHeight="1">
      <c r="C237" s="204"/>
      <c r="S237" s="556"/>
      <c r="T237" s="966"/>
      <c r="U237" s="556"/>
    </row>
    <row r="238" spans="1:21" s="525" customFormat="1" ht="15" customHeight="1">
      <c r="C238" s="204"/>
      <c r="S238" s="556"/>
      <c r="T238" s="966"/>
      <c r="U238" s="556"/>
    </row>
    <row r="239" spans="1:21" s="525" customFormat="1" ht="15" customHeight="1">
      <c r="C239" s="204"/>
      <c r="S239" s="556"/>
      <c r="T239" s="966"/>
      <c r="U239" s="556"/>
    </row>
    <row r="240" spans="1:21" s="525" customFormat="1" ht="15" customHeight="1">
      <c r="C240" s="204"/>
      <c r="S240" s="556"/>
      <c r="T240" s="966"/>
      <c r="U240" s="556"/>
    </row>
    <row r="241" spans="3:21" s="525" customFormat="1" ht="15" customHeight="1">
      <c r="C241" s="204"/>
      <c r="S241" s="556"/>
      <c r="T241" s="966"/>
      <c r="U241" s="556"/>
    </row>
    <row r="242" spans="3:21" s="525" customFormat="1" ht="15" customHeight="1">
      <c r="C242" s="204"/>
      <c r="S242" s="556"/>
      <c r="T242" s="966"/>
      <c r="U242" s="556"/>
    </row>
    <row r="243" spans="3:21" s="525" customFormat="1" ht="15" customHeight="1">
      <c r="C243" s="204"/>
      <c r="S243" s="556"/>
      <c r="T243" s="966"/>
      <c r="U243" s="556"/>
    </row>
    <row r="244" spans="3:21" s="525" customFormat="1" ht="15" customHeight="1">
      <c r="C244" s="204"/>
      <c r="S244" s="556"/>
      <c r="T244" s="966"/>
      <c r="U244" s="556"/>
    </row>
    <row r="245" spans="3:21" s="525" customFormat="1" ht="15" customHeight="1">
      <c r="C245" s="204"/>
      <c r="S245" s="556"/>
      <c r="T245" s="966"/>
      <c r="U245" s="556"/>
    </row>
    <row r="246" spans="3:21" s="525" customFormat="1" ht="15" customHeight="1">
      <c r="C246" s="204"/>
      <c r="S246" s="556"/>
      <c r="T246" s="966"/>
      <c r="U246" s="556"/>
    </row>
    <row r="247" spans="3:21" s="525" customFormat="1" ht="15" customHeight="1">
      <c r="C247" s="204"/>
      <c r="S247" s="556"/>
      <c r="T247" s="966"/>
      <c r="U247" s="556"/>
    </row>
    <row r="248" spans="3:21" s="525" customFormat="1" ht="15" customHeight="1">
      <c r="C248" s="204"/>
      <c r="S248" s="556"/>
      <c r="T248" s="966"/>
      <c r="U248" s="556"/>
    </row>
    <row r="249" spans="3:21" s="525" customFormat="1" ht="15" customHeight="1">
      <c r="C249" s="204"/>
      <c r="S249" s="556"/>
      <c r="T249" s="966"/>
      <c r="U249" s="556"/>
    </row>
    <row r="250" spans="3:21" s="525" customFormat="1" ht="15" customHeight="1">
      <c r="C250" s="204"/>
      <c r="S250" s="556"/>
      <c r="T250" s="966"/>
      <c r="U250" s="556"/>
    </row>
    <row r="251" spans="3:21" s="525" customFormat="1" ht="15" customHeight="1">
      <c r="C251" s="204"/>
      <c r="S251" s="556"/>
      <c r="T251" s="966"/>
      <c r="U251" s="556"/>
    </row>
    <row r="252" spans="3:21" s="525" customFormat="1" ht="15" customHeight="1">
      <c r="C252" s="204"/>
      <c r="S252" s="556"/>
      <c r="T252" s="966"/>
      <c r="U252" s="556"/>
    </row>
    <row r="253" spans="3:21" s="525" customFormat="1" ht="15" customHeight="1">
      <c r="C253" s="204"/>
      <c r="S253" s="556"/>
      <c r="T253" s="966"/>
      <c r="U253" s="556"/>
    </row>
    <row r="254" spans="3:21" s="525" customFormat="1" ht="15" customHeight="1">
      <c r="C254" s="204"/>
      <c r="S254" s="556"/>
      <c r="T254" s="966"/>
      <c r="U254" s="556"/>
    </row>
    <row r="255" spans="3:21" s="525" customFormat="1" ht="15" customHeight="1">
      <c r="C255" s="204"/>
      <c r="S255" s="556"/>
      <c r="T255" s="966"/>
      <c r="U255" s="556"/>
    </row>
    <row r="256" spans="3:21" s="525" customFormat="1" ht="15" customHeight="1">
      <c r="C256" s="204"/>
      <c r="S256" s="556"/>
      <c r="T256" s="966"/>
      <c r="U256" s="556"/>
    </row>
    <row r="257" spans="3:21" s="525" customFormat="1" ht="15" customHeight="1">
      <c r="C257" s="204"/>
      <c r="S257" s="556"/>
      <c r="T257" s="966"/>
      <c r="U257" s="556"/>
    </row>
    <row r="258" spans="3:21" s="525" customFormat="1" ht="15" customHeight="1">
      <c r="C258" s="204"/>
      <c r="S258" s="556"/>
      <c r="T258" s="969"/>
      <c r="U258" s="556"/>
    </row>
    <row r="259" spans="3:21" s="525" customFormat="1" ht="15" customHeight="1">
      <c r="C259" s="204"/>
      <c r="S259" s="556"/>
      <c r="T259" s="969"/>
      <c r="U259" s="556"/>
    </row>
    <row r="260" spans="3:21" s="525" customFormat="1" ht="15" customHeight="1">
      <c r="C260" s="204"/>
      <c r="S260" s="556"/>
      <c r="T260" s="556"/>
      <c r="U260" s="556"/>
    </row>
    <row r="261" spans="3:21" s="525" customFormat="1" ht="15" customHeight="1">
      <c r="C261" s="204"/>
      <c r="S261" s="556"/>
      <c r="T261" s="556"/>
      <c r="U261" s="556"/>
    </row>
    <row r="262" spans="3:21" s="525" customFormat="1" ht="15" customHeight="1">
      <c r="C262" s="204"/>
      <c r="S262" s="556"/>
      <c r="T262" s="556"/>
      <c r="U262" s="556"/>
    </row>
    <row r="263" spans="3:21" s="525" customFormat="1" ht="15" customHeight="1">
      <c r="C263" s="204"/>
      <c r="S263" s="556"/>
      <c r="T263" s="556"/>
      <c r="U263" s="556"/>
    </row>
    <row r="264" spans="3:21" s="525" customFormat="1" ht="15" customHeight="1">
      <c r="C264" s="204"/>
      <c r="S264" s="556"/>
      <c r="T264" s="556"/>
      <c r="U264" s="556"/>
    </row>
    <row r="265" spans="3:21" s="525" customFormat="1" ht="15" customHeight="1">
      <c r="C265" s="204"/>
      <c r="S265" s="556"/>
      <c r="T265" s="556"/>
      <c r="U265" s="556"/>
    </row>
    <row r="266" spans="3:21">
      <c r="S266" s="390"/>
      <c r="T266" s="390"/>
      <c r="U266" s="390"/>
    </row>
    <row r="267" spans="3:21">
      <c r="S267" s="390"/>
      <c r="T267" s="390"/>
      <c r="U267" s="390"/>
    </row>
    <row r="268" spans="3:21">
      <c r="S268" s="390"/>
      <c r="T268" s="390"/>
      <c r="U268" s="390"/>
    </row>
  </sheetData>
  <mergeCells count="896">
    <mergeCell ref="B200:C201"/>
    <mergeCell ref="B202:C203"/>
    <mergeCell ref="B204:C205"/>
    <mergeCell ref="B206:C207"/>
    <mergeCell ref="C183:C184"/>
    <mergeCell ref="C128:C129"/>
    <mergeCell ref="E217:F217"/>
    <mergeCell ref="E218:F218"/>
    <mergeCell ref="E219:F219"/>
    <mergeCell ref="D142:D143"/>
    <mergeCell ref="E142:E143"/>
    <mergeCell ref="C165:C166"/>
    <mergeCell ref="B199:C199"/>
    <mergeCell ref="D128:D129"/>
    <mergeCell ref="E128:E129"/>
    <mergeCell ref="E138:E139"/>
    <mergeCell ref="D134:D135"/>
    <mergeCell ref="B161:B194"/>
    <mergeCell ref="C187:C188"/>
    <mergeCell ref="C189:C190"/>
    <mergeCell ref="C191:C192"/>
    <mergeCell ref="C193:C194"/>
    <mergeCell ref="C175:C176"/>
    <mergeCell ref="C177:C178"/>
    <mergeCell ref="D202:D203"/>
    <mergeCell ref="D204:D205"/>
    <mergeCell ref="D206:D207"/>
    <mergeCell ref="D200:D201"/>
    <mergeCell ref="E148:E149"/>
    <mergeCell ref="E156:E157"/>
    <mergeCell ref="E191:E192"/>
    <mergeCell ref="D150:D151"/>
    <mergeCell ref="E150:E151"/>
    <mergeCell ref="E181:E182"/>
    <mergeCell ref="E175:E176"/>
    <mergeCell ref="E179:E180"/>
    <mergeCell ref="Q181:Q182"/>
    <mergeCell ref="R181:R182"/>
    <mergeCell ref="O187:O188"/>
    <mergeCell ref="D146:D147"/>
    <mergeCell ref="E146:E147"/>
    <mergeCell ref="E167:E168"/>
    <mergeCell ref="E171:E172"/>
    <mergeCell ref="E187:E188"/>
    <mergeCell ref="E189:E190"/>
    <mergeCell ref="R191:R192"/>
    <mergeCell ref="S191:S192"/>
    <mergeCell ref="Q185:Q186"/>
    <mergeCell ref="N189:N190"/>
    <mergeCell ref="O189:O190"/>
    <mergeCell ref="P189:P190"/>
    <mergeCell ref="Q189:Q190"/>
    <mergeCell ref="R189:R190"/>
    <mergeCell ref="R187:R188"/>
    <mergeCell ref="N187:N188"/>
    <mergeCell ref="R185:R186"/>
    <mergeCell ref="E221:F221"/>
    <mergeCell ref="E222:F222"/>
    <mergeCell ref="E223:F223"/>
    <mergeCell ref="E224:F224"/>
    <mergeCell ref="E225:F225"/>
    <mergeCell ref="E226:F226"/>
    <mergeCell ref="E227:F227"/>
    <mergeCell ref="E216:F216"/>
    <mergeCell ref="E183:E184"/>
    <mergeCell ref="E220:F220"/>
    <mergeCell ref="S142:S143"/>
    <mergeCell ref="Q167:Q168"/>
    <mergeCell ref="S187:S188"/>
    <mergeCell ref="R146:R147"/>
    <mergeCell ref="S146:S147"/>
    <mergeCell ref="S171:S172"/>
    <mergeCell ref="T254:T255"/>
    <mergeCell ref="T256:T257"/>
    <mergeCell ref="T258:T259"/>
    <mergeCell ref="T177:T178"/>
    <mergeCell ref="T179:T180"/>
    <mergeCell ref="T246:T247"/>
    <mergeCell ref="T248:T249"/>
    <mergeCell ref="T250:T251"/>
    <mergeCell ref="T252:T253"/>
    <mergeCell ref="T142:T143"/>
    <mergeCell ref="T144:T145"/>
    <mergeCell ref="T152:T153"/>
    <mergeCell ref="T195:T196"/>
    <mergeCell ref="T240:T241"/>
    <mergeCell ref="T242:T243"/>
    <mergeCell ref="T198:T199"/>
    <mergeCell ref="T200:T201"/>
    <mergeCell ref="T202:T203"/>
    <mergeCell ref="T204:T205"/>
    <mergeCell ref="T206:T207"/>
    <mergeCell ref="T208:T209"/>
    <mergeCell ref="S148:S149"/>
    <mergeCell ref="T171:T172"/>
    <mergeCell ref="T191:T192"/>
    <mergeCell ref="T193:T194"/>
    <mergeCell ref="T181:T182"/>
    <mergeCell ref="T161:T162"/>
    <mergeCell ref="T163:T164"/>
    <mergeCell ref="T165:T166"/>
    <mergeCell ref="T167:T168"/>
    <mergeCell ref="T173:T174"/>
    <mergeCell ref="T175:T176"/>
    <mergeCell ref="T183:T184"/>
    <mergeCell ref="T185:T186"/>
    <mergeCell ref="T187:T188"/>
    <mergeCell ref="T189:T190"/>
    <mergeCell ref="T169:T170"/>
    <mergeCell ref="S167:S168"/>
    <mergeCell ref="S154:S155"/>
    <mergeCell ref="S179:S180"/>
    <mergeCell ref="S189:S190"/>
    <mergeCell ref="S185:S186"/>
    <mergeCell ref="T12:T13"/>
    <mergeCell ref="T14:T15"/>
    <mergeCell ref="T16:T17"/>
    <mergeCell ref="T18:T19"/>
    <mergeCell ref="T20:T21"/>
    <mergeCell ref="T22:T23"/>
    <mergeCell ref="T24:T25"/>
    <mergeCell ref="T26:T27"/>
    <mergeCell ref="T28:T29"/>
    <mergeCell ref="T83:T84"/>
    <mergeCell ref="T134:T135"/>
    <mergeCell ref="T148:T149"/>
    <mergeCell ref="T150:T151"/>
    <mergeCell ref="T146:T147"/>
    <mergeCell ref="T154:T155"/>
    <mergeCell ref="T156:T157"/>
    <mergeCell ref="T158:T159"/>
    <mergeCell ref="T138:T139"/>
    <mergeCell ref="T104:T105"/>
    <mergeCell ref="T106:T107"/>
    <mergeCell ref="T132:T133"/>
    <mergeCell ref="T128:T129"/>
    <mergeCell ref="T136:T137"/>
    <mergeCell ref="T140:T141"/>
    <mergeCell ref="T130:T131"/>
    <mergeCell ref="T118:T119"/>
    <mergeCell ref="T108:T109"/>
    <mergeCell ref="T122:T123"/>
    <mergeCell ref="T116:T117"/>
    <mergeCell ref="T100:T101"/>
    <mergeCell ref="T120:T121"/>
    <mergeCell ref="T112:T113"/>
    <mergeCell ref="T96:T97"/>
    <mergeCell ref="T30:T31"/>
    <mergeCell ref="T32:T33"/>
    <mergeCell ref="T34:T35"/>
    <mergeCell ref="T36:T37"/>
    <mergeCell ref="T38:T39"/>
    <mergeCell ref="T40:T41"/>
    <mergeCell ref="T42:T43"/>
    <mergeCell ref="T244:T245"/>
    <mergeCell ref="T210:T211"/>
    <mergeCell ref="T212:T213"/>
    <mergeCell ref="T214:T215"/>
    <mergeCell ref="T216:T217"/>
    <mergeCell ref="T218:T219"/>
    <mergeCell ref="T220:T221"/>
    <mergeCell ref="T222:T223"/>
    <mergeCell ref="T224:T225"/>
    <mergeCell ref="T226:T227"/>
    <mergeCell ref="T228:T229"/>
    <mergeCell ref="T230:T231"/>
    <mergeCell ref="T232:T233"/>
    <mergeCell ref="T234:T235"/>
    <mergeCell ref="T236:T237"/>
    <mergeCell ref="T238:T239"/>
    <mergeCell ref="T88:T89"/>
    <mergeCell ref="T110:T111"/>
    <mergeCell ref="T90:T91"/>
    <mergeCell ref="T126:T127"/>
    <mergeCell ref="T94:T95"/>
    <mergeCell ref="T124:T125"/>
    <mergeCell ref="T92:T93"/>
    <mergeCell ref="T98:T99"/>
    <mergeCell ref="T102:T103"/>
    <mergeCell ref="T114:T115"/>
    <mergeCell ref="T55:T56"/>
    <mergeCell ref="T57:T58"/>
    <mergeCell ref="T59:T60"/>
    <mergeCell ref="T61:T62"/>
    <mergeCell ref="T63:T64"/>
    <mergeCell ref="T65:T66"/>
    <mergeCell ref="T67:T68"/>
    <mergeCell ref="T69:T70"/>
    <mergeCell ref="T71:T72"/>
    <mergeCell ref="T49:T50"/>
    <mergeCell ref="T51:T52"/>
    <mergeCell ref="T44:T45"/>
    <mergeCell ref="R49:R50"/>
    <mergeCell ref="B49:B82"/>
    <mergeCell ref="D67:D68"/>
    <mergeCell ref="E67:E68"/>
    <mergeCell ref="N67:N68"/>
    <mergeCell ref="O67:O68"/>
    <mergeCell ref="P67:P68"/>
    <mergeCell ref="Q67:Q68"/>
    <mergeCell ref="R67:R68"/>
    <mergeCell ref="S67:S68"/>
    <mergeCell ref="S69:S70"/>
    <mergeCell ref="D63:D64"/>
    <mergeCell ref="E63:E64"/>
    <mergeCell ref="N63:N64"/>
    <mergeCell ref="O63:O64"/>
    <mergeCell ref="T79:T80"/>
    <mergeCell ref="T75:T76"/>
    <mergeCell ref="T73:T74"/>
    <mergeCell ref="T53:T54"/>
    <mergeCell ref="T77:T78"/>
    <mergeCell ref="T81:T82"/>
    <mergeCell ref="B2:S2"/>
    <mergeCell ref="B3:S3"/>
    <mergeCell ref="B6:B9"/>
    <mergeCell ref="B12:B43"/>
    <mergeCell ref="D24:D25"/>
    <mergeCell ref="E24:E25"/>
    <mergeCell ref="N24:N25"/>
    <mergeCell ref="O24:O25"/>
    <mergeCell ref="P24:P25"/>
    <mergeCell ref="Q24:Q25"/>
    <mergeCell ref="R24:R25"/>
    <mergeCell ref="S24:S25"/>
    <mergeCell ref="D28:D29"/>
    <mergeCell ref="E28:E29"/>
    <mergeCell ref="N28:N29"/>
    <mergeCell ref="O28:O29"/>
    <mergeCell ref="P28:P29"/>
    <mergeCell ref="Q28:Q29"/>
    <mergeCell ref="D12:D13"/>
    <mergeCell ref="R16:R17"/>
    <mergeCell ref="S16:S17"/>
    <mergeCell ref="D34:D35"/>
    <mergeCell ref="R12:R13"/>
    <mergeCell ref="S12:S13"/>
    <mergeCell ref="D14:D15"/>
    <mergeCell ref="E14:E15"/>
    <mergeCell ref="N14:N15"/>
    <mergeCell ref="O14:O15"/>
    <mergeCell ref="P14:P15"/>
    <mergeCell ref="Q14:Q15"/>
    <mergeCell ref="R14:R15"/>
    <mergeCell ref="S14:S15"/>
    <mergeCell ref="E12:E13"/>
    <mergeCell ref="N12:N13"/>
    <mergeCell ref="O12:O13"/>
    <mergeCell ref="P12:P13"/>
    <mergeCell ref="Q12:Q13"/>
    <mergeCell ref="D16:D17"/>
    <mergeCell ref="E16:E17"/>
    <mergeCell ref="N16:N17"/>
    <mergeCell ref="O16:O17"/>
    <mergeCell ref="P16:P17"/>
    <mergeCell ref="Q16:Q17"/>
    <mergeCell ref="D32:D33"/>
    <mergeCell ref="E32:E33"/>
    <mergeCell ref="N32:N33"/>
    <mergeCell ref="O32:O33"/>
    <mergeCell ref="P32:P33"/>
    <mergeCell ref="D22:D23"/>
    <mergeCell ref="E22:E23"/>
    <mergeCell ref="N22:N23"/>
    <mergeCell ref="O22:O23"/>
    <mergeCell ref="D18:D19"/>
    <mergeCell ref="E18:E19"/>
    <mergeCell ref="N18:N19"/>
    <mergeCell ref="O18:O19"/>
    <mergeCell ref="D20:D21"/>
    <mergeCell ref="E20:E21"/>
    <mergeCell ref="N20:N21"/>
    <mergeCell ref="O20:O21"/>
    <mergeCell ref="R18:R19"/>
    <mergeCell ref="S18:S19"/>
    <mergeCell ref="R22:R23"/>
    <mergeCell ref="S22:S23"/>
    <mergeCell ref="P30:P31"/>
    <mergeCell ref="Q30:Q31"/>
    <mergeCell ref="R30:R31"/>
    <mergeCell ref="S30:S31"/>
    <mergeCell ref="Q38:Q39"/>
    <mergeCell ref="R38:R39"/>
    <mergeCell ref="S38:S39"/>
    <mergeCell ref="R36:R37"/>
    <mergeCell ref="S36:S37"/>
    <mergeCell ref="Q20:Q21"/>
    <mergeCell ref="R20:R21"/>
    <mergeCell ref="S20:S21"/>
    <mergeCell ref="Q32:Q33"/>
    <mergeCell ref="R32:R33"/>
    <mergeCell ref="S32:S33"/>
    <mergeCell ref="P22:P23"/>
    <mergeCell ref="Q22:Q23"/>
    <mergeCell ref="P18:P19"/>
    <mergeCell ref="P20:P21"/>
    <mergeCell ref="Q18:Q19"/>
    <mergeCell ref="Q36:Q37"/>
    <mergeCell ref="D26:D27"/>
    <mergeCell ref="E26:E27"/>
    <mergeCell ref="N26:N27"/>
    <mergeCell ref="O26:O27"/>
    <mergeCell ref="P26:P27"/>
    <mergeCell ref="Q26:Q27"/>
    <mergeCell ref="R26:R27"/>
    <mergeCell ref="S26:S27"/>
    <mergeCell ref="D30:D31"/>
    <mergeCell ref="E30:E31"/>
    <mergeCell ref="N30:N31"/>
    <mergeCell ref="O30:O31"/>
    <mergeCell ref="Q34:Q35"/>
    <mergeCell ref="R34:R35"/>
    <mergeCell ref="S34:S35"/>
    <mergeCell ref="E34:E35"/>
    <mergeCell ref="N34:N35"/>
    <mergeCell ref="O34:O35"/>
    <mergeCell ref="P34:P35"/>
    <mergeCell ref="R28:R29"/>
    <mergeCell ref="S28:S29"/>
    <mergeCell ref="D38:D39"/>
    <mergeCell ref="E38:E39"/>
    <mergeCell ref="N38:N39"/>
    <mergeCell ref="O38:O39"/>
    <mergeCell ref="P38:P39"/>
    <mergeCell ref="D36:D37"/>
    <mergeCell ref="E36:E37"/>
    <mergeCell ref="N36:N37"/>
    <mergeCell ref="O36:O37"/>
    <mergeCell ref="P36:P37"/>
    <mergeCell ref="Q44:Q45"/>
    <mergeCell ref="R44:R45"/>
    <mergeCell ref="S44:S45"/>
    <mergeCell ref="E44:E45"/>
    <mergeCell ref="M44:M45"/>
    <mergeCell ref="N44:N45"/>
    <mergeCell ref="O44:O45"/>
    <mergeCell ref="P44:P45"/>
    <mergeCell ref="D40:D41"/>
    <mergeCell ref="E40:E41"/>
    <mergeCell ref="N40:N41"/>
    <mergeCell ref="O40:O41"/>
    <mergeCell ref="P40:P41"/>
    <mergeCell ref="Q40:Q41"/>
    <mergeCell ref="R40:R41"/>
    <mergeCell ref="S40:S41"/>
    <mergeCell ref="D42:D43"/>
    <mergeCell ref="E42:E43"/>
    <mergeCell ref="N42:N43"/>
    <mergeCell ref="O42:O43"/>
    <mergeCell ref="P42:P43"/>
    <mergeCell ref="Q42:Q43"/>
    <mergeCell ref="R42:R43"/>
    <mergeCell ref="S42:S43"/>
    <mergeCell ref="P63:P64"/>
    <mergeCell ref="Q63:Q64"/>
    <mergeCell ref="D49:D50"/>
    <mergeCell ref="E49:E50"/>
    <mergeCell ref="N49:N50"/>
    <mergeCell ref="O49:O50"/>
    <mergeCell ref="P49:P50"/>
    <mergeCell ref="Q49:Q50"/>
    <mergeCell ref="S49:S50"/>
    <mergeCell ref="R63:R64"/>
    <mergeCell ref="S63:S64"/>
    <mergeCell ref="Q59:Q60"/>
    <mergeCell ref="R59:R60"/>
    <mergeCell ref="S59:S60"/>
    <mergeCell ref="D57:D58"/>
    <mergeCell ref="E57:E58"/>
    <mergeCell ref="N57:N58"/>
    <mergeCell ref="O57:O58"/>
    <mergeCell ref="P57:P58"/>
    <mergeCell ref="Q57:Q58"/>
    <mergeCell ref="R57:R58"/>
    <mergeCell ref="S57:S58"/>
    <mergeCell ref="E55:E56"/>
    <mergeCell ref="N55:N56"/>
    <mergeCell ref="R55:R56"/>
    <mergeCell ref="S55:S56"/>
    <mergeCell ref="D59:D60"/>
    <mergeCell ref="E59:E60"/>
    <mergeCell ref="N59:N60"/>
    <mergeCell ref="O59:O60"/>
    <mergeCell ref="P59:P60"/>
    <mergeCell ref="D61:D62"/>
    <mergeCell ref="E61:E62"/>
    <mergeCell ref="N61:N62"/>
    <mergeCell ref="O61:O62"/>
    <mergeCell ref="P61:P62"/>
    <mergeCell ref="Q61:Q62"/>
    <mergeCell ref="R61:R62"/>
    <mergeCell ref="S61:S62"/>
    <mergeCell ref="D55:D56"/>
    <mergeCell ref="P55:P56"/>
    <mergeCell ref="Q55:Q56"/>
    <mergeCell ref="O55:O56"/>
    <mergeCell ref="Q65:Q66"/>
    <mergeCell ref="D79:D80"/>
    <mergeCell ref="E79:E80"/>
    <mergeCell ref="N79:N80"/>
    <mergeCell ref="O79:O80"/>
    <mergeCell ref="P79:P80"/>
    <mergeCell ref="Q79:Q80"/>
    <mergeCell ref="R79:R80"/>
    <mergeCell ref="S79:S80"/>
    <mergeCell ref="P71:P72"/>
    <mergeCell ref="Q71:Q72"/>
    <mergeCell ref="R71:R72"/>
    <mergeCell ref="S71:S72"/>
    <mergeCell ref="R69:R70"/>
    <mergeCell ref="D69:D70"/>
    <mergeCell ref="E69:E70"/>
    <mergeCell ref="N69:N70"/>
    <mergeCell ref="O69:O70"/>
    <mergeCell ref="P69:P70"/>
    <mergeCell ref="Q69:Q70"/>
    <mergeCell ref="D51:D52"/>
    <mergeCell ref="E51:E52"/>
    <mergeCell ref="N51:N52"/>
    <mergeCell ref="O51:O52"/>
    <mergeCell ref="P51:P52"/>
    <mergeCell ref="Q51:Q52"/>
    <mergeCell ref="R51:R52"/>
    <mergeCell ref="S51:S52"/>
    <mergeCell ref="Q73:Q74"/>
    <mergeCell ref="R73:R74"/>
    <mergeCell ref="S73:S74"/>
    <mergeCell ref="D73:D74"/>
    <mergeCell ref="E73:E74"/>
    <mergeCell ref="N73:N74"/>
    <mergeCell ref="O73:O74"/>
    <mergeCell ref="P73:P74"/>
    <mergeCell ref="R65:R66"/>
    <mergeCell ref="S65:S66"/>
    <mergeCell ref="D65:D66"/>
    <mergeCell ref="E65:E66"/>
    <mergeCell ref="N65:N66"/>
    <mergeCell ref="O65:O66"/>
    <mergeCell ref="P65:P66"/>
    <mergeCell ref="D71:D72"/>
    <mergeCell ref="D53:D54"/>
    <mergeCell ref="E53:E54"/>
    <mergeCell ref="N53:N54"/>
    <mergeCell ref="O53:O54"/>
    <mergeCell ref="P53:P54"/>
    <mergeCell ref="Q53:Q54"/>
    <mergeCell ref="R53:R54"/>
    <mergeCell ref="S53:S54"/>
    <mergeCell ref="D81:D82"/>
    <mergeCell ref="E81:E82"/>
    <mergeCell ref="N81:N82"/>
    <mergeCell ref="O81:O82"/>
    <mergeCell ref="P81:P82"/>
    <mergeCell ref="D75:D76"/>
    <mergeCell ref="E75:E76"/>
    <mergeCell ref="N75:N76"/>
    <mergeCell ref="O75:O76"/>
    <mergeCell ref="P75:P76"/>
    <mergeCell ref="Q75:Q76"/>
    <mergeCell ref="R75:R76"/>
    <mergeCell ref="S75:S76"/>
    <mergeCell ref="E71:E72"/>
    <mergeCell ref="N71:N72"/>
    <mergeCell ref="O71:O72"/>
    <mergeCell ref="S83:S84"/>
    <mergeCell ref="D77:D78"/>
    <mergeCell ref="E77:E78"/>
    <mergeCell ref="N77:N78"/>
    <mergeCell ref="O77:O78"/>
    <mergeCell ref="P77:P78"/>
    <mergeCell ref="Q77:Q78"/>
    <mergeCell ref="R77:R78"/>
    <mergeCell ref="S77:S78"/>
    <mergeCell ref="Q81:Q82"/>
    <mergeCell ref="R81:R82"/>
    <mergeCell ref="S81:S82"/>
    <mergeCell ref="E83:E84"/>
    <mergeCell ref="N83:N84"/>
    <mergeCell ref="O83:O84"/>
    <mergeCell ref="P83:P84"/>
    <mergeCell ref="Q83:Q84"/>
    <mergeCell ref="R83:R84"/>
    <mergeCell ref="B88:B155"/>
    <mergeCell ref="D88:D89"/>
    <mergeCell ref="E88:E89"/>
    <mergeCell ref="N88:N89"/>
    <mergeCell ref="O88:O89"/>
    <mergeCell ref="P88:P89"/>
    <mergeCell ref="Q88:Q89"/>
    <mergeCell ref="R88:R89"/>
    <mergeCell ref="Q132:Q133"/>
    <mergeCell ref="R132:R133"/>
    <mergeCell ref="Q140:Q141"/>
    <mergeCell ref="R140:R141"/>
    <mergeCell ref="D118:D119"/>
    <mergeCell ref="E118:E119"/>
    <mergeCell ref="D136:D137"/>
    <mergeCell ref="E136:E137"/>
    <mergeCell ref="N136:N137"/>
    <mergeCell ref="P148:P149"/>
    <mergeCell ref="Q148:Q149"/>
    <mergeCell ref="R148:R149"/>
    <mergeCell ref="R154:R155"/>
    <mergeCell ref="Q142:Q143"/>
    <mergeCell ref="R142:R143"/>
    <mergeCell ref="D148:D149"/>
    <mergeCell ref="D94:D95"/>
    <mergeCell ref="E94:E95"/>
    <mergeCell ref="N94:N95"/>
    <mergeCell ref="R118:R119"/>
    <mergeCell ref="S118:S119"/>
    <mergeCell ref="E90:E91"/>
    <mergeCell ref="N90:N91"/>
    <mergeCell ref="O90:O91"/>
    <mergeCell ref="P90:P91"/>
    <mergeCell ref="Q90:Q91"/>
    <mergeCell ref="R90:R91"/>
    <mergeCell ref="S90:S91"/>
    <mergeCell ref="R110:R111"/>
    <mergeCell ref="S110:S111"/>
    <mergeCell ref="O118:O119"/>
    <mergeCell ref="P118:P119"/>
    <mergeCell ref="Q114:Q115"/>
    <mergeCell ref="R102:R103"/>
    <mergeCell ref="S102:S103"/>
    <mergeCell ref="R112:R113"/>
    <mergeCell ref="S112:S113"/>
    <mergeCell ref="R108:R109"/>
    <mergeCell ref="O110:O111"/>
    <mergeCell ref="P110:P111"/>
    <mergeCell ref="D132:D133"/>
    <mergeCell ref="N138:N139"/>
    <mergeCell ref="O138:O139"/>
    <mergeCell ref="P138:P139"/>
    <mergeCell ref="Q138:Q139"/>
    <mergeCell ref="R138:R139"/>
    <mergeCell ref="S88:S89"/>
    <mergeCell ref="D106:D107"/>
    <mergeCell ref="E106:E107"/>
    <mergeCell ref="N106:N107"/>
    <mergeCell ref="O106:O107"/>
    <mergeCell ref="P106:P107"/>
    <mergeCell ref="Q106:Q107"/>
    <mergeCell ref="R106:R107"/>
    <mergeCell ref="S106:S107"/>
    <mergeCell ref="R96:R97"/>
    <mergeCell ref="S96:S97"/>
    <mergeCell ref="Q100:Q101"/>
    <mergeCell ref="R100:R101"/>
    <mergeCell ref="S100:S101"/>
    <mergeCell ref="R94:R95"/>
    <mergeCell ref="S94:S95"/>
    <mergeCell ref="D90:D91"/>
    <mergeCell ref="N102:N103"/>
    <mergeCell ref="S136:S137"/>
    <mergeCell ref="S140:S141"/>
    <mergeCell ref="D130:D131"/>
    <mergeCell ref="E130:E131"/>
    <mergeCell ref="N130:N131"/>
    <mergeCell ref="O130:O131"/>
    <mergeCell ref="P130:P131"/>
    <mergeCell ref="Q130:Q131"/>
    <mergeCell ref="D140:D141"/>
    <mergeCell ref="E140:E141"/>
    <mergeCell ref="N140:N141"/>
    <mergeCell ref="O140:O141"/>
    <mergeCell ref="P140:P141"/>
    <mergeCell ref="R130:R131"/>
    <mergeCell ref="S130:S131"/>
    <mergeCell ref="S132:S133"/>
    <mergeCell ref="O136:O137"/>
    <mergeCell ref="P136:P137"/>
    <mergeCell ref="Q136:Q137"/>
    <mergeCell ref="R136:R137"/>
    <mergeCell ref="O134:O135"/>
    <mergeCell ref="P134:P135"/>
    <mergeCell ref="Q134:Q135"/>
    <mergeCell ref="D138:D139"/>
    <mergeCell ref="D126:D127"/>
    <mergeCell ref="E126:E127"/>
    <mergeCell ref="N126:N127"/>
    <mergeCell ref="O126:O127"/>
    <mergeCell ref="P126:P127"/>
    <mergeCell ref="D96:D97"/>
    <mergeCell ref="E96:E97"/>
    <mergeCell ref="N96:N97"/>
    <mergeCell ref="O94:O95"/>
    <mergeCell ref="P94:P95"/>
    <mergeCell ref="D108:D109"/>
    <mergeCell ref="E108:E109"/>
    <mergeCell ref="N108:N109"/>
    <mergeCell ref="D100:D101"/>
    <mergeCell ref="E100:E101"/>
    <mergeCell ref="N100:N101"/>
    <mergeCell ref="O100:O101"/>
    <mergeCell ref="P100:P101"/>
    <mergeCell ref="D104:D105"/>
    <mergeCell ref="E104:E105"/>
    <mergeCell ref="N104:N105"/>
    <mergeCell ref="O104:O105"/>
    <mergeCell ref="D102:D103"/>
    <mergeCell ref="E102:E103"/>
    <mergeCell ref="D124:D125"/>
    <mergeCell ref="E124:E125"/>
    <mergeCell ref="N124:N125"/>
    <mergeCell ref="O124:O125"/>
    <mergeCell ref="P124:P125"/>
    <mergeCell ref="Q124:Q125"/>
    <mergeCell ref="D120:D121"/>
    <mergeCell ref="E120:E121"/>
    <mergeCell ref="N120:N121"/>
    <mergeCell ref="O120:O121"/>
    <mergeCell ref="P120:P121"/>
    <mergeCell ref="P112:P113"/>
    <mergeCell ref="Q112:Q113"/>
    <mergeCell ref="Q96:Q97"/>
    <mergeCell ref="O108:O109"/>
    <mergeCell ref="P108:P109"/>
    <mergeCell ref="Q108:Q109"/>
    <mergeCell ref="D122:D123"/>
    <mergeCell ref="E122:E123"/>
    <mergeCell ref="N122:N123"/>
    <mergeCell ref="O122:O123"/>
    <mergeCell ref="D110:D111"/>
    <mergeCell ref="E110:E111"/>
    <mergeCell ref="N110:N111"/>
    <mergeCell ref="Q118:Q119"/>
    <mergeCell ref="N118:N119"/>
    <mergeCell ref="O102:O103"/>
    <mergeCell ref="P102:P103"/>
    <mergeCell ref="Q102:Q103"/>
    <mergeCell ref="Q110:Q111"/>
    <mergeCell ref="R120:R121"/>
    <mergeCell ref="S120:S121"/>
    <mergeCell ref="R122:R123"/>
    <mergeCell ref="S122:S123"/>
    <mergeCell ref="R124:R125"/>
    <mergeCell ref="S124:S125"/>
    <mergeCell ref="S114:S115"/>
    <mergeCell ref="Q104:Q105"/>
    <mergeCell ref="R104:R105"/>
    <mergeCell ref="S104:S105"/>
    <mergeCell ref="R114:R115"/>
    <mergeCell ref="S108:S109"/>
    <mergeCell ref="S126:S127"/>
    <mergeCell ref="E132:E133"/>
    <mergeCell ref="N132:N133"/>
    <mergeCell ref="O132:O133"/>
    <mergeCell ref="P132:P133"/>
    <mergeCell ref="R128:R129"/>
    <mergeCell ref="S128:S129"/>
    <mergeCell ref="R134:R135"/>
    <mergeCell ref="S134:S135"/>
    <mergeCell ref="E134:E135"/>
    <mergeCell ref="N134:N135"/>
    <mergeCell ref="Q126:Q127"/>
    <mergeCell ref="N128:N129"/>
    <mergeCell ref="O128:O129"/>
    <mergeCell ref="P128:P129"/>
    <mergeCell ref="Q128:Q129"/>
    <mergeCell ref="Q92:Q93"/>
    <mergeCell ref="R92:R93"/>
    <mergeCell ref="S92:S93"/>
    <mergeCell ref="D92:D93"/>
    <mergeCell ref="E92:E93"/>
    <mergeCell ref="N92:N93"/>
    <mergeCell ref="O92:O93"/>
    <mergeCell ref="P92:P93"/>
    <mergeCell ref="S116:S117"/>
    <mergeCell ref="P104:P105"/>
    <mergeCell ref="D114:D115"/>
    <mergeCell ref="E114:E115"/>
    <mergeCell ref="N114:N115"/>
    <mergeCell ref="O114:O115"/>
    <mergeCell ref="P114:P115"/>
    <mergeCell ref="Q116:Q117"/>
    <mergeCell ref="R116:R117"/>
    <mergeCell ref="Q94:Q95"/>
    <mergeCell ref="O96:O97"/>
    <mergeCell ref="P96:P97"/>
    <mergeCell ref="D112:D113"/>
    <mergeCell ref="E112:E113"/>
    <mergeCell ref="N112:N113"/>
    <mergeCell ref="O112:O113"/>
    <mergeCell ref="R98:R99"/>
    <mergeCell ref="S98:S99"/>
    <mergeCell ref="R144:R145"/>
    <mergeCell ref="S144:S145"/>
    <mergeCell ref="D152:D153"/>
    <mergeCell ref="E152:E153"/>
    <mergeCell ref="N152:N153"/>
    <mergeCell ref="O152:O153"/>
    <mergeCell ref="P152:P153"/>
    <mergeCell ref="Q152:Q153"/>
    <mergeCell ref="R152:R153"/>
    <mergeCell ref="S152:S153"/>
    <mergeCell ref="D144:D145"/>
    <mergeCell ref="E144:E145"/>
    <mergeCell ref="N144:N145"/>
    <mergeCell ref="O144:O145"/>
    <mergeCell ref="S138:S139"/>
    <mergeCell ref="D98:D99"/>
    <mergeCell ref="E98:E99"/>
    <mergeCell ref="N98:N99"/>
    <mergeCell ref="O98:O99"/>
    <mergeCell ref="P98:P99"/>
    <mergeCell ref="P142:P143"/>
    <mergeCell ref="R126:R127"/>
    <mergeCell ref="R150:R151"/>
    <mergeCell ref="S150:S151"/>
    <mergeCell ref="D154:D155"/>
    <mergeCell ref="E154:E155"/>
    <mergeCell ref="N154:N155"/>
    <mergeCell ref="O154:O155"/>
    <mergeCell ref="P154:P155"/>
    <mergeCell ref="Q154:Q155"/>
    <mergeCell ref="N156:N157"/>
    <mergeCell ref="O156:O157"/>
    <mergeCell ref="P156:P157"/>
    <mergeCell ref="Q156:Q157"/>
    <mergeCell ref="R156:R157"/>
    <mergeCell ref="S156:S157"/>
    <mergeCell ref="S165:S166"/>
    <mergeCell ref="E163:E164"/>
    <mergeCell ref="N163:N164"/>
    <mergeCell ref="O163:O164"/>
    <mergeCell ref="P163:P164"/>
    <mergeCell ref="Q163:Q164"/>
    <mergeCell ref="R163:R164"/>
    <mergeCell ref="S163:S164"/>
    <mergeCell ref="E165:E166"/>
    <mergeCell ref="N165:N166"/>
    <mergeCell ref="O165:O166"/>
    <mergeCell ref="P165:P166"/>
    <mergeCell ref="Q165:Q166"/>
    <mergeCell ref="R165:R166"/>
    <mergeCell ref="S161:S162"/>
    <mergeCell ref="E161:E162"/>
    <mergeCell ref="N161:N162"/>
    <mergeCell ref="O161:O162"/>
    <mergeCell ref="P161:P162"/>
    <mergeCell ref="Q161:Q162"/>
    <mergeCell ref="R161:R162"/>
    <mergeCell ref="M156:M157"/>
    <mergeCell ref="S169:S170"/>
    <mergeCell ref="O167:O168"/>
    <mergeCell ref="Q169:Q170"/>
    <mergeCell ref="R169:R170"/>
    <mergeCell ref="R167:R168"/>
    <mergeCell ref="P167:P168"/>
    <mergeCell ref="R171:R172"/>
    <mergeCell ref="S173:S174"/>
    <mergeCell ref="N177:N178"/>
    <mergeCell ref="O177:O178"/>
    <mergeCell ref="P177:P178"/>
    <mergeCell ref="Q177:Q178"/>
    <mergeCell ref="R177:R178"/>
    <mergeCell ref="S177:S178"/>
    <mergeCell ref="O173:O174"/>
    <mergeCell ref="R175:R176"/>
    <mergeCell ref="R173:R174"/>
    <mergeCell ref="S175:S176"/>
    <mergeCell ref="P173:P174"/>
    <mergeCell ref="Q173:Q174"/>
    <mergeCell ref="C161:C162"/>
    <mergeCell ref="C163:C164"/>
    <mergeCell ref="N171:N172"/>
    <mergeCell ref="E169:E170"/>
    <mergeCell ref="N169:N170"/>
    <mergeCell ref="O169:O170"/>
    <mergeCell ref="P169:P170"/>
    <mergeCell ref="O185:O186"/>
    <mergeCell ref="C179:C180"/>
    <mergeCell ref="C181:C182"/>
    <mergeCell ref="C185:C186"/>
    <mergeCell ref="N179:N180"/>
    <mergeCell ref="O179:O180"/>
    <mergeCell ref="N175:N176"/>
    <mergeCell ref="O175:O176"/>
    <mergeCell ref="N167:N168"/>
    <mergeCell ref="E173:E174"/>
    <mergeCell ref="E177:E178"/>
    <mergeCell ref="N183:N184"/>
    <mergeCell ref="O183:O184"/>
    <mergeCell ref="P183:P184"/>
    <mergeCell ref="R179:R180"/>
    <mergeCell ref="N181:N182"/>
    <mergeCell ref="O181:O182"/>
    <mergeCell ref="P181:P182"/>
    <mergeCell ref="P175:P176"/>
    <mergeCell ref="Q175:Q176"/>
    <mergeCell ref="S193:S194"/>
    <mergeCell ref="E195:E196"/>
    <mergeCell ref="M195:M196"/>
    <mergeCell ref="N195:N196"/>
    <mergeCell ref="O195:O196"/>
    <mergeCell ref="P195:P196"/>
    <mergeCell ref="Q195:Q196"/>
    <mergeCell ref="R195:R196"/>
    <mergeCell ref="S195:S196"/>
    <mergeCell ref="O193:O194"/>
    <mergeCell ref="P193:P194"/>
    <mergeCell ref="Q193:Q194"/>
    <mergeCell ref="R193:R194"/>
    <mergeCell ref="E185:E186"/>
    <mergeCell ref="Q183:Q184"/>
    <mergeCell ref="R183:R184"/>
    <mergeCell ref="S183:S184"/>
    <mergeCell ref="S181:S182"/>
    <mergeCell ref="N116:N117"/>
    <mergeCell ref="O116:O117"/>
    <mergeCell ref="P116:P117"/>
    <mergeCell ref="P122:P123"/>
    <mergeCell ref="Q122:Q123"/>
    <mergeCell ref="N146:N147"/>
    <mergeCell ref="O146:O147"/>
    <mergeCell ref="P146:P147"/>
    <mergeCell ref="Q179:Q180"/>
    <mergeCell ref="N173:N174"/>
    <mergeCell ref="N148:N149"/>
    <mergeCell ref="O148:O149"/>
    <mergeCell ref="N150:N151"/>
    <mergeCell ref="O150:O151"/>
    <mergeCell ref="P150:P151"/>
    <mergeCell ref="Q150:Q151"/>
    <mergeCell ref="P144:P145"/>
    <mergeCell ref="Q144:Q145"/>
    <mergeCell ref="Q120:Q121"/>
    <mergeCell ref="N142:N143"/>
    <mergeCell ref="O142:O143"/>
    <mergeCell ref="C32:C33"/>
    <mergeCell ref="C61:C62"/>
    <mergeCell ref="C57:C58"/>
    <mergeCell ref="C53:C54"/>
    <mergeCell ref="C77:C78"/>
    <mergeCell ref="C49:C50"/>
    <mergeCell ref="P187:P188"/>
    <mergeCell ref="Q187:Q188"/>
    <mergeCell ref="E193:E194"/>
    <mergeCell ref="N193:N194"/>
    <mergeCell ref="N185:N186"/>
    <mergeCell ref="P185:P186"/>
    <mergeCell ref="P179:P180"/>
    <mergeCell ref="O191:O192"/>
    <mergeCell ref="P191:P192"/>
    <mergeCell ref="Q191:Q192"/>
    <mergeCell ref="N191:N192"/>
    <mergeCell ref="Q146:Q147"/>
    <mergeCell ref="Q98:Q99"/>
    <mergeCell ref="D116:D117"/>
    <mergeCell ref="E116:E117"/>
    <mergeCell ref="O171:O172"/>
    <mergeCell ref="P171:P172"/>
    <mergeCell ref="Q171:Q172"/>
    <mergeCell ref="C88:C89"/>
    <mergeCell ref="C132:C133"/>
    <mergeCell ref="C136:C137"/>
    <mergeCell ref="C140:C141"/>
    <mergeCell ref="C130:C131"/>
    <mergeCell ref="C118:C119"/>
    <mergeCell ref="C108:C109"/>
    <mergeCell ref="C100:C101"/>
    <mergeCell ref="C120:C121"/>
    <mergeCell ref="C92:C93"/>
    <mergeCell ref="C98:C99"/>
    <mergeCell ref="C112:C113"/>
    <mergeCell ref="C96:C97"/>
    <mergeCell ref="C110:C111"/>
    <mergeCell ref="C106:C107"/>
    <mergeCell ref="C104:C105"/>
    <mergeCell ref="C138:C139"/>
    <mergeCell ref="C122:C123"/>
    <mergeCell ref="C24:C25"/>
    <mergeCell ref="C65:C66"/>
    <mergeCell ref="C69:C70"/>
    <mergeCell ref="C73:C74"/>
    <mergeCell ref="C81:C82"/>
    <mergeCell ref="C167:C168"/>
    <mergeCell ref="C169:C170"/>
    <mergeCell ref="C171:C172"/>
    <mergeCell ref="C173:C174"/>
    <mergeCell ref="C134:C135"/>
    <mergeCell ref="C148:C149"/>
    <mergeCell ref="C150:C151"/>
    <mergeCell ref="C146:C147"/>
    <mergeCell ref="C154:C155"/>
    <mergeCell ref="C116:C117"/>
    <mergeCell ref="C142:C143"/>
    <mergeCell ref="C144:C145"/>
    <mergeCell ref="C152:C153"/>
    <mergeCell ref="C90:C91"/>
    <mergeCell ref="C126:C127"/>
    <mergeCell ref="C94:C95"/>
    <mergeCell ref="C124:C125"/>
    <mergeCell ref="C102:C103"/>
    <mergeCell ref="C114:C115"/>
  </mergeCells>
  <conditionalFormatting sqref="P7">
    <cfRule type="cellIs" dxfId="18" priority="119" operator="greaterThan">
      <formula>0.9</formula>
    </cfRule>
  </conditionalFormatting>
  <conditionalFormatting sqref="P7">
    <cfRule type="dataBar" priority="118">
      <dataBar>
        <cfvo type="min" val="0"/>
        <cfvo type="max" val="0"/>
        <color rgb="FF008AEF"/>
      </dataBar>
    </cfRule>
  </conditionalFormatting>
  <conditionalFormatting sqref="J191 J193 J171 J169 J154 J161 J167 J177 J183 J189 J163 J173 J179 J185 J165 J175 J181 J187 J102 J152 J150 J148 J146 J144 J142 J140 J138 J136 J134 J132 J130 J128 J124 J126 J49:J82 J120 J118 J116 J112 J110 J108 J106 J104 J100 J98 J96 J94 J92 J90 J88 J114 J12:J43">
    <cfRule type="cellIs" dxfId="17" priority="117" operator="equal">
      <formula>0</formula>
    </cfRule>
  </conditionalFormatting>
  <conditionalFormatting sqref="J191 J193 J171 J169 J154 J161 J167 J177 J183 J189 J165 J175 J181 J187 J163 J173 J179 J185 J102 J152 J150 J148 J146 J144 J142 J140 J138 J136 J134 J132 J130 J128 J124 J126 J49:J82 J120 J118 J116 J112 J110 J108 J106 J104 J100 J98 J96 J94 J92 J90 J88 J114 J12:J43 H217:H227">
    <cfRule type="cellIs" dxfId="16" priority="115" stopIfTrue="1" operator="greaterThan">
      <formula>0</formula>
    </cfRule>
  </conditionalFormatting>
  <conditionalFormatting sqref="J12:J43">
    <cfRule type="cellIs" dxfId="15" priority="80" stopIfTrue="1" operator="greaterThan">
      <formula>0</formula>
    </cfRule>
    <cfRule type="cellIs" dxfId="14" priority="81" stopIfTrue="1" operator="lessThan">
      <formula>0</formula>
    </cfRule>
  </conditionalFormatting>
  <conditionalFormatting sqref="J161:J194 J49:J82 J12:J43 J88:J121 J124:J155 I217:I227">
    <cfRule type="cellIs" dxfId="13" priority="12" operator="greaterThan">
      <formula>0</formula>
    </cfRule>
  </conditionalFormatting>
  <conditionalFormatting sqref="H161:H194 H88:H155 H12:H43 H49:H82">
    <cfRule type="cellIs" dxfId="12" priority="11" operator="lessThan">
      <formula>0</formula>
    </cfRule>
  </conditionalFormatting>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tabColor rgb="FF0070C0"/>
  </sheetPr>
  <dimension ref="A1:BK291"/>
  <sheetViews>
    <sheetView showGridLines="0" tabSelected="1" topLeftCell="B249" zoomScale="55" zoomScaleNormal="55" zoomScalePageLayoutView="55" workbookViewId="0">
      <selection activeCell="R292" sqref="R292"/>
    </sheetView>
  </sheetViews>
  <sheetFormatPr baseColWidth="10" defaultColWidth="11.44140625" defaultRowHeight="14.4"/>
  <cols>
    <col min="1" max="1" width="2.33203125" style="54" hidden="1" customWidth="1"/>
    <col min="2" max="2" width="6.44140625" style="54" customWidth="1"/>
    <col min="3" max="3" width="21.44140625" style="51" customWidth="1"/>
    <col min="4" max="4" width="10.6640625" style="51" customWidth="1"/>
    <col min="5" max="5" width="21" style="51" customWidth="1"/>
    <col min="6" max="6" width="13.109375" style="51" customWidth="1"/>
    <col min="7" max="7" width="13.6640625" style="51" customWidth="1"/>
    <col min="8" max="8" width="12.44140625" style="3" customWidth="1"/>
    <col min="9" max="9" width="12.33203125" style="51" customWidth="1"/>
    <col min="10" max="10" width="12.44140625" style="51" customWidth="1"/>
    <col min="11" max="11" width="14.44140625" style="51" customWidth="1"/>
    <col min="12" max="12" width="15" style="51" customWidth="1"/>
    <col min="13" max="13" width="14.77734375" style="53" customWidth="1"/>
    <col min="14" max="14" width="16.6640625" style="51" hidden="1" customWidth="1"/>
    <col min="15" max="15" width="0.109375" style="3" hidden="1" customWidth="1"/>
    <col min="16" max="16" width="16" style="51" hidden="1" customWidth="1"/>
    <col min="17" max="17" width="13.33203125" style="51" customWidth="1"/>
    <col min="18" max="18" width="18.6640625" style="51" customWidth="1"/>
    <col min="19" max="19" width="12.44140625" style="51" customWidth="1"/>
    <col min="20" max="20" width="13.33203125" style="51" customWidth="1"/>
    <col min="21" max="21" width="8.44140625" style="51" hidden="1" customWidth="1"/>
    <col min="22" max="22" width="25.6640625" style="51" customWidth="1"/>
    <col min="23" max="23" width="18.44140625" style="51" customWidth="1"/>
    <col min="24" max="24" width="40" style="51" customWidth="1"/>
    <col min="25" max="25" width="16" style="51" bestFit="1" customWidth="1"/>
    <col min="26" max="26" width="12.33203125" style="51" bestFit="1" customWidth="1"/>
    <col min="27" max="27" width="17.33203125" style="51" bestFit="1" customWidth="1"/>
    <col min="28" max="28" width="23" style="51" bestFit="1" customWidth="1"/>
    <col min="29" max="29" width="18.33203125" style="51" bestFit="1" customWidth="1"/>
    <col min="30" max="30" width="15" style="51" customWidth="1"/>
    <col min="31" max="31" width="12.44140625" style="51" bestFit="1" customWidth="1"/>
    <col min="32" max="32" width="14.44140625" style="51" bestFit="1" customWidth="1"/>
    <col min="33" max="33" width="16" style="51" bestFit="1" customWidth="1"/>
    <col min="34" max="34" width="21" style="51" bestFit="1" customWidth="1"/>
    <col min="35" max="35" width="23" style="51" bestFit="1" customWidth="1"/>
    <col min="36" max="36" width="18.33203125" style="51" bestFit="1" customWidth="1"/>
    <col min="37" max="37" width="21.44140625" style="51" bestFit="1" customWidth="1"/>
    <col min="38" max="38" width="12.44140625" style="51" bestFit="1" customWidth="1"/>
    <col min="39" max="39" width="9.6640625" style="51" bestFit="1" customWidth="1"/>
    <col min="40" max="40" width="14.109375" style="51" bestFit="1" customWidth="1"/>
    <col min="41" max="41" width="10" style="51" bestFit="1" customWidth="1"/>
    <col min="42" max="42" width="15.44140625" style="51" customWidth="1"/>
    <col min="43" max="43" width="44.44140625" style="51" customWidth="1"/>
    <col min="44" max="44" width="14.44140625" style="51" bestFit="1" customWidth="1"/>
    <col min="45" max="45" width="12.33203125" style="6" bestFit="1" customWidth="1"/>
    <col min="46" max="46" width="21.77734375" style="51" customWidth="1"/>
    <col min="47" max="47" width="23" style="51" bestFit="1" customWidth="1"/>
    <col min="48" max="48" width="18.33203125" style="51" bestFit="1" customWidth="1"/>
    <col min="49" max="49" width="14.44140625" style="51" customWidth="1"/>
    <col min="50" max="50" width="17.44140625" style="51" customWidth="1"/>
    <col min="51" max="51" width="9.33203125" style="51" bestFit="1" customWidth="1"/>
    <col min="52" max="52" width="14.44140625" style="51" bestFit="1" customWidth="1"/>
    <col min="53" max="53" width="21" style="51" bestFit="1" customWidth="1"/>
    <col min="54" max="54" width="23" style="51" bestFit="1" customWidth="1"/>
    <col min="55" max="55" width="18.33203125" style="51" bestFit="1" customWidth="1"/>
    <col min="56" max="56" width="21.44140625" style="51" bestFit="1" customWidth="1"/>
    <col min="57" max="57" width="12.44140625" style="51" bestFit="1" customWidth="1"/>
    <col min="58" max="58" width="9.6640625" style="51" bestFit="1" customWidth="1"/>
    <col min="59" max="59" width="14.109375" style="51" bestFit="1" customWidth="1"/>
    <col min="60" max="60" width="6.44140625" style="51" hidden="1" customWidth="1"/>
    <col min="61" max="61" width="24.6640625" style="51" customWidth="1"/>
    <col min="62" max="62" width="16.6640625" style="51" customWidth="1"/>
    <col min="63" max="63" width="42.44140625" style="51" bestFit="1" customWidth="1"/>
    <col min="64" max="64" width="18.33203125" style="51" customWidth="1"/>
    <col min="65" max="65" width="11.44140625" style="51"/>
    <col min="66" max="66" width="14.77734375" style="51" bestFit="1" customWidth="1"/>
    <col min="67" max="67" width="20.6640625" style="51" customWidth="1"/>
    <col min="68" max="68" width="15.6640625" style="51" customWidth="1"/>
    <col min="69" max="69" width="11.44140625" style="51"/>
    <col min="70" max="70" width="14" style="51" customWidth="1"/>
    <col min="71" max="71" width="11.44140625" style="51"/>
    <col min="72" max="72" width="17.44140625" style="51" customWidth="1"/>
    <col min="73" max="73" width="21" style="51" bestFit="1" customWidth="1"/>
    <col min="74" max="74" width="14.109375" style="51" bestFit="1" customWidth="1"/>
    <col min="75" max="75" width="18.33203125" style="51" bestFit="1" customWidth="1"/>
    <col min="76" max="76" width="12.6640625" style="51" bestFit="1" customWidth="1"/>
    <col min="77" max="77" width="12.44140625" style="51" bestFit="1" customWidth="1"/>
    <col min="78" max="78" width="9.6640625" style="51" bestFit="1" customWidth="1"/>
    <col min="79" max="79" width="14.109375" style="51" bestFit="1" customWidth="1"/>
    <col min="80" max="16384" width="11.44140625" style="51"/>
  </cols>
  <sheetData>
    <row r="1" spans="1:63" ht="15" thickBot="1">
      <c r="J1" s="52"/>
    </row>
    <row r="2" spans="1:63" ht="21">
      <c r="C2" s="1028" t="s">
        <v>94</v>
      </c>
      <c r="D2" s="1029"/>
      <c r="E2" s="1029"/>
      <c r="F2" s="1029"/>
      <c r="G2" s="1029"/>
      <c r="H2" s="1029"/>
      <c r="I2" s="1029"/>
      <c r="J2" s="1029"/>
      <c r="K2" s="1029"/>
      <c r="L2" s="1029"/>
      <c r="M2" s="1029"/>
      <c r="N2" s="1029"/>
      <c r="O2" s="1029"/>
      <c r="P2" s="1029"/>
      <c r="Q2" s="1029"/>
      <c r="R2" s="1029"/>
      <c r="S2" s="1029"/>
    </row>
    <row r="3" spans="1:63" ht="21.6" thickBot="1">
      <c r="C3" s="1030">
        <f>+'Resumen Cuota Global'!B4</f>
        <v>43621</v>
      </c>
      <c r="D3" s="1031"/>
      <c r="E3" s="1031"/>
      <c r="F3" s="1031"/>
      <c r="G3" s="1031"/>
      <c r="H3" s="1031"/>
      <c r="I3" s="1031"/>
      <c r="J3" s="1031"/>
      <c r="K3" s="1031"/>
      <c r="L3" s="1031"/>
      <c r="M3" s="1031"/>
      <c r="N3" s="1031"/>
      <c r="O3" s="1031"/>
      <c r="P3" s="1031"/>
      <c r="Q3" s="1031"/>
      <c r="R3" s="1031"/>
      <c r="S3" s="1031"/>
    </row>
    <row r="4" spans="1:63" ht="21">
      <c r="C4" s="57"/>
      <c r="D4" s="57"/>
      <c r="E4" s="57"/>
      <c r="F4" s="57"/>
      <c r="G4" s="57"/>
      <c r="H4" s="57"/>
      <c r="I4" s="57"/>
      <c r="J4" s="57"/>
      <c r="K4" s="57"/>
      <c r="L4" s="57"/>
      <c r="M4" s="392"/>
      <c r="N4" s="57"/>
      <c r="O4" s="57"/>
      <c r="P4" s="57"/>
      <c r="Q4" s="57"/>
      <c r="R4" s="57"/>
      <c r="S4" s="57"/>
      <c r="T4" s="57"/>
    </row>
    <row r="5" spans="1:63" ht="21">
      <c r="C5" s="122" t="s">
        <v>71</v>
      </c>
      <c r="D5" s="123" t="s">
        <v>33</v>
      </c>
      <c r="E5" s="1032" t="s">
        <v>43</v>
      </c>
      <c r="F5" s="1032"/>
      <c r="G5" s="57"/>
      <c r="H5" s="57"/>
      <c r="I5" s="57"/>
      <c r="J5" s="57"/>
      <c r="K5" s="57"/>
      <c r="L5" s="57"/>
      <c r="M5" s="392"/>
      <c r="N5" s="57"/>
      <c r="O5" s="57"/>
      <c r="P5" s="57"/>
      <c r="Q5" s="57"/>
      <c r="R5" s="57"/>
      <c r="S5" s="57"/>
      <c r="T5" s="59"/>
      <c r="U5" s="59"/>
      <c r="V5" s="59"/>
      <c r="W5" s="59"/>
      <c r="X5" s="59"/>
      <c r="Y5" s="59"/>
      <c r="Z5" s="59"/>
      <c r="AA5" s="59"/>
      <c r="AB5" s="59"/>
      <c r="AC5" s="59"/>
      <c r="AD5" s="59"/>
      <c r="AE5" s="59"/>
      <c r="AF5" s="59"/>
      <c r="AG5" s="59"/>
      <c r="AH5" s="59"/>
      <c r="AI5" s="59"/>
      <c r="AJ5" s="59"/>
      <c r="AK5" s="59"/>
      <c r="AL5" s="59"/>
      <c r="AM5" s="59"/>
      <c r="AN5" s="59"/>
      <c r="AO5" s="59"/>
      <c r="AP5" s="59"/>
      <c r="AQ5" s="59"/>
      <c r="AR5" s="59"/>
      <c r="AS5" s="60"/>
      <c r="AT5" s="59"/>
      <c r="AU5" s="59"/>
      <c r="AV5" s="59"/>
      <c r="AW5" s="59"/>
    </row>
    <row r="6" spans="1:63" ht="21">
      <c r="C6" s="1033" t="s">
        <v>95</v>
      </c>
      <c r="D6" s="61" t="s">
        <v>35</v>
      </c>
      <c r="E6" s="1034">
        <v>1090</v>
      </c>
      <c r="F6" s="1034"/>
      <c r="G6" s="57"/>
      <c r="H6" s="57"/>
      <c r="I6" s="57"/>
      <c r="J6" s="57"/>
      <c r="K6" s="57"/>
      <c r="L6" s="57"/>
      <c r="M6" s="392"/>
      <c r="N6" s="57"/>
      <c r="O6" s="57"/>
      <c r="P6" s="57"/>
      <c r="Q6" s="57"/>
      <c r="R6" s="57"/>
      <c r="S6" s="57"/>
      <c r="T6" s="59"/>
      <c r="U6" s="59"/>
      <c r="V6" s="59"/>
      <c r="W6" s="59"/>
      <c r="X6" s="59"/>
      <c r="Y6" s="59"/>
      <c r="Z6" s="59"/>
      <c r="AA6" s="59"/>
      <c r="AB6" s="59"/>
      <c r="AC6" s="59"/>
      <c r="AD6" s="59"/>
      <c r="AE6" s="59"/>
      <c r="AF6" s="59"/>
      <c r="AG6" s="59"/>
      <c r="AH6" s="59"/>
      <c r="AI6" s="59"/>
      <c r="AJ6" s="59"/>
      <c r="AK6" s="59"/>
      <c r="AL6" s="59"/>
      <c r="AM6" s="59"/>
      <c r="AN6" s="59"/>
      <c r="AO6" s="59"/>
      <c r="AP6" s="59"/>
      <c r="AQ6" s="59"/>
      <c r="AR6" s="59"/>
      <c r="AS6" s="60"/>
      <c r="AT6" s="59"/>
      <c r="AU6" s="59"/>
      <c r="AV6" s="59"/>
      <c r="AW6" s="59"/>
    </row>
    <row r="7" spans="1:63" ht="21">
      <c r="C7" s="1033"/>
      <c r="D7" s="62" t="s">
        <v>36</v>
      </c>
      <c r="E7" s="1035" t="s">
        <v>37</v>
      </c>
      <c r="F7" s="1035"/>
      <c r="G7" s="57"/>
      <c r="H7" s="57"/>
      <c r="I7" s="57"/>
      <c r="J7" s="57"/>
      <c r="K7" s="57"/>
      <c r="L7" s="57"/>
      <c r="M7" s="392"/>
      <c r="N7" s="57"/>
      <c r="O7" s="57"/>
      <c r="P7" s="57"/>
      <c r="Q7" s="57"/>
      <c r="R7" s="57"/>
      <c r="S7" s="57"/>
      <c r="T7" s="59"/>
      <c r="U7" s="59"/>
      <c r="V7" s="59"/>
      <c r="W7" s="59"/>
      <c r="X7" s="59"/>
      <c r="Y7" s="59"/>
      <c r="Z7" s="59"/>
      <c r="AA7" s="59"/>
      <c r="AB7" s="59"/>
      <c r="AC7" s="59"/>
      <c r="AD7" s="59"/>
      <c r="AE7" s="59"/>
      <c r="AF7" s="59"/>
      <c r="AG7" s="59"/>
      <c r="AH7" s="59"/>
      <c r="AI7" s="59"/>
      <c r="AJ7" s="59"/>
      <c r="AK7" s="59"/>
      <c r="AL7" s="59"/>
      <c r="AM7" s="59"/>
      <c r="AN7" s="59"/>
      <c r="AO7" s="59"/>
      <c r="AP7" s="59"/>
      <c r="AQ7" s="59"/>
      <c r="AR7" s="59"/>
      <c r="AS7" s="60"/>
      <c r="AT7" s="59"/>
      <c r="AU7" s="59"/>
      <c r="AV7" s="59"/>
      <c r="AW7" s="59"/>
    </row>
    <row r="8" spans="1:63" ht="21">
      <c r="C8" s="1033"/>
      <c r="D8" s="61" t="s">
        <v>96</v>
      </c>
      <c r="E8" s="1034">
        <v>627</v>
      </c>
      <c r="F8" s="1034"/>
      <c r="G8" s="57"/>
      <c r="H8" s="57"/>
      <c r="I8" s="57"/>
      <c r="J8" s="57"/>
      <c r="K8" s="57"/>
      <c r="L8" s="57"/>
      <c r="M8" s="392"/>
      <c r="N8" s="57"/>
      <c r="O8" s="57"/>
      <c r="P8" s="57"/>
      <c r="Q8" s="57"/>
      <c r="R8" s="57"/>
      <c r="S8" s="57"/>
      <c r="T8" s="59"/>
      <c r="U8" s="59"/>
      <c r="V8" s="59"/>
      <c r="W8" s="59"/>
      <c r="X8" s="59"/>
      <c r="Y8" s="59"/>
      <c r="Z8" s="59"/>
      <c r="AA8" s="59"/>
      <c r="AB8" s="59"/>
      <c r="AC8" s="59"/>
      <c r="AD8" s="59"/>
      <c r="AE8" s="59"/>
      <c r="AF8" s="59"/>
      <c r="AG8" s="59"/>
      <c r="AH8" s="59"/>
      <c r="AI8" s="59"/>
      <c r="AJ8" s="59"/>
      <c r="AK8" s="59"/>
      <c r="AL8" s="59"/>
      <c r="AM8" s="59"/>
      <c r="AN8" s="59"/>
      <c r="AO8" s="59"/>
      <c r="AP8" s="59"/>
      <c r="AQ8" s="59"/>
      <c r="AR8" s="59"/>
      <c r="AS8" s="60"/>
      <c r="AT8" s="59"/>
      <c r="AU8" s="59"/>
      <c r="AV8" s="59"/>
      <c r="AW8" s="59"/>
    </row>
    <row r="9" spans="1:63" ht="21">
      <c r="C9" s="1033"/>
      <c r="D9" s="124" t="s">
        <v>39</v>
      </c>
      <c r="E9" s="1032">
        <f>SUM(E6:F8)</f>
        <v>1717</v>
      </c>
      <c r="F9" s="1036"/>
      <c r="G9" s="57"/>
      <c r="H9" s="57"/>
      <c r="I9" s="57"/>
      <c r="J9" s="57"/>
      <c r="K9" s="57"/>
      <c r="L9" s="57"/>
      <c r="M9" s="392"/>
      <c r="N9" s="57"/>
      <c r="O9" s="57"/>
      <c r="P9" s="57"/>
      <c r="Q9" s="57"/>
      <c r="R9" s="57"/>
      <c r="S9" s="57"/>
      <c r="T9" s="109"/>
      <c r="U9" s="109"/>
      <c r="V9" s="109"/>
      <c r="W9" s="109"/>
      <c r="X9" s="109"/>
      <c r="Y9" s="109"/>
      <c r="Z9" s="109"/>
      <c r="AA9" s="109"/>
      <c r="AB9" s="109"/>
      <c r="AC9" s="109"/>
      <c r="AD9" s="109"/>
      <c r="AE9" s="109"/>
      <c r="AF9" s="109"/>
      <c r="AG9" s="109"/>
      <c r="AH9" s="109"/>
      <c r="AI9" s="109"/>
      <c r="AJ9" s="109"/>
      <c r="AK9" s="109"/>
      <c r="AL9" s="109"/>
      <c r="AM9" s="109"/>
      <c r="AN9" s="59"/>
      <c r="AO9" s="59"/>
      <c r="AP9" s="59"/>
      <c r="AQ9" s="59"/>
      <c r="AR9" s="59"/>
      <c r="AS9" s="60"/>
      <c r="AT9" s="59"/>
      <c r="AU9" s="59"/>
      <c r="AV9" s="59"/>
      <c r="AW9" s="59"/>
    </row>
    <row r="10" spans="1:63" ht="21.6" thickBot="1">
      <c r="C10" s="63"/>
      <c r="D10" s="64"/>
      <c r="E10" s="64"/>
      <c r="F10" s="64"/>
      <c r="G10" s="57"/>
      <c r="H10" s="57"/>
      <c r="I10" s="57"/>
      <c r="J10" s="57"/>
      <c r="K10" s="57"/>
      <c r="L10" s="57"/>
      <c r="M10" s="392"/>
      <c r="N10" s="57"/>
      <c r="O10" s="57"/>
      <c r="P10" s="57"/>
      <c r="Q10" s="57"/>
      <c r="R10" s="57"/>
      <c r="S10" s="57"/>
      <c r="T10" s="109"/>
      <c r="U10" s="109"/>
      <c r="V10" s="109"/>
      <c r="W10" s="109"/>
      <c r="X10" s="109"/>
      <c r="Y10" s="109"/>
      <c r="Z10" s="109"/>
      <c r="AA10" s="109"/>
      <c r="AB10" s="109"/>
      <c r="AC10" s="109"/>
      <c r="AD10" s="109"/>
      <c r="AE10" s="109"/>
      <c r="AF10" s="109"/>
      <c r="AG10" s="109"/>
      <c r="AH10" s="109"/>
      <c r="AI10" s="109"/>
      <c r="AJ10" s="109"/>
      <c r="AK10" s="109"/>
      <c r="AL10" s="109"/>
      <c r="AM10" s="109"/>
      <c r="AN10" s="59"/>
      <c r="AO10" s="59"/>
      <c r="AP10" s="59"/>
      <c r="AQ10" s="59"/>
      <c r="AR10" s="59"/>
      <c r="AS10" s="60"/>
      <c r="AT10" s="59"/>
      <c r="AU10" s="59"/>
      <c r="AV10" s="59"/>
      <c r="AW10" s="59"/>
    </row>
    <row r="11" spans="1:63" ht="36.6" thickBot="1">
      <c r="C11" s="65" t="s">
        <v>97</v>
      </c>
      <c r="D11" s="58" t="s">
        <v>33</v>
      </c>
      <c r="E11" s="1020" t="s">
        <v>98</v>
      </c>
      <c r="F11" s="1021"/>
      <c r="G11" s="66" t="s">
        <v>43</v>
      </c>
      <c r="H11" s="115"/>
      <c r="I11" s="115"/>
      <c r="J11" s="115"/>
      <c r="K11" s="115"/>
      <c r="L11" s="115"/>
      <c r="M11" s="393"/>
      <c r="N11" s="115"/>
      <c r="O11" s="115"/>
      <c r="P11" s="115"/>
      <c r="Q11" s="115"/>
      <c r="R11" s="115"/>
      <c r="S11" s="115"/>
      <c r="T11" s="116"/>
      <c r="U11" s="116"/>
      <c r="V11" s="116"/>
      <c r="W11" s="116"/>
      <c r="X11" s="116"/>
      <c r="Y11" s="110"/>
      <c r="Z11" s="110"/>
      <c r="AA11" s="111"/>
      <c r="AB11" s="111"/>
      <c r="AC11" s="111"/>
      <c r="AD11" s="111"/>
      <c r="AE11" s="111"/>
      <c r="AF11" s="111"/>
      <c r="AG11" s="111"/>
      <c r="AH11" s="111"/>
      <c r="AI11" s="111"/>
      <c r="AJ11" s="111"/>
      <c r="AK11" s="111"/>
      <c r="AL11" s="111"/>
      <c r="AM11" s="111"/>
      <c r="AU11" s="67"/>
      <c r="AV11" s="67"/>
      <c r="AW11" s="67"/>
      <c r="AX11" s="67"/>
      <c r="AY11" s="67"/>
      <c r="AZ11" s="67"/>
      <c r="BA11" s="67"/>
      <c r="BB11" s="67"/>
      <c r="BC11" s="67"/>
      <c r="BD11" s="67"/>
      <c r="BE11" s="67"/>
      <c r="BF11" s="67"/>
      <c r="BG11" s="67"/>
      <c r="BH11" s="67"/>
      <c r="BI11" s="67"/>
      <c r="BJ11" s="67"/>
    </row>
    <row r="12" spans="1:63">
      <c r="C12" s="1022" t="s">
        <v>100</v>
      </c>
      <c r="D12" s="68" t="s">
        <v>35</v>
      </c>
      <c r="E12" s="1023" t="s">
        <v>101</v>
      </c>
      <c r="F12" s="1024">
        <v>7.9365079364999997E-3</v>
      </c>
      <c r="G12" s="69">
        <f>F12*E6*70</f>
        <v>605.55555555494993</v>
      </c>
      <c r="H12" s="115"/>
      <c r="I12" s="115"/>
      <c r="J12" s="115"/>
      <c r="K12" s="115"/>
      <c r="L12" s="115"/>
      <c r="M12" s="393"/>
      <c r="N12" s="115"/>
      <c r="O12" s="115"/>
      <c r="P12" s="115"/>
      <c r="Q12" s="115"/>
      <c r="R12" s="115"/>
      <c r="S12" s="115"/>
      <c r="T12" s="116"/>
      <c r="U12" s="116"/>
      <c r="V12" s="116"/>
      <c r="W12" s="116"/>
      <c r="X12" s="116"/>
      <c r="Y12" s="110"/>
      <c r="Z12" s="110"/>
      <c r="AA12" s="111"/>
      <c r="AB12" s="111"/>
      <c r="AC12" s="111"/>
      <c r="AD12" s="111"/>
      <c r="AE12" s="111"/>
      <c r="AF12" s="111"/>
      <c r="AG12" s="111"/>
      <c r="AH12" s="111"/>
      <c r="AI12" s="111"/>
      <c r="AJ12" s="111"/>
      <c r="AK12" s="111"/>
      <c r="AL12" s="111"/>
      <c r="AM12" s="111"/>
      <c r="AU12" s="67"/>
      <c r="AV12" s="67"/>
      <c r="AW12" s="67"/>
      <c r="AX12" s="67"/>
      <c r="AY12" s="67"/>
      <c r="AZ12" s="67"/>
      <c r="BA12" s="67"/>
      <c r="BB12" s="67"/>
      <c r="BC12" s="67"/>
      <c r="BD12" s="67"/>
      <c r="BE12" s="67"/>
      <c r="BF12" s="67"/>
      <c r="BG12" s="67"/>
      <c r="BH12" s="67"/>
      <c r="BI12" s="67"/>
      <c r="BJ12" s="67"/>
    </row>
    <row r="13" spans="1:63" ht="15" thickBot="1">
      <c r="C13" s="1022"/>
      <c r="D13" s="68" t="s">
        <v>96</v>
      </c>
      <c r="E13" s="1027"/>
      <c r="F13" s="1024"/>
      <c r="G13" s="70">
        <f>+F12*$E$8*70</f>
        <v>348.33333333298498</v>
      </c>
      <c r="H13" s="115"/>
      <c r="I13" s="115"/>
      <c r="J13" s="115"/>
      <c r="K13" s="115"/>
      <c r="L13" s="115"/>
      <c r="M13" s="393"/>
      <c r="N13" s="115"/>
      <c r="O13" s="115"/>
      <c r="P13" s="115"/>
      <c r="Q13" s="115"/>
      <c r="R13" s="115"/>
      <c r="S13" s="115"/>
      <c r="T13" s="116"/>
      <c r="U13" s="116"/>
      <c r="V13" s="116"/>
      <c r="W13" s="116"/>
      <c r="X13" s="116"/>
      <c r="Y13" s="110"/>
      <c r="Z13" s="110"/>
      <c r="AA13" s="111"/>
      <c r="AB13" s="111"/>
      <c r="AC13" s="111"/>
      <c r="AD13" s="111"/>
      <c r="AE13" s="111"/>
      <c r="AF13" s="111"/>
      <c r="AG13" s="111"/>
      <c r="AH13" s="111"/>
      <c r="AI13" s="111"/>
      <c r="AJ13" s="111"/>
      <c r="AK13" s="111"/>
      <c r="AL13" s="111"/>
      <c r="AM13" s="111"/>
      <c r="BK13" s="67"/>
    </row>
    <row r="14" spans="1:63">
      <c r="C14" s="1022" t="s">
        <v>102</v>
      </c>
      <c r="D14" s="68" t="s">
        <v>35</v>
      </c>
      <c r="E14" s="1023" t="s">
        <v>103</v>
      </c>
      <c r="F14" s="1024"/>
      <c r="G14" s="70">
        <f>+F12*$E$6*56</f>
        <v>484.44444444395998</v>
      </c>
      <c r="H14" s="115"/>
      <c r="I14" s="115"/>
      <c r="J14" s="115"/>
      <c r="K14" s="115"/>
      <c r="L14" s="115"/>
      <c r="M14" s="393"/>
      <c r="N14" s="115"/>
      <c r="O14" s="115"/>
      <c r="P14" s="115"/>
      <c r="Q14" s="115"/>
      <c r="R14" s="115"/>
      <c r="S14" s="115"/>
      <c r="T14" s="116"/>
      <c r="U14" s="116"/>
      <c r="V14" s="116"/>
      <c r="W14" s="116"/>
      <c r="X14" s="116"/>
      <c r="Y14" s="110"/>
      <c r="Z14" s="110"/>
      <c r="AA14" s="111"/>
      <c r="AB14" s="111"/>
      <c r="AC14" s="111"/>
      <c r="AD14" s="111"/>
      <c r="AE14" s="111"/>
      <c r="AF14" s="111"/>
      <c r="AG14" s="111"/>
      <c r="AH14" s="111"/>
      <c r="AI14" s="111"/>
      <c r="AJ14" s="111"/>
      <c r="AK14" s="111"/>
      <c r="AL14" s="111"/>
      <c r="AM14" s="111"/>
      <c r="AQ14" s="67"/>
      <c r="BJ14" s="67"/>
      <c r="BK14" s="67"/>
    </row>
    <row r="15" spans="1:63" s="67" customFormat="1" ht="15" thickBot="1">
      <c r="A15" s="54"/>
      <c r="B15" s="54"/>
      <c r="C15" s="1026"/>
      <c r="D15" s="71" t="s">
        <v>96</v>
      </c>
      <c r="E15" s="1023"/>
      <c r="F15" s="1025"/>
      <c r="G15" s="72">
        <f>+F12*$E$8*56</f>
        <v>278.66666666638798</v>
      </c>
      <c r="H15" s="115"/>
      <c r="I15" s="115"/>
      <c r="J15" s="115"/>
      <c r="K15" s="115"/>
      <c r="L15" s="115"/>
      <c r="M15" s="393"/>
      <c r="N15" s="115"/>
      <c r="O15" s="115"/>
      <c r="P15" s="115"/>
      <c r="Q15" s="115"/>
      <c r="R15" s="115"/>
      <c r="S15" s="115"/>
      <c r="T15" s="117"/>
      <c r="U15" s="117"/>
      <c r="V15" s="117"/>
      <c r="W15" s="117"/>
      <c r="X15" s="117"/>
      <c r="Y15" s="111"/>
      <c r="Z15" s="111"/>
      <c r="AA15" s="110"/>
      <c r="AB15" s="110"/>
      <c r="AC15" s="110"/>
      <c r="AD15" s="110"/>
      <c r="AE15" s="110"/>
      <c r="AF15" s="110"/>
      <c r="AG15" s="110"/>
      <c r="AH15" s="110"/>
      <c r="AI15" s="110"/>
      <c r="AJ15" s="110"/>
      <c r="AK15" s="110"/>
      <c r="AL15" s="110"/>
      <c r="AM15" s="110"/>
      <c r="AS15" s="6"/>
      <c r="AU15" s="51"/>
      <c r="AV15" s="51"/>
      <c r="AW15" s="51"/>
      <c r="AX15" s="51"/>
      <c r="AY15" s="51"/>
      <c r="AZ15" s="51"/>
      <c r="BA15" s="51"/>
      <c r="BB15" s="51"/>
      <c r="BC15" s="51"/>
      <c r="BD15" s="51"/>
      <c r="BE15" s="51"/>
      <c r="BF15" s="51"/>
      <c r="BG15" s="51"/>
      <c r="BH15" s="51"/>
      <c r="BI15" s="51"/>
      <c r="BJ15" s="51"/>
      <c r="BK15" s="51"/>
    </row>
    <row r="16" spans="1:63">
      <c r="C16" s="73"/>
      <c r="D16" s="55"/>
      <c r="E16" s="55">
        <f>70+56</f>
        <v>126</v>
      </c>
      <c r="F16" s="3">
        <f>+E16*F12</f>
        <v>0.99999999999899991</v>
      </c>
      <c r="I16" s="117"/>
      <c r="J16" s="117"/>
      <c r="K16" s="117"/>
      <c r="L16" s="117"/>
      <c r="M16" s="394"/>
      <c r="N16" s="117"/>
      <c r="O16" s="118"/>
      <c r="P16" s="117"/>
      <c r="Q16" s="117"/>
      <c r="R16" s="117"/>
      <c r="S16" s="117"/>
      <c r="T16" s="117"/>
      <c r="U16" s="117"/>
      <c r="V16" s="117"/>
      <c r="W16" s="117"/>
      <c r="X16" s="117"/>
      <c r="Y16" s="111"/>
      <c r="Z16" s="111"/>
      <c r="AA16" s="111"/>
      <c r="AB16" s="111"/>
      <c r="AC16" s="111"/>
      <c r="AD16" s="111"/>
      <c r="AE16" s="111"/>
      <c r="AF16" s="111"/>
      <c r="AG16" s="111"/>
      <c r="AH16" s="111"/>
      <c r="AI16" s="111"/>
      <c r="AJ16" s="111"/>
      <c r="AK16" s="111"/>
      <c r="AL16" s="111"/>
      <c r="AM16" s="111"/>
    </row>
    <row r="17" spans="1:24" ht="15" thickBot="1">
      <c r="I17" s="117"/>
      <c r="J17" s="117"/>
      <c r="K17" s="117"/>
      <c r="L17" s="117"/>
      <c r="M17" s="394"/>
      <c r="N17" s="117"/>
      <c r="O17" s="118"/>
      <c r="P17" s="117"/>
      <c r="Q17" s="117"/>
      <c r="R17" s="117"/>
      <c r="S17" s="117"/>
      <c r="T17" s="117"/>
      <c r="U17" s="117"/>
      <c r="V17" s="117"/>
      <c r="W17" s="117"/>
      <c r="X17" s="117"/>
    </row>
    <row r="18" spans="1:24" ht="80.55" customHeight="1" thickBot="1">
      <c r="A18" s="112" t="s">
        <v>104</v>
      </c>
      <c r="B18" s="113" t="s">
        <v>105</v>
      </c>
      <c r="C18" s="113" t="s">
        <v>97</v>
      </c>
      <c r="D18" s="58" t="s">
        <v>33</v>
      </c>
      <c r="E18" s="58" t="s">
        <v>106</v>
      </c>
      <c r="F18" s="58" t="s">
        <v>107</v>
      </c>
      <c r="G18" s="58" t="s">
        <v>43</v>
      </c>
      <c r="H18" s="99" t="s">
        <v>4</v>
      </c>
      <c r="I18" s="99" t="s">
        <v>44</v>
      </c>
      <c r="J18" s="100" t="s">
        <v>6</v>
      </c>
      <c r="K18" s="99" t="s">
        <v>108</v>
      </c>
      <c r="L18" s="101" t="s">
        <v>46</v>
      </c>
      <c r="M18" s="395" t="s">
        <v>99</v>
      </c>
      <c r="N18" s="156" t="s">
        <v>3</v>
      </c>
      <c r="O18" s="157" t="s">
        <v>4</v>
      </c>
      <c r="P18" s="157" t="s">
        <v>5</v>
      </c>
      <c r="Q18" s="157" t="s">
        <v>6</v>
      </c>
      <c r="R18" s="157" t="s">
        <v>49</v>
      </c>
      <c r="S18" s="158" t="s">
        <v>453</v>
      </c>
      <c r="T18" s="158" t="s">
        <v>454</v>
      </c>
    </row>
    <row r="19" spans="1:24" ht="15" customHeight="1" thickBot="1">
      <c r="A19" s="54">
        <v>1</v>
      </c>
      <c r="B19" s="125">
        <v>1</v>
      </c>
      <c r="C19" s="366" t="s">
        <v>100</v>
      </c>
      <c r="D19" s="368" t="s">
        <v>35</v>
      </c>
      <c r="E19" s="369" t="s">
        <v>109</v>
      </c>
      <c r="F19" s="369">
        <v>964551</v>
      </c>
      <c r="G19" s="370">
        <v>8.6507857139999995</v>
      </c>
      <c r="H19" s="340">
        <v>-13.627000000000001</v>
      </c>
      <c r="I19" s="75">
        <f>G19+H19</f>
        <v>-4.9762142860000012</v>
      </c>
      <c r="J19" s="76"/>
      <c r="K19" s="152">
        <f>I19-J19</f>
        <v>-4.9762142860000012</v>
      </c>
      <c r="L19" s="154">
        <f>J19/I19</f>
        <v>0</v>
      </c>
      <c r="M19" s="429">
        <v>43538</v>
      </c>
      <c r="N19" s="77">
        <f>G19+G20</f>
        <v>13.626971427999999</v>
      </c>
      <c r="O19" s="78">
        <f>H19+H20</f>
        <v>-13.627000000000001</v>
      </c>
      <c r="P19" s="77">
        <f>N19+O19</f>
        <v>-2.8572000001503284E-5</v>
      </c>
      <c r="Q19" s="79">
        <f>J19+J20</f>
        <v>0</v>
      </c>
      <c r="R19" s="77">
        <f>P19-Q19</f>
        <v>-2.8572000001503284E-5</v>
      </c>
      <c r="S19" s="988">
        <f>Q19/P19</f>
        <v>0</v>
      </c>
      <c r="T19" s="988">
        <f t="shared" ref="T19" si="0">(100%-+(R19/N19))</f>
        <v>1.0000020967241439</v>
      </c>
    </row>
    <row r="20" spans="1:24" ht="15" customHeight="1" thickBot="1">
      <c r="A20" s="54">
        <v>2</v>
      </c>
      <c r="B20" s="125">
        <v>1</v>
      </c>
      <c r="C20" s="367" t="s">
        <v>100</v>
      </c>
      <c r="D20" s="371" t="s">
        <v>96</v>
      </c>
      <c r="E20" s="372" t="s">
        <v>109</v>
      </c>
      <c r="F20" s="372">
        <v>964551</v>
      </c>
      <c r="G20" s="373">
        <v>4.9761857139999996</v>
      </c>
      <c r="H20" s="143"/>
      <c r="I20" s="144">
        <f>G20+H20+K19</f>
        <v>-2.8572000001503284E-5</v>
      </c>
      <c r="J20" s="145"/>
      <c r="K20" s="153">
        <f>I20-J20</f>
        <v>-2.8572000001503284E-5</v>
      </c>
      <c r="L20" s="155">
        <f>J20/I20</f>
        <v>0</v>
      </c>
      <c r="M20" s="429">
        <v>43538</v>
      </c>
      <c r="N20" s="80"/>
      <c r="O20" s="80"/>
      <c r="P20" s="80"/>
      <c r="Q20" s="80"/>
      <c r="R20" s="80"/>
      <c r="S20" s="989"/>
      <c r="T20" s="989"/>
    </row>
    <row r="21" spans="1:24" ht="15" customHeight="1" thickBot="1">
      <c r="A21" s="54">
        <v>3</v>
      </c>
      <c r="B21" s="125">
        <v>2</v>
      </c>
      <c r="C21" s="366" t="s">
        <v>100</v>
      </c>
      <c r="D21" s="368" t="s">
        <v>35</v>
      </c>
      <c r="E21" s="369" t="s">
        <v>110</v>
      </c>
      <c r="F21" s="369">
        <v>903675</v>
      </c>
      <c r="G21" s="370">
        <v>8.6507857139999995</v>
      </c>
      <c r="H21" s="340">
        <v>-13.627000000000001</v>
      </c>
      <c r="I21" s="75">
        <f>G21+H21</f>
        <v>-4.9762142860000012</v>
      </c>
      <c r="J21" s="76"/>
      <c r="K21" s="152">
        <f>I21-J21</f>
        <v>-4.9762142860000012</v>
      </c>
      <c r="L21" s="154">
        <f>J21/I21</f>
        <v>0</v>
      </c>
      <c r="M21" s="429">
        <v>43538</v>
      </c>
      <c r="N21" s="77">
        <f>G21+G22</f>
        <v>13.626971427999999</v>
      </c>
      <c r="O21" s="78">
        <f>H21+H22</f>
        <v>-13.627000000000001</v>
      </c>
      <c r="P21" s="77">
        <f>N21+O21</f>
        <v>-2.8572000001503284E-5</v>
      </c>
      <c r="Q21" s="79">
        <f>J21+J22</f>
        <v>0</v>
      </c>
      <c r="R21" s="77">
        <f>P21-Q21</f>
        <v>-2.8572000001503284E-5</v>
      </c>
      <c r="S21" s="988">
        <f>Q21/P21</f>
        <v>0</v>
      </c>
      <c r="T21" s="988">
        <f t="shared" ref="T21" si="1">((Q21+O21)/N21)*-1</f>
        <v>1.0000020967241439</v>
      </c>
    </row>
    <row r="22" spans="1:24" ht="15" customHeight="1" thickBot="1">
      <c r="A22" s="54">
        <v>4</v>
      </c>
      <c r="B22" s="125">
        <v>2</v>
      </c>
      <c r="C22" s="367" t="s">
        <v>100</v>
      </c>
      <c r="D22" s="371" t="s">
        <v>96</v>
      </c>
      <c r="E22" s="372" t="s">
        <v>110</v>
      </c>
      <c r="F22" s="372">
        <v>903675</v>
      </c>
      <c r="G22" s="373">
        <v>4.9761857139999996</v>
      </c>
      <c r="H22" s="143"/>
      <c r="I22" s="144">
        <f>G22+H22+K21</f>
        <v>-2.8572000001503284E-5</v>
      </c>
      <c r="J22" s="145"/>
      <c r="K22" s="153">
        <f t="shared" ref="K22:K85" si="2">I22-J22</f>
        <v>-2.8572000001503284E-5</v>
      </c>
      <c r="L22" s="155">
        <f>J22/I22</f>
        <v>0</v>
      </c>
      <c r="M22" s="429">
        <v>43538</v>
      </c>
      <c r="N22" s="80"/>
      <c r="O22" s="80"/>
      <c r="P22" s="80"/>
      <c r="Q22" s="80"/>
      <c r="R22" s="80"/>
      <c r="S22" s="989"/>
      <c r="T22" s="989"/>
    </row>
    <row r="23" spans="1:24" ht="15" customHeight="1" thickBot="1">
      <c r="A23" s="54">
        <v>5</v>
      </c>
      <c r="B23" s="125">
        <f>+B21+$B$19</f>
        <v>3</v>
      </c>
      <c r="C23" s="366" t="s">
        <v>100</v>
      </c>
      <c r="D23" s="368" t="s">
        <v>35</v>
      </c>
      <c r="E23" s="369" t="s">
        <v>111</v>
      </c>
      <c r="F23" s="369">
        <v>954587</v>
      </c>
      <c r="G23" s="370">
        <v>8.6507857139999995</v>
      </c>
      <c r="H23" s="340">
        <v>-13.627000000000001</v>
      </c>
      <c r="I23" s="75">
        <f t="shared" ref="I23" si="3">G23+H23</f>
        <v>-4.9762142860000012</v>
      </c>
      <c r="J23" s="76"/>
      <c r="K23" s="152">
        <f t="shared" si="2"/>
        <v>-4.9762142860000012</v>
      </c>
      <c r="L23" s="154">
        <f t="shared" ref="L23:L86" si="4">J23/I23</f>
        <v>0</v>
      </c>
      <c r="M23" s="429">
        <v>43538</v>
      </c>
      <c r="N23" s="77">
        <f t="shared" ref="N23:O23" si="5">G23+G24</f>
        <v>13.626971427999999</v>
      </c>
      <c r="O23" s="78">
        <f t="shared" si="5"/>
        <v>-13.627000000000001</v>
      </c>
      <c r="P23" s="77">
        <f t="shared" ref="P23" si="6">N23+O23</f>
        <v>-2.8572000001503284E-5</v>
      </c>
      <c r="Q23" s="79">
        <f t="shared" ref="Q23" si="7">J23+J24</f>
        <v>0</v>
      </c>
      <c r="R23" s="77">
        <f t="shared" ref="R23" si="8">P23-Q23</f>
        <v>-2.8572000001503284E-5</v>
      </c>
      <c r="S23" s="988">
        <f t="shared" ref="S23" si="9">Q23/P23</f>
        <v>0</v>
      </c>
      <c r="T23" s="988">
        <f t="shared" ref="T23" si="10">((Q23+O23)/N23)*-1</f>
        <v>1.0000020967241439</v>
      </c>
    </row>
    <row r="24" spans="1:24" ht="15" customHeight="1" thickBot="1">
      <c r="A24" s="54">
        <v>6</v>
      </c>
      <c r="B24" s="125">
        <f>+B22+$B$20</f>
        <v>3</v>
      </c>
      <c r="C24" s="367" t="s">
        <v>100</v>
      </c>
      <c r="D24" s="371" t="s">
        <v>96</v>
      </c>
      <c r="E24" s="372" t="s">
        <v>111</v>
      </c>
      <c r="F24" s="372">
        <v>954587</v>
      </c>
      <c r="G24" s="373">
        <v>4.9761857139999996</v>
      </c>
      <c r="H24" s="143"/>
      <c r="I24" s="144">
        <f t="shared" ref="I24" si="11">G24+H24+K23</f>
        <v>-2.8572000001503284E-5</v>
      </c>
      <c r="J24" s="145"/>
      <c r="K24" s="153">
        <f t="shared" si="2"/>
        <v>-2.8572000001503284E-5</v>
      </c>
      <c r="L24" s="155">
        <f t="shared" si="4"/>
        <v>0</v>
      </c>
      <c r="M24" s="429">
        <v>43538</v>
      </c>
      <c r="N24" s="80"/>
      <c r="O24" s="80"/>
      <c r="P24" s="80"/>
      <c r="Q24" s="80"/>
      <c r="R24" s="80"/>
      <c r="S24" s="989"/>
      <c r="T24" s="989"/>
    </row>
    <row r="25" spans="1:24" ht="15" customHeight="1" thickBot="1">
      <c r="A25" s="54">
        <v>7</v>
      </c>
      <c r="B25" s="125">
        <f>+B23+$B$19</f>
        <v>4</v>
      </c>
      <c r="C25" s="366" t="s">
        <v>100</v>
      </c>
      <c r="D25" s="368" t="s">
        <v>35</v>
      </c>
      <c r="E25" s="369" t="s">
        <v>112</v>
      </c>
      <c r="F25" s="369">
        <v>922442</v>
      </c>
      <c r="G25" s="370">
        <v>8.6507857139999995</v>
      </c>
      <c r="H25" s="340">
        <v>-13.627000000000001</v>
      </c>
      <c r="I25" s="75">
        <f t="shared" ref="I25" si="12">G25+H25</f>
        <v>-4.9762142860000012</v>
      </c>
      <c r="J25" s="76"/>
      <c r="K25" s="152">
        <f t="shared" si="2"/>
        <v>-4.9762142860000012</v>
      </c>
      <c r="L25" s="154">
        <f t="shared" si="4"/>
        <v>0</v>
      </c>
      <c r="M25" s="429">
        <v>43538</v>
      </c>
      <c r="N25" s="77">
        <f t="shared" ref="N25:O25" si="13">G25+G26</f>
        <v>13.626971427999999</v>
      </c>
      <c r="O25" s="78">
        <f t="shared" si="13"/>
        <v>-13.627000000000001</v>
      </c>
      <c r="P25" s="77">
        <f t="shared" ref="P25" si="14">N25+O25</f>
        <v>-2.8572000001503284E-5</v>
      </c>
      <c r="Q25" s="79">
        <f t="shared" ref="Q25" si="15">J25+J26</f>
        <v>0</v>
      </c>
      <c r="R25" s="77">
        <f t="shared" ref="R25" si="16">P25-Q25</f>
        <v>-2.8572000001503284E-5</v>
      </c>
      <c r="S25" s="988">
        <f t="shared" ref="S25" si="17">Q25/P25</f>
        <v>0</v>
      </c>
      <c r="T25" s="988">
        <f t="shared" ref="T25" si="18">((Q25+O25)/N25)*-1</f>
        <v>1.0000020967241439</v>
      </c>
    </row>
    <row r="26" spans="1:24" ht="15" customHeight="1" thickBot="1">
      <c r="A26" s="54">
        <v>8</v>
      </c>
      <c r="B26" s="125">
        <f>+B24+$B$20</f>
        <v>4</v>
      </c>
      <c r="C26" s="367" t="s">
        <v>100</v>
      </c>
      <c r="D26" s="371" t="s">
        <v>96</v>
      </c>
      <c r="E26" s="372" t="s">
        <v>112</v>
      </c>
      <c r="F26" s="372">
        <v>922442</v>
      </c>
      <c r="G26" s="373">
        <v>4.9761857139999996</v>
      </c>
      <c r="H26" s="143"/>
      <c r="I26" s="144">
        <f t="shared" ref="I26" si="19">G26+H26+K25</f>
        <v>-2.8572000001503284E-5</v>
      </c>
      <c r="J26" s="145"/>
      <c r="K26" s="153">
        <f t="shared" si="2"/>
        <v>-2.8572000001503284E-5</v>
      </c>
      <c r="L26" s="155">
        <f t="shared" si="4"/>
        <v>0</v>
      </c>
      <c r="M26" s="429">
        <v>43538</v>
      </c>
      <c r="N26" s="80"/>
      <c r="O26" s="80"/>
      <c r="P26" s="80"/>
      <c r="Q26" s="80"/>
      <c r="R26" s="80"/>
      <c r="S26" s="989"/>
      <c r="T26" s="989"/>
    </row>
    <row r="27" spans="1:24" ht="15" customHeight="1" thickBot="1">
      <c r="A27" s="54">
        <v>9</v>
      </c>
      <c r="B27" s="125">
        <f t="shared" ref="B27" si="20">+B25+$B$19</f>
        <v>5</v>
      </c>
      <c r="C27" s="366" t="s">
        <v>100</v>
      </c>
      <c r="D27" s="368" t="s">
        <v>35</v>
      </c>
      <c r="E27" s="369" t="s">
        <v>113</v>
      </c>
      <c r="F27" s="369">
        <v>961932</v>
      </c>
      <c r="G27" s="370">
        <v>8.6507857139999995</v>
      </c>
      <c r="H27" s="340">
        <v>-13.627000000000001</v>
      </c>
      <c r="I27" s="75">
        <f t="shared" ref="I27" si="21">G27+H27</f>
        <v>-4.9762142860000012</v>
      </c>
      <c r="J27" s="76"/>
      <c r="K27" s="152">
        <f t="shared" si="2"/>
        <v>-4.9762142860000012</v>
      </c>
      <c r="L27" s="154">
        <f t="shared" si="4"/>
        <v>0</v>
      </c>
      <c r="M27" s="429">
        <v>43538</v>
      </c>
      <c r="N27" s="77">
        <f t="shared" ref="N27:O27" si="22">G27+G28</f>
        <v>13.626971427999999</v>
      </c>
      <c r="O27" s="78">
        <f t="shared" si="22"/>
        <v>-13.627000000000001</v>
      </c>
      <c r="P27" s="77">
        <f t="shared" ref="P27" si="23">N27+O27</f>
        <v>-2.8572000001503284E-5</v>
      </c>
      <c r="Q27" s="79">
        <f t="shared" ref="Q27" si="24">J27+J28</f>
        <v>0</v>
      </c>
      <c r="R27" s="77">
        <f t="shared" ref="R27" si="25">P27-Q27</f>
        <v>-2.8572000001503284E-5</v>
      </c>
      <c r="S27" s="988">
        <f t="shared" ref="S27" si="26">Q27/P27</f>
        <v>0</v>
      </c>
      <c r="T27" s="988">
        <f t="shared" ref="T27" si="27">((Q27+O27)/N27)*-1</f>
        <v>1.0000020967241439</v>
      </c>
    </row>
    <row r="28" spans="1:24" ht="15" customHeight="1" thickBot="1">
      <c r="A28" s="54">
        <v>10</v>
      </c>
      <c r="B28" s="125">
        <f t="shared" ref="B28" si="28">+B26+$B$20</f>
        <v>5</v>
      </c>
      <c r="C28" s="367" t="s">
        <v>100</v>
      </c>
      <c r="D28" s="371" t="s">
        <v>96</v>
      </c>
      <c r="E28" s="372" t="s">
        <v>113</v>
      </c>
      <c r="F28" s="372">
        <v>961932</v>
      </c>
      <c r="G28" s="373">
        <v>4.9761857139999996</v>
      </c>
      <c r="H28" s="143"/>
      <c r="I28" s="144">
        <f t="shared" ref="I28" si="29">G28+H28+K27</f>
        <v>-2.8572000001503284E-5</v>
      </c>
      <c r="J28" s="145"/>
      <c r="K28" s="153">
        <f t="shared" si="2"/>
        <v>-2.8572000001503284E-5</v>
      </c>
      <c r="L28" s="155">
        <f t="shared" si="4"/>
        <v>0</v>
      </c>
      <c r="M28" s="429">
        <v>43538</v>
      </c>
      <c r="N28" s="80"/>
      <c r="O28" s="80"/>
      <c r="P28" s="80"/>
      <c r="Q28" s="80"/>
      <c r="R28" s="80"/>
      <c r="S28" s="989"/>
      <c r="T28" s="989"/>
    </row>
    <row r="29" spans="1:24" ht="15" customHeight="1" thickBot="1">
      <c r="A29" s="54">
        <v>11</v>
      </c>
      <c r="B29" s="125">
        <f t="shared" ref="B29" si="30">+B27+$B$19</f>
        <v>6</v>
      </c>
      <c r="C29" s="366" t="s">
        <v>100</v>
      </c>
      <c r="D29" s="368" t="s">
        <v>35</v>
      </c>
      <c r="E29" s="369" t="s">
        <v>114</v>
      </c>
      <c r="F29" s="369">
        <v>964142</v>
      </c>
      <c r="G29" s="370">
        <v>8.6507857139999995</v>
      </c>
      <c r="H29" s="340">
        <v>-13.627000000000001</v>
      </c>
      <c r="I29" s="75">
        <f t="shared" ref="I29" si="31">G29+H29</f>
        <v>-4.9762142860000012</v>
      </c>
      <c r="J29" s="76"/>
      <c r="K29" s="152">
        <f t="shared" si="2"/>
        <v>-4.9762142860000012</v>
      </c>
      <c r="L29" s="154">
        <f t="shared" si="4"/>
        <v>0</v>
      </c>
      <c r="M29" s="429">
        <v>43538</v>
      </c>
      <c r="N29" s="77">
        <f t="shared" ref="N29:O29" si="32">G29+G30</f>
        <v>13.626971427999999</v>
      </c>
      <c r="O29" s="78">
        <f t="shared" si="32"/>
        <v>-13.627000000000001</v>
      </c>
      <c r="P29" s="77">
        <f t="shared" ref="P29" si="33">N29+O29</f>
        <v>-2.8572000001503284E-5</v>
      </c>
      <c r="Q29" s="79">
        <f t="shared" ref="Q29" si="34">J29+J30</f>
        <v>0</v>
      </c>
      <c r="R29" s="77">
        <f t="shared" ref="R29" si="35">P29-Q29</f>
        <v>-2.8572000001503284E-5</v>
      </c>
      <c r="S29" s="988">
        <f t="shared" ref="S29" si="36">Q29/P29</f>
        <v>0</v>
      </c>
      <c r="T29" s="988">
        <f t="shared" ref="T29" si="37">((Q29+O29)/N29)*-1</f>
        <v>1.0000020967241439</v>
      </c>
    </row>
    <row r="30" spans="1:24" ht="15" customHeight="1" thickBot="1">
      <c r="A30" s="54">
        <v>12</v>
      </c>
      <c r="B30" s="125">
        <f t="shared" ref="B30" si="38">+B28+$B$20</f>
        <v>6</v>
      </c>
      <c r="C30" s="367" t="s">
        <v>100</v>
      </c>
      <c r="D30" s="371" t="s">
        <v>96</v>
      </c>
      <c r="E30" s="372" t="s">
        <v>114</v>
      </c>
      <c r="F30" s="372">
        <v>964142</v>
      </c>
      <c r="G30" s="373">
        <v>4.9761857139999996</v>
      </c>
      <c r="H30" s="143"/>
      <c r="I30" s="144">
        <f t="shared" ref="I30" si="39">G30+H30+K29</f>
        <v>-2.8572000001503284E-5</v>
      </c>
      <c r="J30" s="145"/>
      <c r="K30" s="153">
        <f t="shared" si="2"/>
        <v>-2.8572000001503284E-5</v>
      </c>
      <c r="L30" s="155">
        <f t="shared" si="4"/>
        <v>0</v>
      </c>
      <c r="M30" s="429">
        <v>43538</v>
      </c>
      <c r="N30" s="80"/>
      <c r="O30" s="80"/>
      <c r="P30" s="80"/>
      <c r="Q30" s="80"/>
      <c r="R30" s="80"/>
      <c r="S30" s="989"/>
      <c r="T30" s="989"/>
    </row>
    <row r="31" spans="1:24" ht="15" customHeight="1" thickBot="1">
      <c r="A31" s="54">
        <v>13</v>
      </c>
      <c r="B31" s="125">
        <f t="shared" ref="B31" si="40">+B29+$B$19</f>
        <v>7</v>
      </c>
      <c r="C31" s="366" t="s">
        <v>100</v>
      </c>
      <c r="D31" s="368" t="s">
        <v>35</v>
      </c>
      <c r="E31" s="369" t="s">
        <v>115</v>
      </c>
      <c r="F31" s="369">
        <v>918725</v>
      </c>
      <c r="G31" s="370">
        <v>8.6507857139999995</v>
      </c>
      <c r="H31" s="383">
        <f>-13.527</f>
        <v>-13.526999999999999</v>
      </c>
      <c r="I31" s="75">
        <f t="shared" ref="I31" si="41">G31+H31</f>
        <v>-4.8762142859999997</v>
      </c>
      <c r="J31" s="76"/>
      <c r="K31" s="152">
        <f t="shared" si="2"/>
        <v>-4.8762142859999997</v>
      </c>
      <c r="L31" s="154">
        <f t="shared" si="4"/>
        <v>0</v>
      </c>
      <c r="M31" s="685">
        <v>43538</v>
      </c>
      <c r="N31" s="77">
        <f t="shared" ref="N31" si="42">G31+G32</f>
        <v>13.626971427999999</v>
      </c>
      <c r="O31" s="78">
        <f>H31+H32+O32</f>
        <v>-13.526999999999999</v>
      </c>
      <c r="P31" s="77">
        <f t="shared" ref="P31" si="43">N31+O31</f>
        <v>9.9971427999999918E-2</v>
      </c>
      <c r="Q31" s="79">
        <f t="shared" ref="Q31" si="44">J31+J32</f>
        <v>0</v>
      </c>
      <c r="R31" s="77">
        <f t="shared" ref="R31" si="45">P31-Q31</f>
        <v>9.9971427999999918E-2</v>
      </c>
      <c r="S31" s="988">
        <f t="shared" ref="S31" si="46">Q31/P31</f>
        <v>0</v>
      </c>
      <c r="T31" s="988">
        <f t="shared" ref="T31:T93" si="47">((Q31+O31)/N31)*-1</f>
        <v>0.99266370898858836</v>
      </c>
    </row>
    <row r="32" spans="1:24" ht="15" customHeight="1" thickBot="1">
      <c r="A32" s="54">
        <v>14</v>
      </c>
      <c r="B32" s="125">
        <f t="shared" ref="B32" si="48">+B30+$B$20</f>
        <v>7</v>
      </c>
      <c r="C32" s="367" t="s">
        <v>100</v>
      </c>
      <c r="D32" s="371" t="s">
        <v>96</v>
      </c>
      <c r="E32" s="372" t="s">
        <v>115</v>
      </c>
      <c r="F32" s="372">
        <v>918725</v>
      </c>
      <c r="G32" s="373">
        <v>4.9761857139999996</v>
      </c>
      <c r="H32" s="143"/>
      <c r="I32" s="144">
        <f t="shared" ref="I32" si="49">G32+H32+K31</f>
        <v>9.9971427999999918E-2</v>
      </c>
      <c r="J32" s="145"/>
      <c r="K32" s="153">
        <f t="shared" si="2"/>
        <v>9.9971427999999918E-2</v>
      </c>
      <c r="L32" s="155">
        <f t="shared" si="4"/>
        <v>0</v>
      </c>
      <c r="M32" s="685">
        <v>43538</v>
      </c>
      <c r="N32" s="80"/>
      <c r="O32" s="80"/>
      <c r="P32" s="80"/>
      <c r="Q32" s="80"/>
      <c r="R32" s="80"/>
      <c r="S32" s="1019"/>
      <c r="T32" s="989"/>
    </row>
    <row r="33" spans="1:20" ht="15" customHeight="1">
      <c r="A33" s="54">
        <v>15</v>
      </c>
      <c r="B33" s="125">
        <f t="shared" ref="B33" si="50">+B31+$B$19</f>
        <v>8</v>
      </c>
      <c r="C33" s="366" t="s">
        <v>100</v>
      </c>
      <c r="D33" s="368" t="s">
        <v>35</v>
      </c>
      <c r="E33" s="369" t="s">
        <v>116</v>
      </c>
      <c r="F33" s="369">
        <v>918466</v>
      </c>
      <c r="G33" s="370">
        <v>8.6507857139999995</v>
      </c>
      <c r="H33" s="344">
        <v>-13</v>
      </c>
      <c r="I33" s="75">
        <f t="shared" ref="I33" si="51">G33+H33</f>
        <v>-4.3492142860000005</v>
      </c>
      <c r="J33" s="76"/>
      <c r="K33" s="152">
        <f t="shared" si="2"/>
        <v>-4.3492142860000005</v>
      </c>
      <c r="L33" s="154">
        <f t="shared" si="4"/>
        <v>0</v>
      </c>
      <c r="M33" s="1369">
        <v>43629</v>
      </c>
      <c r="N33" s="77">
        <f t="shared" ref="N33:O33" si="52">G33+G34</f>
        <v>13.626971427999999</v>
      </c>
      <c r="O33" s="78">
        <f t="shared" si="52"/>
        <v>-13</v>
      </c>
      <c r="P33" s="77">
        <f t="shared" ref="P33" si="53">N33+O33</f>
        <v>0.62697142799999916</v>
      </c>
      <c r="Q33" s="79">
        <f t="shared" ref="Q33" si="54">J33+J34</f>
        <v>0</v>
      </c>
      <c r="R33" s="77">
        <f t="shared" ref="R33" si="55">P33-Q33</f>
        <v>0.62697142799999916</v>
      </c>
      <c r="S33" s="988">
        <f t="shared" ref="S33" si="56">Q33/P33</f>
        <v>0</v>
      </c>
      <c r="T33" s="988">
        <f t="shared" si="47"/>
        <v>0.95399040562221105</v>
      </c>
    </row>
    <row r="34" spans="1:20" ht="15" customHeight="1" thickBot="1">
      <c r="A34" s="54">
        <v>16</v>
      </c>
      <c r="B34" s="125">
        <f t="shared" ref="B34" si="57">+B32+$B$20</f>
        <v>8</v>
      </c>
      <c r="C34" s="367" t="s">
        <v>100</v>
      </c>
      <c r="D34" s="371" t="s">
        <v>96</v>
      </c>
      <c r="E34" s="372" t="s">
        <v>116</v>
      </c>
      <c r="F34" s="372">
        <v>918466</v>
      </c>
      <c r="G34" s="373">
        <v>4.9761857139999996</v>
      </c>
      <c r="H34" s="143"/>
      <c r="I34" s="144">
        <f t="shared" ref="I34" si="58">G34+H34+K33</f>
        <v>0.62697142799999916</v>
      </c>
      <c r="J34" s="145"/>
      <c r="K34" s="153">
        <f t="shared" si="2"/>
        <v>0.62697142799999916</v>
      </c>
      <c r="L34" s="155">
        <f t="shared" si="4"/>
        <v>0</v>
      </c>
      <c r="M34" s="430" t="s">
        <v>30</v>
      </c>
      <c r="N34" s="80"/>
      <c r="O34" s="80"/>
      <c r="P34" s="80"/>
      <c r="Q34" s="80"/>
      <c r="R34" s="80"/>
      <c r="S34" s="989"/>
      <c r="T34" s="989"/>
    </row>
    <row r="35" spans="1:20" ht="15" customHeight="1" thickBot="1">
      <c r="A35" s="54">
        <v>17</v>
      </c>
      <c r="B35" s="125">
        <f t="shared" ref="B35" si="59">+B33+$B$19</f>
        <v>9</v>
      </c>
      <c r="C35" s="366" t="s">
        <v>100</v>
      </c>
      <c r="D35" s="368" t="s">
        <v>35</v>
      </c>
      <c r="E35" s="369" t="s">
        <v>117</v>
      </c>
      <c r="F35" s="369">
        <v>951943</v>
      </c>
      <c r="G35" s="370">
        <v>8.6507857139999995</v>
      </c>
      <c r="H35" s="340">
        <v>-13.627000000000001</v>
      </c>
      <c r="I35" s="75">
        <f t="shared" ref="I35" si="60">G35+H35</f>
        <v>-4.9762142860000012</v>
      </c>
      <c r="J35" s="76"/>
      <c r="K35" s="152">
        <f t="shared" si="2"/>
        <v>-4.9762142860000012</v>
      </c>
      <c r="L35" s="154">
        <f t="shared" si="4"/>
        <v>0</v>
      </c>
      <c r="M35" s="429">
        <v>43538</v>
      </c>
      <c r="N35" s="77">
        <f t="shared" ref="N35:O35" si="61">G35+G36</f>
        <v>13.626971427999999</v>
      </c>
      <c r="O35" s="78">
        <f t="shared" si="61"/>
        <v>-13.627000000000001</v>
      </c>
      <c r="P35" s="77">
        <f t="shared" ref="P35" si="62">N35+O35</f>
        <v>-2.8572000001503284E-5</v>
      </c>
      <c r="Q35" s="79">
        <f t="shared" ref="Q35" si="63">J35+J36</f>
        <v>0</v>
      </c>
      <c r="R35" s="77">
        <f t="shared" ref="R35" si="64">P35-Q35</f>
        <v>-2.8572000001503284E-5</v>
      </c>
      <c r="S35" s="988">
        <f t="shared" ref="S35" si="65">Q35/P35</f>
        <v>0</v>
      </c>
      <c r="T35" s="988">
        <f t="shared" si="47"/>
        <v>1.0000020967241439</v>
      </c>
    </row>
    <row r="36" spans="1:20" ht="15" customHeight="1" thickBot="1">
      <c r="A36" s="54">
        <v>18</v>
      </c>
      <c r="B36" s="125">
        <f t="shared" ref="B36" si="66">+B34+$B$20</f>
        <v>9</v>
      </c>
      <c r="C36" s="367" t="s">
        <v>100</v>
      </c>
      <c r="D36" s="371" t="s">
        <v>96</v>
      </c>
      <c r="E36" s="372" t="s">
        <v>117</v>
      </c>
      <c r="F36" s="372">
        <v>951943</v>
      </c>
      <c r="G36" s="373">
        <v>4.9761857139999996</v>
      </c>
      <c r="H36" s="143"/>
      <c r="I36" s="144">
        <f t="shared" ref="I36" si="67">G36+H36+K35</f>
        <v>-2.8572000001503284E-5</v>
      </c>
      <c r="J36" s="145"/>
      <c r="K36" s="153">
        <f t="shared" si="2"/>
        <v>-2.8572000001503284E-5</v>
      </c>
      <c r="L36" s="155">
        <f t="shared" si="4"/>
        <v>0</v>
      </c>
      <c r="M36" s="429">
        <v>43538</v>
      </c>
      <c r="N36" s="80"/>
      <c r="O36" s="80"/>
      <c r="P36" s="80"/>
      <c r="Q36" s="80"/>
      <c r="R36" s="80"/>
      <c r="S36" s="989"/>
      <c r="T36" s="989"/>
    </row>
    <row r="37" spans="1:20" ht="15" customHeight="1" thickBot="1">
      <c r="A37" s="54">
        <v>19</v>
      </c>
      <c r="B37" s="125">
        <f t="shared" ref="B37" si="68">+B35+$B$19</f>
        <v>10</v>
      </c>
      <c r="C37" s="366" t="s">
        <v>100</v>
      </c>
      <c r="D37" s="368" t="s">
        <v>35</v>
      </c>
      <c r="E37" s="369" t="s">
        <v>118</v>
      </c>
      <c r="F37" s="369">
        <v>952448</v>
      </c>
      <c r="G37" s="370">
        <v>8.6507857139999995</v>
      </c>
      <c r="H37" s="340">
        <v>-13.627000000000001</v>
      </c>
      <c r="I37" s="75">
        <f t="shared" ref="I37" si="69">G37+H37</f>
        <v>-4.9762142860000012</v>
      </c>
      <c r="J37" s="76"/>
      <c r="K37" s="152">
        <f t="shared" si="2"/>
        <v>-4.9762142860000012</v>
      </c>
      <c r="L37" s="154">
        <f t="shared" si="4"/>
        <v>0</v>
      </c>
      <c r="M37" s="429">
        <v>43538</v>
      </c>
      <c r="N37" s="77">
        <f t="shared" ref="N37:O37" si="70">G37+G38</f>
        <v>13.626971427999999</v>
      </c>
      <c r="O37" s="78">
        <f t="shared" si="70"/>
        <v>-13.627000000000001</v>
      </c>
      <c r="P37" s="77">
        <f t="shared" ref="P37" si="71">N37+O37</f>
        <v>-2.8572000001503284E-5</v>
      </c>
      <c r="Q37" s="79">
        <f t="shared" ref="Q37" si="72">J37+J38</f>
        <v>0</v>
      </c>
      <c r="R37" s="77">
        <f t="shared" ref="R37" si="73">P37-Q37</f>
        <v>-2.8572000001503284E-5</v>
      </c>
      <c r="S37" s="988">
        <f t="shared" ref="S37" si="74">Q37/P37</f>
        <v>0</v>
      </c>
      <c r="T37" s="988">
        <f t="shared" si="47"/>
        <v>1.0000020967241439</v>
      </c>
    </row>
    <row r="38" spans="1:20" ht="15" customHeight="1" thickBot="1">
      <c r="A38" s="54">
        <v>20</v>
      </c>
      <c r="B38" s="125">
        <f t="shared" ref="B38" si="75">+B36+$B$20</f>
        <v>10</v>
      </c>
      <c r="C38" s="367" t="s">
        <v>100</v>
      </c>
      <c r="D38" s="371" t="s">
        <v>96</v>
      </c>
      <c r="E38" s="372" t="s">
        <v>118</v>
      </c>
      <c r="F38" s="372">
        <v>952448</v>
      </c>
      <c r="G38" s="373">
        <v>4.9761857139999996</v>
      </c>
      <c r="H38" s="143"/>
      <c r="I38" s="144">
        <f t="shared" ref="I38" si="76">G38+H38+K37</f>
        <v>-2.8572000001503284E-5</v>
      </c>
      <c r="J38" s="145"/>
      <c r="K38" s="153">
        <f t="shared" si="2"/>
        <v>-2.8572000001503284E-5</v>
      </c>
      <c r="L38" s="155">
        <f t="shared" si="4"/>
        <v>0</v>
      </c>
      <c r="M38" s="429">
        <v>43538</v>
      </c>
      <c r="N38" s="80"/>
      <c r="O38" s="80"/>
      <c r="P38" s="80"/>
      <c r="Q38" s="80"/>
      <c r="R38" s="80"/>
      <c r="S38" s="989"/>
      <c r="T38" s="989"/>
    </row>
    <row r="39" spans="1:20" ht="15" customHeight="1" thickBot="1">
      <c r="A39" s="54">
        <v>21</v>
      </c>
      <c r="B39" s="125">
        <f t="shared" ref="B39" si="77">+B37+$B$19</f>
        <v>11</v>
      </c>
      <c r="C39" s="366" t="s">
        <v>100</v>
      </c>
      <c r="D39" s="368" t="s">
        <v>35</v>
      </c>
      <c r="E39" s="369" t="s">
        <v>119</v>
      </c>
      <c r="F39" s="369">
        <v>961102</v>
      </c>
      <c r="G39" s="370">
        <v>8.6507857139999995</v>
      </c>
      <c r="H39" s="340">
        <v>-13.627000000000001</v>
      </c>
      <c r="I39" s="75">
        <f t="shared" ref="I39" si="78">G39+H39</f>
        <v>-4.9762142860000012</v>
      </c>
      <c r="J39" s="76"/>
      <c r="K39" s="152">
        <f t="shared" si="2"/>
        <v>-4.9762142860000012</v>
      </c>
      <c r="L39" s="154">
        <f t="shared" si="4"/>
        <v>0</v>
      </c>
      <c r="M39" s="429">
        <v>43538</v>
      </c>
      <c r="N39" s="77">
        <f t="shared" ref="N39:O39" si="79">G39+G40</f>
        <v>13.626971427999999</v>
      </c>
      <c r="O39" s="78">
        <f t="shared" si="79"/>
        <v>-13.627000000000001</v>
      </c>
      <c r="P39" s="77">
        <f t="shared" ref="P39" si="80">N39+O39</f>
        <v>-2.8572000001503284E-5</v>
      </c>
      <c r="Q39" s="79">
        <f t="shared" ref="Q39" si="81">J39+J40</f>
        <v>0</v>
      </c>
      <c r="R39" s="77">
        <f t="shared" ref="R39" si="82">P39-Q39</f>
        <v>-2.8572000001503284E-5</v>
      </c>
      <c r="S39" s="988">
        <f t="shared" ref="S39" si="83">Q39/P39</f>
        <v>0</v>
      </c>
      <c r="T39" s="988">
        <f t="shared" si="47"/>
        <v>1.0000020967241439</v>
      </c>
    </row>
    <row r="40" spans="1:20" ht="15" customHeight="1" thickBot="1">
      <c r="A40" s="54">
        <v>22</v>
      </c>
      <c r="B40" s="125">
        <f t="shared" ref="B40" si="84">+B38+$B$20</f>
        <v>11</v>
      </c>
      <c r="C40" s="367" t="s">
        <v>100</v>
      </c>
      <c r="D40" s="371" t="s">
        <v>96</v>
      </c>
      <c r="E40" s="372" t="s">
        <v>119</v>
      </c>
      <c r="F40" s="372">
        <v>961102</v>
      </c>
      <c r="G40" s="373">
        <v>4.9761857139999996</v>
      </c>
      <c r="H40" s="143"/>
      <c r="I40" s="144">
        <f t="shared" ref="I40" si="85">G40+H40+K39</f>
        <v>-2.8572000001503284E-5</v>
      </c>
      <c r="J40" s="145"/>
      <c r="K40" s="153">
        <f t="shared" si="2"/>
        <v>-2.8572000001503284E-5</v>
      </c>
      <c r="L40" s="155">
        <f t="shared" si="4"/>
        <v>0</v>
      </c>
      <c r="M40" s="429">
        <v>43538</v>
      </c>
      <c r="N40" s="80"/>
      <c r="O40" s="80"/>
      <c r="P40" s="80"/>
      <c r="Q40" s="80"/>
      <c r="R40" s="80"/>
      <c r="S40" s="989"/>
      <c r="T40" s="989"/>
    </row>
    <row r="41" spans="1:20" ht="15" customHeight="1" thickBot="1">
      <c r="A41" s="54">
        <v>23</v>
      </c>
      <c r="B41" s="125">
        <f t="shared" ref="B41" si="86">+B39+$B$19</f>
        <v>12</v>
      </c>
      <c r="C41" s="366" t="s">
        <v>100</v>
      </c>
      <c r="D41" s="368" t="s">
        <v>35</v>
      </c>
      <c r="E41" s="369" t="s">
        <v>120</v>
      </c>
      <c r="F41" s="369">
        <v>37454</v>
      </c>
      <c r="G41" s="370">
        <v>8.6507857139999995</v>
      </c>
      <c r="H41" s="340">
        <v>-13.627000000000001</v>
      </c>
      <c r="I41" s="75">
        <f t="shared" ref="I41" si="87">G41+H41</f>
        <v>-4.9762142860000012</v>
      </c>
      <c r="J41" s="76"/>
      <c r="K41" s="152">
        <f t="shared" si="2"/>
        <v>-4.9762142860000012</v>
      </c>
      <c r="L41" s="154">
        <f t="shared" si="4"/>
        <v>0</v>
      </c>
      <c r="M41" s="429">
        <v>43538</v>
      </c>
      <c r="N41" s="77">
        <f t="shared" ref="N41:O41" si="88">G41+G42</f>
        <v>13.626971427999999</v>
      </c>
      <c r="O41" s="78">
        <f t="shared" si="88"/>
        <v>-13.627000000000001</v>
      </c>
      <c r="P41" s="77">
        <f t="shared" ref="P41" si="89">N41+O41</f>
        <v>-2.8572000001503284E-5</v>
      </c>
      <c r="Q41" s="79">
        <f t="shared" ref="Q41" si="90">J41+J42</f>
        <v>0</v>
      </c>
      <c r="R41" s="77">
        <f t="shared" ref="R41" si="91">P41-Q41</f>
        <v>-2.8572000001503284E-5</v>
      </c>
      <c r="S41" s="988">
        <f t="shared" ref="S41" si="92">Q41/P41</f>
        <v>0</v>
      </c>
      <c r="T41" s="988">
        <f t="shared" si="47"/>
        <v>1.0000020967241439</v>
      </c>
    </row>
    <row r="42" spans="1:20" ht="15" customHeight="1" thickBot="1">
      <c r="A42" s="54">
        <v>24</v>
      </c>
      <c r="B42" s="125">
        <f t="shared" ref="B42" si="93">+B40+$B$20</f>
        <v>12</v>
      </c>
      <c r="C42" s="367" t="s">
        <v>100</v>
      </c>
      <c r="D42" s="371" t="s">
        <v>96</v>
      </c>
      <c r="E42" s="372" t="s">
        <v>120</v>
      </c>
      <c r="F42" s="372">
        <v>37454</v>
      </c>
      <c r="G42" s="373">
        <v>4.9761857139999996</v>
      </c>
      <c r="H42" s="143"/>
      <c r="I42" s="144">
        <f t="shared" ref="I42" si="94">G42+H42+K41</f>
        <v>-2.8572000001503284E-5</v>
      </c>
      <c r="J42" s="145"/>
      <c r="K42" s="153">
        <f t="shared" si="2"/>
        <v>-2.8572000001503284E-5</v>
      </c>
      <c r="L42" s="155">
        <f t="shared" si="4"/>
        <v>0</v>
      </c>
      <c r="M42" s="429">
        <v>43538</v>
      </c>
      <c r="N42" s="80"/>
      <c r="O42" s="80"/>
      <c r="P42" s="80"/>
      <c r="Q42" s="80"/>
      <c r="R42" s="80"/>
      <c r="S42" s="989"/>
      <c r="T42" s="989"/>
    </row>
    <row r="43" spans="1:20" ht="15" customHeight="1" thickBot="1">
      <c r="A43" s="54">
        <v>25</v>
      </c>
      <c r="B43" s="125">
        <f t="shared" ref="B43" si="95">+B41+$B$19</f>
        <v>13</v>
      </c>
      <c r="C43" s="366" t="s">
        <v>100</v>
      </c>
      <c r="D43" s="368" t="s">
        <v>35</v>
      </c>
      <c r="E43" s="369" t="s">
        <v>121</v>
      </c>
      <c r="F43" s="369">
        <v>900895</v>
      </c>
      <c r="G43" s="370">
        <v>8.6507857139999995</v>
      </c>
      <c r="H43" s="340">
        <v>-13.627000000000001</v>
      </c>
      <c r="I43" s="75">
        <f t="shared" ref="I43" si="96">G43+H43</f>
        <v>-4.9762142860000012</v>
      </c>
      <c r="J43" s="76"/>
      <c r="K43" s="152">
        <f t="shared" si="2"/>
        <v>-4.9762142860000012</v>
      </c>
      <c r="L43" s="154">
        <f t="shared" si="4"/>
        <v>0</v>
      </c>
      <c r="M43" s="429">
        <v>43538</v>
      </c>
      <c r="N43" s="77">
        <f t="shared" ref="N43:O43" si="97">G43+G44</f>
        <v>13.626971427999999</v>
      </c>
      <c r="O43" s="78">
        <f t="shared" si="97"/>
        <v>-13.627000000000001</v>
      </c>
      <c r="P43" s="77">
        <f t="shared" ref="P43" si="98">N43+O43</f>
        <v>-2.8572000001503284E-5</v>
      </c>
      <c r="Q43" s="79">
        <f t="shared" ref="Q43" si="99">J43+J44</f>
        <v>0</v>
      </c>
      <c r="R43" s="77">
        <f t="shared" ref="R43" si="100">P43-Q43</f>
        <v>-2.8572000001503284E-5</v>
      </c>
      <c r="S43" s="988">
        <f t="shared" ref="S43" si="101">Q43/P43</f>
        <v>0</v>
      </c>
      <c r="T43" s="988">
        <f t="shared" si="47"/>
        <v>1.0000020967241439</v>
      </c>
    </row>
    <row r="44" spans="1:20" ht="15" customHeight="1" thickBot="1">
      <c r="A44" s="54">
        <v>26</v>
      </c>
      <c r="B44" s="125">
        <f t="shared" ref="B44" si="102">+B42+$B$20</f>
        <v>13</v>
      </c>
      <c r="C44" s="367" t="s">
        <v>100</v>
      </c>
      <c r="D44" s="371" t="s">
        <v>96</v>
      </c>
      <c r="E44" s="372" t="s">
        <v>121</v>
      </c>
      <c r="F44" s="372">
        <v>900895</v>
      </c>
      <c r="G44" s="373">
        <v>4.9761857139999996</v>
      </c>
      <c r="H44" s="143"/>
      <c r="I44" s="144">
        <f t="shared" ref="I44" si="103">G44+H44+K43</f>
        <v>-2.8572000001503284E-5</v>
      </c>
      <c r="J44" s="145"/>
      <c r="K44" s="153">
        <f t="shared" si="2"/>
        <v>-2.8572000001503284E-5</v>
      </c>
      <c r="L44" s="155">
        <f t="shared" si="4"/>
        <v>0</v>
      </c>
      <c r="M44" s="429">
        <v>43538</v>
      </c>
      <c r="N44" s="80"/>
      <c r="O44" s="80"/>
      <c r="P44" s="80"/>
      <c r="Q44" s="80"/>
      <c r="R44" s="80"/>
      <c r="S44" s="989"/>
      <c r="T44" s="989"/>
    </row>
    <row r="45" spans="1:20" ht="15" customHeight="1" thickBot="1">
      <c r="A45" s="54">
        <v>27</v>
      </c>
      <c r="B45" s="125">
        <f t="shared" ref="B45" si="104">+B43+$B$19</f>
        <v>14</v>
      </c>
      <c r="C45" s="366" t="s">
        <v>100</v>
      </c>
      <c r="D45" s="368" t="s">
        <v>35</v>
      </c>
      <c r="E45" s="369" t="s">
        <v>122</v>
      </c>
      <c r="F45" s="369">
        <v>965590</v>
      </c>
      <c r="G45" s="370">
        <v>8.6507857139999995</v>
      </c>
      <c r="H45" s="341">
        <v>-13.627000000000001</v>
      </c>
      <c r="I45" s="75">
        <f t="shared" ref="I45" si="105">G45+H45</f>
        <v>-4.9762142860000012</v>
      </c>
      <c r="J45" s="76"/>
      <c r="K45" s="152">
        <f t="shared" si="2"/>
        <v>-4.9762142860000012</v>
      </c>
      <c r="L45" s="154">
        <f t="shared" si="4"/>
        <v>0</v>
      </c>
      <c r="M45" s="431">
        <v>43510</v>
      </c>
      <c r="N45" s="77">
        <f t="shared" ref="N45:O45" si="106">G45+G46</f>
        <v>13.626971427999999</v>
      </c>
      <c r="O45" s="78">
        <f t="shared" si="106"/>
        <v>-13.627000000000001</v>
      </c>
      <c r="P45" s="77">
        <f t="shared" ref="P45" si="107">N45+O45</f>
        <v>-2.8572000001503284E-5</v>
      </c>
      <c r="Q45" s="79">
        <f t="shared" ref="Q45" si="108">J45+J46</f>
        <v>0</v>
      </c>
      <c r="R45" s="427">
        <f t="shared" ref="R45" si="109">P45-Q45</f>
        <v>-2.8572000001503284E-5</v>
      </c>
      <c r="S45" s="988">
        <f t="shared" ref="S45" si="110">Q45/P45</f>
        <v>0</v>
      </c>
      <c r="T45" s="988">
        <f t="shared" si="47"/>
        <v>1.0000020967241439</v>
      </c>
    </row>
    <row r="46" spans="1:20" ht="15" customHeight="1" thickBot="1">
      <c r="A46" s="54">
        <v>28</v>
      </c>
      <c r="B46" s="125">
        <f t="shared" ref="B46" si="111">+B44+$B$20</f>
        <v>14</v>
      </c>
      <c r="C46" s="367" t="s">
        <v>100</v>
      </c>
      <c r="D46" s="371" t="s">
        <v>96</v>
      </c>
      <c r="E46" s="372" t="s">
        <v>122</v>
      </c>
      <c r="F46" s="372">
        <v>965590</v>
      </c>
      <c r="G46" s="373">
        <v>4.9761857139999996</v>
      </c>
      <c r="H46" s="143"/>
      <c r="I46" s="144">
        <f t="shared" ref="I46" si="112">G46+H46+K45</f>
        <v>-2.8572000001503284E-5</v>
      </c>
      <c r="J46" s="145"/>
      <c r="K46" s="153">
        <f t="shared" si="2"/>
        <v>-2.8572000001503284E-5</v>
      </c>
      <c r="L46" s="155">
        <f t="shared" si="4"/>
        <v>0</v>
      </c>
      <c r="M46" s="431">
        <v>43510</v>
      </c>
      <c r="N46" s="80"/>
      <c r="O46" s="80"/>
      <c r="P46" s="80"/>
      <c r="Q46" s="80"/>
      <c r="R46" s="428"/>
      <c r="S46" s="989"/>
      <c r="T46" s="989"/>
    </row>
    <row r="47" spans="1:20" ht="15" customHeight="1" thickBot="1">
      <c r="A47" s="54">
        <v>29</v>
      </c>
      <c r="B47" s="125">
        <f t="shared" ref="B47" si="113">+B45+$B$19</f>
        <v>15</v>
      </c>
      <c r="C47" s="366" t="s">
        <v>100</v>
      </c>
      <c r="D47" s="368" t="s">
        <v>35</v>
      </c>
      <c r="E47" s="369" t="s">
        <v>123</v>
      </c>
      <c r="F47" s="369">
        <v>952272</v>
      </c>
      <c r="G47" s="370">
        <v>8.6507857139999995</v>
      </c>
      <c r="H47" s="340">
        <v>-13.627000000000001</v>
      </c>
      <c r="I47" s="75">
        <f t="shared" ref="I47" si="114">G47+H47</f>
        <v>-4.9762142860000012</v>
      </c>
      <c r="J47" s="76"/>
      <c r="K47" s="152">
        <f t="shared" si="2"/>
        <v>-4.9762142860000012</v>
      </c>
      <c r="L47" s="154">
        <f t="shared" si="4"/>
        <v>0</v>
      </c>
      <c r="M47" s="429">
        <v>43538</v>
      </c>
      <c r="N47" s="77">
        <f t="shared" ref="N47:O47" si="115">G47+G48</f>
        <v>13.626971427999999</v>
      </c>
      <c r="O47" s="78">
        <f t="shared" si="115"/>
        <v>-13.627000000000001</v>
      </c>
      <c r="P47" s="77">
        <f t="shared" ref="P47" si="116">N47+O47</f>
        <v>-2.8572000001503284E-5</v>
      </c>
      <c r="Q47" s="79">
        <f t="shared" ref="Q47" si="117">J47+J48</f>
        <v>0</v>
      </c>
      <c r="R47" s="77">
        <f t="shared" ref="R47" si="118">P47-Q47</f>
        <v>-2.8572000001503284E-5</v>
      </c>
      <c r="S47" s="988">
        <f t="shared" ref="S47" si="119">Q47/P47</f>
        <v>0</v>
      </c>
      <c r="T47" s="988">
        <f t="shared" si="47"/>
        <v>1.0000020967241439</v>
      </c>
    </row>
    <row r="48" spans="1:20" ht="15" customHeight="1" thickBot="1">
      <c r="A48" s="54">
        <v>30</v>
      </c>
      <c r="B48" s="125">
        <f t="shared" ref="B48" si="120">+B46+$B$20</f>
        <v>15</v>
      </c>
      <c r="C48" s="367" t="s">
        <v>100</v>
      </c>
      <c r="D48" s="371" t="s">
        <v>96</v>
      </c>
      <c r="E48" s="372" t="s">
        <v>123</v>
      </c>
      <c r="F48" s="372">
        <v>952272</v>
      </c>
      <c r="G48" s="373">
        <v>4.9761857139999996</v>
      </c>
      <c r="H48" s="143"/>
      <c r="I48" s="144">
        <f t="shared" ref="I48" si="121">G48+H48+K47</f>
        <v>-2.8572000001503284E-5</v>
      </c>
      <c r="J48" s="145"/>
      <c r="K48" s="153">
        <f t="shared" si="2"/>
        <v>-2.8572000001503284E-5</v>
      </c>
      <c r="L48" s="155">
        <f t="shared" si="4"/>
        <v>0</v>
      </c>
      <c r="M48" s="429">
        <v>43538</v>
      </c>
      <c r="N48" s="80"/>
      <c r="O48" s="80"/>
      <c r="P48" s="80"/>
      <c r="Q48" s="80"/>
      <c r="R48" s="80"/>
      <c r="S48" s="989"/>
      <c r="T48" s="989"/>
    </row>
    <row r="49" spans="1:21" ht="15" customHeight="1" thickBot="1">
      <c r="A49" s="54">
        <v>31</v>
      </c>
      <c r="B49" s="125">
        <f t="shared" ref="B49" si="122">+B47+$B$19</f>
        <v>16</v>
      </c>
      <c r="C49" s="366" t="s">
        <v>100</v>
      </c>
      <c r="D49" s="368" t="s">
        <v>35</v>
      </c>
      <c r="E49" s="369" t="s">
        <v>124</v>
      </c>
      <c r="F49" s="369">
        <v>960680</v>
      </c>
      <c r="G49" s="370">
        <v>8.6507857139999995</v>
      </c>
      <c r="H49" s="340">
        <v>-13.627000000000001</v>
      </c>
      <c r="I49" s="75">
        <f t="shared" ref="I49" si="123">G49+H49</f>
        <v>-4.9762142860000012</v>
      </c>
      <c r="J49" s="76"/>
      <c r="K49" s="152">
        <f t="shared" si="2"/>
        <v>-4.9762142860000012</v>
      </c>
      <c r="L49" s="154">
        <f t="shared" si="4"/>
        <v>0</v>
      </c>
      <c r="M49" s="429">
        <v>43538</v>
      </c>
      <c r="N49" s="77">
        <f t="shared" ref="N49:O49" si="124">G49+G50</f>
        <v>13.626971427999999</v>
      </c>
      <c r="O49" s="78">
        <f t="shared" si="124"/>
        <v>-13.627000000000001</v>
      </c>
      <c r="P49" s="77">
        <f t="shared" ref="P49" si="125">N49+O49</f>
        <v>-2.8572000001503284E-5</v>
      </c>
      <c r="Q49" s="79">
        <f t="shared" ref="Q49" si="126">J49+J50</f>
        <v>0</v>
      </c>
      <c r="R49" s="77">
        <f t="shared" ref="R49" si="127">P49-Q49</f>
        <v>-2.8572000001503284E-5</v>
      </c>
      <c r="S49" s="988">
        <f t="shared" ref="S49" si="128">Q49/P49</f>
        <v>0</v>
      </c>
      <c r="T49" s="988">
        <f t="shared" si="47"/>
        <v>1.0000020967241439</v>
      </c>
    </row>
    <row r="50" spans="1:21" ht="15" customHeight="1" thickBot="1">
      <c r="A50" s="54">
        <v>32</v>
      </c>
      <c r="B50" s="125">
        <f t="shared" ref="B50" si="129">+B48+$B$20</f>
        <v>16</v>
      </c>
      <c r="C50" s="367" t="s">
        <v>100</v>
      </c>
      <c r="D50" s="371" t="s">
        <v>96</v>
      </c>
      <c r="E50" s="372" t="s">
        <v>124</v>
      </c>
      <c r="F50" s="372">
        <v>960680</v>
      </c>
      <c r="G50" s="373">
        <v>4.9761857139999996</v>
      </c>
      <c r="H50" s="143"/>
      <c r="I50" s="144">
        <f t="shared" ref="I50" si="130">G50+H50+K49</f>
        <v>-2.8572000001503284E-5</v>
      </c>
      <c r="J50" s="145"/>
      <c r="K50" s="153">
        <f t="shared" si="2"/>
        <v>-2.8572000001503284E-5</v>
      </c>
      <c r="L50" s="155">
        <f t="shared" si="4"/>
        <v>0</v>
      </c>
      <c r="M50" s="429">
        <v>43538</v>
      </c>
      <c r="N50" s="80"/>
      <c r="O50" s="80"/>
      <c r="P50" s="80"/>
      <c r="Q50" s="80"/>
      <c r="R50" s="80"/>
      <c r="S50" s="989"/>
      <c r="T50" s="989"/>
    </row>
    <row r="51" spans="1:21" ht="15" customHeight="1">
      <c r="A51" s="54">
        <v>33</v>
      </c>
      <c r="B51" s="125">
        <f t="shared" ref="B51" si="131">+B49+$B$19</f>
        <v>17</v>
      </c>
      <c r="C51" s="366" t="s">
        <v>100</v>
      </c>
      <c r="D51" s="368" t="s">
        <v>35</v>
      </c>
      <c r="E51" s="369" t="s">
        <v>125</v>
      </c>
      <c r="F51" s="369">
        <v>963416</v>
      </c>
      <c r="G51" s="370">
        <v>8.6507857139999995</v>
      </c>
      <c r="H51" s="344">
        <v>-9</v>
      </c>
      <c r="I51" s="75">
        <f t="shared" ref="I51" si="132">G51+H51</f>
        <v>-0.34921428600000048</v>
      </c>
      <c r="J51" s="418">
        <v>3.5430000000000001</v>
      </c>
      <c r="K51" s="152">
        <f t="shared" si="2"/>
        <v>-3.8922142860000006</v>
      </c>
      <c r="L51" s="747">
        <f t="shared" si="4"/>
        <v>-10.145633045493435</v>
      </c>
      <c r="M51" s="1369">
        <v>43629</v>
      </c>
      <c r="N51" s="77">
        <f t="shared" ref="N51:O51" si="133">G51+G52</f>
        <v>13.626971427999999</v>
      </c>
      <c r="O51" s="78">
        <f t="shared" si="133"/>
        <v>-9</v>
      </c>
      <c r="P51" s="77">
        <f t="shared" ref="P51" si="134">N51+O51</f>
        <v>4.6269714279999992</v>
      </c>
      <c r="Q51" s="79">
        <f t="shared" ref="Q51" si="135">J51+J52</f>
        <v>3.5430000000000001</v>
      </c>
      <c r="R51" s="77">
        <f t="shared" ref="R51" si="136">P51-Q51</f>
        <v>1.083971427999999</v>
      </c>
      <c r="S51" s="988">
        <f t="shared" ref="S51" si="137">Q51/P51</f>
        <v>0.76572765903839957</v>
      </c>
      <c r="T51" s="988">
        <f t="shared" si="47"/>
        <v>0.40045581872926195</v>
      </c>
      <c r="U51" s="1370"/>
    </row>
    <row r="52" spans="1:21" ht="15" customHeight="1" thickBot="1">
      <c r="A52" s="54">
        <v>34</v>
      </c>
      <c r="B52" s="125">
        <f t="shared" ref="B52" si="138">+B50+$B$20</f>
        <v>17</v>
      </c>
      <c r="C52" s="367" t="s">
        <v>100</v>
      </c>
      <c r="D52" s="371" t="s">
        <v>96</v>
      </c>
      <c r="E52" s="372" t="s">
        <v>125</v>
      </c>
      <c r="F52" s="372">
        <v>963416</v>
      </c>
      <c r="G52" s="373">
        <v>4.9761857139999996</v>
      </c>
      <c r="H52" s="143"/>
      <c r="I52" s="144">
        <f t="shared" ref="I52" si="139">G52+H52+K51</f>
        <v>1.083971427999999</v>
      </c>
      <c r="J52" s="145"/>
      <c r="K52" s="153">
        <f t="shared" si="2"/>
        <v>1.083971427999999</v>
      </c>
      <c r="L52" s="155">
        <f t="shared" si="4"/>
        <v>0</v>
      </c>
      <c r="M52" s="433" t="s">
        <v>30</v>
      </c>
      <c r="N52" s="80"/>
      <c r="O52" s="80"/>
      <c r="P52" s="80"/>
      <c r="Q52" s="80"/>
      <c r="R52" s="80"/>
      <c r="S52" s="989"/>
      <c r="T52" s="989"/>
      <c r="U52" s="1370"/>
    </row>
    <row r="53" spans="1:21" ht="15" customHeight="1">
      <c r="A53" s="54">
        <v>35</v>
      </c>
      <c r="B53" s="125">
        <f t="shared" ref="B53" si="140">+B51+$B$19</f>
        <v>18</v>
      </c>
      <c r="C53" s="366" t="s">
        <v>100</v>
      </c>
      <c r="D53" s="368" t="s">
        <v>35</v>
      </c>
      <c r="E53" s="369" t="s">
        <v>126</v>
      </c>
      <c r="F53" s="369">
        <v>960679</v>
      </c>
      <c r="G53" s="370">
        <v>8.6507857139999995</v>
      </c>
      <c r="H53" s="74"/>
      <c r="I53" s="75">
        <f t="shared" ref="I53" si="141">G53+H53</f>
        <v>8.6507857139999995</v>
      </c>
      <c r="J53" s="76"/>
      <c r="K53" s="152">
        <f t="shared" si="2"/>
        <v>8.6507857139999995</v>
      </c>
      <c r="L53" s="154">
        <f t="shared" si="4"/>
        <v>0</v>
      </c>
      <c r="M53" s="432" t="s">
        <v>30</v>
      </c>
      <c r="N53" s="77">
        <f t="shared" ref="N53:O53" si="142">G53+G54</f>
        <v>13.626971427999999</v>
      </c>
      <c r="O53" s="78">
        <f t="shared" si="142"/>
        <v>0</v>
      </c>
      <c r="P53" s="77">
        <f t="shared" ref="P53" si="143">N53+O53</f>
        <v>13.626971427999999</v>
      </c>
      <c r="Q53" s="79">
        <f t="shared" ref="Q53" si="144">J53+J54</f>
        <v>0</v>
      </c>
      <c r="R53" s="77">
        <f t="shared" ref="R53" si="145">P53-Q53</f>
        <v>13.626971427999999</v>
      </c>
      <c r="S53" s="988">
        <f t="shared" ref="S53" si="146">Q53/P53</f>
        <v>0</v>
      </c>
      <c r="T53" s="988">
        <f t="shared" si="47"/>
        <v>0</v>
      </c>
    </row>
    <row r="54" spans="1:21" ht="15" customHeight="1" thickBot="1">
      <c r="A54" s="54">
        <v>36</v>
      </c>
      <c r="B54" s="125">
        <f t="shared" ref="B54" si="147">+B52+$B$20</f>
        <v>18</v>
      </c>
      <c r="C54" s="367" t="s">
        <v>100</v>
      </c>
      <c r="D54" s="371" t="s">
        <v>96</v>
      </c>
      <c r="E54" s="372" t="s">
        <v>126</v>
      </c>
      <c r="F54" s="372">
        <v>960679</v>
      </c>
      <c r="G54" s="373">
        <v>4.9761857139999996</v>
      </c>
      <c r="H54" s="143"/>
      <c r="I54" s="144">
        <f t="shared" ref="I54" si="148">G54+H54+K53</f>
        <v>13.626971427999999</v>
      </c>
      <c r="J54" s="145"/>
      <c r="K54" s="153">
        <f t="shared" si="2"/>
        <v>13.626971427999999</v>
      </c>
      <c r="L54" s="155">
        <f t="shared" si="4"/>
        <v>0</v>
      </c>
      <c r="M54" s="433" t="s">
        <v>30</v>
      </c>
      <c r="N54" s="80"/>
      <c r="O54" s="80"/>
      <c r="P54" s="80"/>
      <c r="Q54" s="80"/>
      <c r="R54" s="80"/>
      <c r="S54" s="989"/>
      <c r="T54" s="989"/>
    </row>
    <row r="55" spans="1:21" ht="15" customHeight="1" thickBot="1">
      <c r="A55" s="54">
        <v>37</v>
      </c>
      <c r="B55" s="125">
        <f t="shared" ref="B55" si="149">+B53+$B$19</f>
        <v>19</v>
      </c>
      <c r="C55" s="366" t="s">
        <v>100</v>
      </c>
      <c r="D55" s="368" t="s">
        <v>35</v>
      </c>
      <c r="E55" s="369" t="s">
        <v>127</v>
      </c>
      <c r="F55" s="369">
        <v>961369</v>
      </c>
      <c r="G55" s="370">
        <v>8.6507857139999995</v>
      </c>
      <c r="H55" s="340">
        <f>-13.627</f>
        <v>-13.627000000000001</v>
      </c>
      <c r="I55" s="75">
        <f t="shared" ref="I55" si="150">G55+H55</f>
        <v>-4.9762142860000012</v>
      </c>
      <c r="J55" s="76"/>
      <c r="K55" s="152">
        <f t="shared" si="2"/>
        <v>-4.9762142860000012</v>
      </c>
      <c r="L55" s="154">
        <f t="shared" si="4"/>
        <v>0</v>
      </c>
      <c r="M55" s="434">
        <v>43538</v>
      </c>
      <c r="N55" s="77">
        <f t="shared" ref="N55:O55" si="151">G55+G56</f>
        <v>13.626971427999999</v>
      </c>
      <c r="O55" s="78">
        <f t="shared" si="151"/>
        <v>-13.627000000000001</v>
      </c>
      <c r="P55" s="77">
        <f t="shared" ref="P55" si="152">N55+O55</f>
        <v>-2.8572000001503284E-5</v>
      </c>
      <c r="Q55" s="79">
        <f t="shared" ref="Q55" si="153">J55+J56</f>
        <v>0</v>
      </c>
      <c r="R55" s="77">
        <f t="shared" ref="R55" si="154">P55-Q55</f>
        <v>-2.8572000001503284E-5</v>
      </c>
      <c r="S55" s="988">
        <f t="shared" ref="S55" si="155">Q55/P55</f>
        <v>0</v>
      </c>
      <c r="T55" s="988">
        <f t="shared" si="47"/>
        <v>1.0000020967241439</v>
      </c>
    </row>
    <row r="56" spans="1:21" ht="15" customHeight="1" thickBot="1">
      <c r="A56" s="54">
        <v>38</v>
      </c>
      <c r="B56" s="125">
        <f t="shared" ref="B56" si="156">+B54+$B$20</f>
        <v>19</v>
      </c>
      <c r="C56" s="367" t="s">
        <v>100</v>
      </c>
      <c r="D56" s="371" t="s">
        <v>96</v>
      </c>
      <c r="E56" s="372" t="s">
        <v>127</v>
      </c>
      <c r="F56" s="372">
        <v>961369</v>
      </c>
      <c r="G56" s="373">
        <v>4.9761857139999996</v>
      </c>
      <c r="H56" s="143"/>
      <c r="I56" s="144">
        <f t="shared" ref="I56" si="157">G56+H56+K55</f>
        <v>-2.8572000001503284E-5</v>
      </c>
      <c r="J56" s="145"/>
      <c r="K56" s="153">
        <f t="shared" si="2"/>
        <v>-2.8572000001503284E-5</v>
      </c>
      <c r="L56" s="155">
        <f t="shared" si="4"/>
        <v>0</v>
      </c>
      <c r="M56" s="434">
        <v>43538</v>
      </c>
      <c r="N56" s="80"/>
      <c r="O56" s="80"/>
      <c r="P56" s="80"/>
      <c r="Q56" s="80"/>
      <c r="R56" s="80"/>
      <c r="S56" s="989"/>
      <c r="T56" s="989"/>
    </row>
    <row r="57" spans="1:21" ht="15" customHeight="1" thickBot="1">
      <c r="A57" s="54">
        <v>39</v>
      </c>
      <c r="B57" s="125">
        <f t="shared" ref="B57" si="158">+B55+$B$19</f>
        <v>20</v>
      </c>
      <c r="C57" s="366" t="s">
        <v>100</v>
      </c>
      <c r="D57" s="368" t="s">
        <v>35</v>
      </c>
      <c r="E57" s="369" t="s">
        <v>128</v>
      </c>
      <c r="F57" s="369">
        <v>918715</v>
      </c>
      <c r="G57" s="370">
        <v>8.6507857139999995</v>
      </c>
      <c r="H57" s="340">
        <v>-13.627000000000001</v>
      </c>
      <c r="I57" s="75">
        <f t="shared" ref="I57" si="159">G57+H57</f>
        <v>-4.9762142860000012</v>
      </c>
      <c r="J57" s="76"/>
      <c r="K57" s="152">
        <f t="shared" si="2"/>
        <v>-4.9762142860000012</v>
      </c>
      <c r="L57" s="154">
        <f t="shared" si="4"/>
        <v>0</v>
      </c>
      <c r="M57" s="429">
        <v>43538</v>
      </c>
      <c r="N57" s="77">
        <f t="shared" ref="N57:O57" si="160">G57+G58</f>
        <v>13.626971427999999</v>
      </c>
      <c r="O57" s="78">
        <f t="shared" si="160"/>
        <v>-13.627000000000001</v>
      </c>
      <c r="P57" s="77">
        <f t="shared" ref="P57" si="161">N57+O57</f>
        <v>-2.8572000001503284E-5</v>
      </c>
      <c r="Q57" s="79">
        <f t="shared" ref="Q57" si="162">J57+J58</f>
        <v>0</v>
      </c>
      <c r="R57" s="77">
        <f t="shared" ref="R57" si="163">P57-Q57</f>
        <v>-2.8572000001503284E-5</v>
      </c>
      <c r="S57" s="988">
        <f t="shared" ref="S57" si="164">Q57/P57</f>
        <v>0</v>
      </c>
      <c r="T57" s="988">
        <f t="shared" si="47"/>
        <v>1.0000020967241439</v>
      </c>
    </row>
    <row r="58" spans="1:21" ht="15" customHeight="1" thickBot="1">
      <c r="A58" s="54">
        <v>40</v>
      </c>
      <c r="B58" s="125">
        <f t="shared" ref="B58" si="165">+B56+$B$20</f>
        <v>20</v>
      </c>
      <c r="C58" s="367" t="s">
        <v>100</v>
      </c>
      <c r="D58" s="371" t="s">
        <v>96</v>
      </c>
      <c r="E58" s="372" t="s">
        <v>128</v>
      </c>
      <c r="F58" s="372">
        <v>918715</v>
      </c>
      <c r="G58" s="373">
        <v>4.9761857139999996</v>
      </c>
      <c r="H58" s="143"/>
      <c r="I58" s="144">
        <f t="shared" ref="I58" si="166">G58+H58+K57</f>
        <v>-2.8572000001503284E-5</v>
      </c>
      <c r="J58" s="145"/>
      <c r="K58" s="153">
        <f t="shared" si="2"/>
        <v>-2.8572000001503284E-5</v>
      </c>
      <c r="L58" s="155">
        <f t="shared" si="4"/>
        <v>0</v>
      </c>
      <c r="M58" s="429">
        <v>43538</v>
      </c>
      <c r="N58" s="80"/>
      <c r="O58" s="80"/>
      <c r="P58" s="80"/>
      <c r="Q58" s="80"/>
      <c r="R58" s="80"/>
      <c r="S58" s="989"/>
      <c r="T58" s="989"/>
    </row>
    <row r="59" spans="1:21" ht="15" customHeight="1" thickBot="1">
      <c r="A59" s="54">
        <v>41</v>
      </c>
      <c r="B59" s="125">
        <f t="shared" ref="B59" si="167">+B57+$B$19</f>
        <v>21</v>
      </c>
      <c r="C59" s="366" t="s">
        <v>100</v>
      </c>
      <c r="D59" s="368" t="s">
        <v>35</v>
      </c>
      <c r="E59" s="369" t="s">
        <v>129</v>
      </c>
      <c r="F59" s="369">
        <v>926081</v>
      </c>
      <c r="G59" s="370">
        <v>8.6507857139999995</v>
      </c>
      <c r="H59" s="340">
        <v>-13.627000000000001</v>
      </c>
      <c r="I59" s="75">
        <f t="shared" ref="I59" si="168">G59+H59</f>
        <v>-4.9762142860000012</v>
      </c>
      <c r="J59" s="76"/>
      <c r="K59" s="152">
        <f t="shared" si="2"/>
        <v>-4.9762142860000012</v>
      </c>
      <c r="L59" s="154">
        <f t="shared" si="4"/>
        <v>0</v>
      </c>
      <c r="M59" s="429">
        <v>43538</v>
      </c>
      <c r="N59" s="77">
        <f t="shared" ref="N59:O59" si="169">G59+G60</f>
        <v>13.626971427999999</v>
      </c>
      <c r="O59" s="78">
        <f t="shared" si="169"/>
        <v>-13.627000000000001</v>
      </c>
      <c r="P59" s="77">
        <f t="shared" ref="P59" si="170">N59+O59</f>
        <v>-2.8572000001503284E-5</v>
      </c>
      <c r="Q59" s="79">
        <f t="shared" ref="Q59" si="171">J59+J60</f>
        <v>0</v>
      </c>
      <c r="R59" s="77">
        <f t="shared" ref="R59" si="172">P59-Q59</f>
        <v>-2.8572000001503284E-5</v>
      </c>
      <c r="S59" s="988">
        <f t="shared" ref="S59" si="173">Q59/P59</f>
        <v>0</v>
      </c>
      <c r="T59" s="988">
        <f t="shared" si="47"/>
        <v>1.0000020967241439</v>
      </c>
    </row>
    <row r="60" spans="1:21" ht="15" customHeight="1" thickBot="1">
      <c r="A60" s="54">
        <v>42</v>
      </c>
      <c r="B60" s="125">
        <f t="shared" ref="B60" si="174">+B58+$B$20</f>
        <v>21</v>
      </c>
      <c r="C60" s="367" t="s">
        <v>100</v>
      </c>
      <c r="D60" s="371" t="s">
        <v>96</v>
      </c>
      <c r="E60" s="372" t="s">
        <v>129</v>
      </c>
      <c r="F60" s="372">
        <v>926081</v>
      </c>
      <c r="G60" s="373">
        <v>4.9761857139999996</v>
      </c>
      <c r="H60" s="143"/>
      <c r="I60" s="144">
        <f t="shared" ref="I60" si="175">G60+H60+K59</f>
        <v>-2.8572000001503284E-5</v>
      </c>
      <c r="J60" s="145"/>
      <c r="K60" s="153">
        <f t="shared" si="2"/>
        <v>-2.8572000001503284E-5</v>
      </c>
      <c r="L60" s="155">
        <f t="shared" si="4"/>
        <v>0</v>
      </c>
      <c r="M60" s="429">
        <v>43538</v>
      </c>
      <c r="N60" s="80"/>
      <c r="O60" s="80"/>
      <c r="P60" s="80"/>
      <c r="Q60" s="80"/>
      <c r="R60" s="80"/>
      <c r="S60" s="989"/>
      <c r="T60" s="989"/>
    </row>
    <row r="61" spans="1:21" ht="15" customHeight="1" thickBot="1">
      <c r="A61" s="54">
        <v>43</v>
      </c>
      <c r="B61" s="125">
        <f t="shared" ref="B61" si="176">+B59+$B$19</f>
        <v>22</v>
      </c>
      <c r="C61" s="366" t="s">
        <v>100</v>
      </c>
      <c r="D61" s="368" t="s">
        <v>35</v>
      </c>
      <c r="E61" s="369" t="s">
        <v>130</v>
      </c>
      <c r="F61" s="369">
        <v>961650</v>
      </c>
      <c r="G61" s="370">
        <v>8.6507857139999995</v>
      </c>
      <c r="H61" s="340">
        <v>-13.627000000000001</v>
      </c>
      <c r="I61" s="75">
        <f t="shared" ref="I61" si="177">G61+H61</f>
        <v>-4.9762142860000012</v>
      </c>
      <c r="J61" s="76"/>
      <c r="K61" s="152">
        <f t="shared" si="2"/>
        <v>-4.9762142860000012</v>
      </c>
      <c r="L61" s="154">
        <f t="shared" si="4"/>
        <v>0</v>
      </c>
      <c r="M61" s="429">
        <v>43538</v>
      </c>
      <c r="N61" s="77">
        <f t="shared" ref="N61:O61" si="178">G61+G62</f>
        <v>13.626971427999999</v>
      </c>
      <c r="O61" s="78">
        <f t="shared" si="178"/>
        <v>-13.627000000000001</v>
      </c>
      <c r="P61" s="77">
        <f t="shared" ref="P61" si="179">N61+O61</f>
        <v>-2.8572000001503284E-5</v>
      </c>
      <c r="Q61" s="79">
        <f t="shared" ref="Q61" si="180">J61+J62</f>
        <v>0</v>
      </c>
      <c r="R61" s="77">
        <f t="shared" ref="R61" si="181">P61-Q61</f>
        <v>-2.8572000001503284E-5</v>
      </c>
      <c r="S61" s="988">
        <f t="shared" ref="S61" si="182">Q61/P61</f>
        <v>0</v>
      </c>
      <c r="T61" s="988">
        <f t="shared" si="47"/>
        <v>1.0000020967241439</v>
      </c>
    </row>
    <row r="62" spans="1:21" ht="15" customHeight="1" thickBot="1">
      <c r="A62" s="54">
        <v>44</v>
      </c>
      <c r="B62" s="125">
        <f t="shared" ref="B62" si="183">+B60+$B$20</f>
        <v>22</v>
      </c>
      <c r="C62" s="367" t="s">
        <v>100</v>
      </c>
      <c r="D62" s="371" t="s">
        <v>96</v>
      </c>
      <c r="E62" s="372" t="s">
        <v>130</v>
      </c>
      <c r="F62" s="372">
        <v>961650</v>
      </c>
      <c r="G62" s="373">
        <v>4.9761857139999996</v>
      </c>
      <c r="H62" s="143"/>
      <c r="I62" s="144">
        <f t="shared" ref="I62" si="184">G62+H62+K61</f>
        <v>-2.8572000001503284E-5</v>
      </c>
      <c r="J62" s="145"/>
      <c r="K62" s="153">
        <f t="shared" si="2"/>
        <v>-2.8572000001503284E-5</v>
      </c>
      <c r="L62" s="155">
        <f t="shared" si="4"/>
        <v>0</v>
      </c>
      <c r="M62" s="429">
        <v>43538</v>
      </c>
      <c r="N62" s="80"/>
      <c r="O62" s="80"/>
      <c r="P62" s="80"/>
      <c r="Q62" s="80"/>
      <c r="R62" s="80"/>
      <c r="S62" s="989"/>
      <c r="T62" s="989"/>
    </row>
    <row r="63" spans="1:21" ht="15" customHeight="1" thickBot="1">
      <c r="A63" s="54">
        <v>45</v>
      </c>
      <c r="B63" s="125">
        <f t="shared" ref="B63" si="185">+B61+$B$19</f>
        <v>23</v>
      </c>
      <c r="C63" s="366" t="s">
        <v>100</v>
      </c>
      <c r="D63" s="368" t="s">
        <v>35</v>
      </c>
      <c r="E63" s="369" t="s">
        <v>131</v>
      </c>
      <c r="F63" s="369">
        <v>900894</v>
      </c>
      <c r="G63" s="370">
        <v>8.6507857139999995</v>
      </c>
      <c r="H63" s="340">
        <v>-13.627000000000001</v>
      </c>
      <c r="I63" s="75">
        <f t="shared" ref="I63" si="186">G63+H63</f>
        <v>-4.9762142860000012</v>
      </c>
      <c r="J63" s="76"/>
      <c r="K63" s="152">
        <f t="shared" si="2"/>
        <v>-4.9762142860000012</v>
      </c>
      <c r="L63" s="154">
        <f t="shared" si="4"/>
        <v>0</v>
      </c>
      <c r="M63" s="429">
        <v>43538</v>
      </c>
      <c r="N63" s="77">
        <f t="shared" ref="N63:O63" si="187">G63+G64</f>
        <v>13.626971427999999</v>
      </c>
      <c r="O63" s="78">
        <f t="shared" si="187"/>
        <v>-13.627000000000001</v>
      </c>
      <c r="P63" s="77">
        <f t="shared" ref="P63" si="188">N63+O63</f>
        <v>-2.8572000001503284E-5</v>
      </c>
      <c r="Q63" s="79">
        <f t="shared" ref="Q63" si="189">J63+J64</f>
        <v>0</v>
      </c>
      <c r="R63" s="77">
        <f t="shared" ref="R63" si="190">P63-Q63</f>
        <v>-2.8572000001503284E-5</v>
      </c>
      <c r="S63" s="988">
        <f t="shared" ref="S63" si="191">Q63/P63</f>
        <v>0</v>
      </c>
      <c r="T63" s="988">
        <f t="shared" si="47"/>
        <v>1.0000020967241439</v>
      </c>
    </row>
    <row r="64" spans="1:21" ht="15" customHeight="1" thickBot="1">
      <c r="A64" s="54">
        <v>46</v>
      </c>
      <c r="B64" s="125">
        <f t="shared" ref="B64" si="192">+B62+$B$20</f>
        <v>23</v>
      </c>
      <c r="C64" s="367" t="s">
        <v>100</v>
      </c>
      <c r="D64" s="371" t="s">
        <v>96</v>
      </c>
      <c r="E64" s="372" t="s">
        <v>131</v>
      </c>
      <c r="F64" s="372">
        <v>900894</v>
      </c>
      <c r="G64" s="373">
        <v>4.9761857139999996</v>
      </c>
      <c r="H64" s="143"/>
      <c r="I64" s="144">
        <f t="shared" ref="I64" si="193">G64+H64+K63</f>
        <v>-2.8572000001503284E-5</v>
      </c>
      <c r="J64" s="145"/>
      <c r="K64" s="153">
        <f t="shared" si="2"/>
        <v>-2.8572000001503284E-5</v>
      </c>
      <c r="L64" s="155">
        <f t="shared" si="4"/>
        <v>0</v>
      </c>
      <c r="M64" s="429">
        <v>43538</v>
      </c>
      <c r="N64" s="80"/>
      <c r="O64" s="80"/>
      <c r="P64" s="80"/>
      <c r="Q64" s="80"/>
      <c r="R64" s="80"/>
      <c r="S64" s="989"/>
      <c r="T64" s="989"/>
    </row>
    <row r="65" spans="1:20" ht="15" customHeight="1" thickBot="1">
      <c r="A65" s="54">
        <v>47</v>
      </c>
      <c r="B65" s="125">
        <f t="shared" ref="B65" si="194">+B63+$B$19</f>
        <v>24</v>
      </c>
      <c r="C65" s="366" t="s">
        <v>100</v>
      </c>
      <c r="D65" s="368" t="s">
        <v>35</v>
      </c>
      <c r="E65" s="369" t="s">
        <v>132</v>
      </c>
      <c r="F65" s="369">
        <v>926474</v>
      </c>
      <c r="G65" s="370">
        <v>8.6507857139999995</v>
      </c>
      <c r="H65" s="340">
        <v>-13.627000000000001</v>
      </c>
      <c r="I65" s="75">
        <f t="shared" ref="I65" si="195">G65+H65</f>
        <v>-4.9762142860000012</v>
      </c>
      <c r="J65" s="76"/>
      <c r="K65" s="152">
        <f t="shared" si="2"/>
        <v>-4.9762142860000012</v>
      </c>
      <c r="L65" s="154">
        <f t="shared" si="4"/>
        <v>0</v>
      </c>
      <c r="M65" s="429">
        <v>43538</v>
      </c>
      <c r="N65" s="77">
        <f t="shared" ref="N65:O65" si="196">G65+G66</f>
        <v>13.626971427999999</v>
      </c>
      <c r="O65" s="78">
        <f t="shared" si="196"/>
        <v>-13.627000000000001</v>
      </c>
      <c r="P65" s="77">
        <f t="shared" ref="P65" si="197">N65+O65</f>
        <v>-2.8572000001503284E-5</v>
      </c>
      <c r="Q65" s="79">
        <f t="shared" ref="Q65" si="198">J65+J66</f>
        <v>0</v>
      </c>
      <c r="R65" s="77">
        <f t="shared" ref="R65" si="199">P65-Q65</f>
        <v>-2.8572000001503284E-5</v>
      </c>
      <c r="S65" s="988">
        <f t="shared" ref="S65" si="200">Q65/P65</f>
        <v>0</v>
      </c>
      <c r="T65" s="988">
        <f t="shared" si="47"/>
        <v>1.0000020967241439</v>
      </c>
    </row>
    <row r="66" spans="1:20" ht="15" customHeight="1" thickBot="1">
      <c r="A66" s="54">
        <v>48</v>
      </c>
      <c r="B66" s="125">
        <f t="shared" ref="B66" si="201">+B64+$B$20</f>
        <v>24</v>
      </c>
      <c r="C66" s="367" t="s">
        <v>100</v>
      </c>
      <c r="D66" s="371" t="s">
        <v>96</v>
      </c>
      <c r="E66" s="372" t="s">
        <v>132</v>
      </c>
      <c r="F66" s="372">
        <v>926474</v>
      </c>
      <c r="G66" s="373">
        <v>4.9761857139999996</v>
      </c>
      <c r="H66" s="143"/>
      <c r="I66" s="144">
        <f t="shared" ref="I66" si="202">G66+H66+K65</f>
        <v>-2.8572000001503284E-5</v>
      </c>
      <c r="J66" s="145"/>
      <c r="K66" s="153">
        <f t="shared" si="2"/>
        <v>-2.8572000001503284E-5</v>
      </c>
      <c r="L66" s="155">
        <f t="shared" si="4"/>
        <v>0</v>
      </c>
      <c r="M66" s="429">
        <v>43538</v>
      </c>
      <c r="N66" s="80"/>
      <c r="O66" s="80"/>
      <c r="P66" s="80"/>
      <c r="Q66" s="80"/>
      <c r="R66" s="80"/>
      <c r="S66" s="989"/>
      <c r="T66" s="989"/>
    </row>
    <row r="67" spans="1:20" ht="15" customHeight="1" thickBot="1">
      <c r="A67" s="54">
        <v>49</v>
      </c>
      <c r="B67" s="125">
        <f t="shared" ref="B67" si="203">+B65+$B$19</f>
        <v>25</v>
      </c>
      <c r="C67" s="366" t="s">
        <v>100</v>
      </c>
      <c r="D67" s="368" t="s">
        <v>35</v>
      </c>
      <c r="E67" s="369" t="s">
        <v>133</v>
      </c>
      <c r="F67" s="369">
        <v>954388</v>
      </c>
      <c r="G67" s="370">
        <v>8.6507857139999995</v>
      </c>
      <c r="H67" s="340">
        <v>-13.627000000000001</v>
      </c>
      <c r="I67" s="75">
        <f t="shared" ref="I67" si="204">G67+H67</f>
        <v>-4.9762142860000012</v>
      </c>
      <c r="J67" s="76"/>
      <c r="K67" s="152">
        <f t="shared" si="2"/>
        <v>-4.9762142860000012</v>
      </c>
      <c r="L67" s="154">
        <f t="shared" si="4"/>
        <v>0</v>
      </c>
      <c r="M67" s="429">
        <v>43538</v>
      </c>
      <c r="N67" s="77">
        <f t="shared" ref="N67:O67" si="205">G67+G68</f>
        <v>13.626971427999999</v>
      </c>
      <c r="O67" s="78">
        <f t="shared" si="205"/>
        <v>-13.627000000000001</v>
      </c>
      <c r="P67" s="77">
        <f t="shared" ref="P67" si="206">N67+O67</f>
        <v>-2.8572000001503284E-5</v>
      </c>
      <c r="Q67" s="79">
        <f t="shared" ref="Q67" si="207">J67+J68</f>
        <v>0</v>
      </c>
      <c r="R67" s="77">
        <f t="shared" ref="R67" si="208">P67-Q67</f>
        <v>-2.8572000001503284E-5</v>
      </c>
      <c r="S67" s="988">
        <f t="shared" ref="S67" si="209">Q67/P67</f>
        <v>0</v>
      </c>
      <c r="T67" s="988">
        <f t="shared" si="47"/>
        <v>1.0000020967241439</v>
      </c>
    </row>
    <row r="68" spans="1:20" ht="15" customHeight="1" thickBot="1">
      <c r="A68" s="54">
        <v>50</v>
      </c>
      <c r="B68" s="125">
        <f t="shared" ref="B68" si="210">+B66+$B$20</f>
        <v>25</v>
      </c>
      <c r="C68" s="367" t="s">
        <v>100</v>
      </c>
      <c r="D68" s="371" t="s">
        <v>96</v>
      </c>
      <c r="E68" s="372" t="s">
        <v>133</v>
      </c>
      <c r="F68" s="372">
        <v>954388</v>
      </c>
      <c r="G68" s="373">
        <v>4.9761857139999996</v>
      </c>
      <c r="H68" s="143"/>
      <c r="I68" s="144">
        <f t="shared" ref="I68" si="211">G68+H68+K67</f>
        <v>-2.8572000001503284E-5</v>
      </c>
      <c r="J68" s="145"/>
      <c r="K68" s="153">
        <f t="shared" si="2"/>
        <v>-2.8572000001503284E-5</v>
      </c>
      <c r="L68" s="155">
        <f t="shared" si="4"/>
        <v>0</v>
      </c>
      <c r="M68" s="429">
        <v>43538</v>
      </c>
      <c r="N68" s="80"/>
      <c r="O68" s="80"/>
      <c r="P68" s="80"/>
      <c r="Q68" s="80"/>
      <c r="R68" s="80"/>
      <c r="S68" s="989"/>
      <c r="T68" s="989"/>
    </row>
    <row r="69" spans="1:20" ht="15" customHeight="1" thickBot="1">
      <c r="A69" s="54">
        <v>51</v>
      </c>
      <c r="B69" s="125">
        <f t="shared" ref="B69" si="212">+B67+$B$19</f>
        <v>26</v>
      </c>
      <c r="C69" s="366" t="s">
        <v>100</v>
      </c>
      <c r="D69" s="368" t="s">
        <v>35</v>
      </c>
      <c r="E69" s="369" t="s">
        <v>134</v>
      </c>
      <c r="F69" s="369">
        <v>15842</v>
      </c>
      <c r="G69" s="370">
        <v>8.6507857139999995</v>
      </c>
      <c r="H69" s="340">
        <v>-13.627000000000001</v>
      </c>
      <c r="I69" s="75">
        <f t="shared" ref="I69" si="213">G69+H69</f>
        <v>-4.9762142860000012</v>
      </c>
      <c r="J69" s="76"/>
      <c r="K69" s="152">
        <f t="shared" si="2"/>
        <v>-4.9762142860000012</v>
      </c>
      <c r="L69" s="154">
        <f t="shared" si="4"/>
        <v>0</v>
      </c>
      <c r="M69" s="429">
        <v>43538</v>
      </c>
      <c r="N69" s="77">
        <f t="shared" ref="N69:O69" si="214">G69+G70</f>
        <v>13.626971427999999</v>
      </c>
      <c r="O69" s="78">
        <f t="shared" si="214"/>
        <v>-13.627000000000001</v>
      </c>
      <c r="P69" s="77">
        <f t="shared" ref="P69" si="215">N69+O69</f>
        <v>-2.8572000001503284E-5</v>
      </c>
      <c r="Q69" s="79">
        <f t="shared" ref="Q69" si="216">J69+J70</f>
        <v>0</v>
      </c>
      <c r="R69" s="77">
        <f t="shared" ref="R69" si="217">P69-Q69</f>
        <v>-2.8572000001503284E-5</v>
      </c>
      <c r="S69" s="988">
        <f t="shared" ref="S69" si="218">Q69/P69</f>
        <v>0</v>
      </c>
      <c r="T69" s="988">
        <f t="shared" si="47"/>
        <v>1.0000020967241439</v>
      </c>
    </row>
    <row r="70" spans="1:20" ht="15" customHeight="1" thickBot="1">
      <c r="A70" s="54">
        <v>52</v>
      </c>
      <c r="B70" s="125">
        <f t="shared" ref="B70" si="219">+B68+$B$20</f>
        <v>26</v>
      </c>
      <c r="C70" s="367" t="s">
        <v>100</v>
      </c>
      <c r="D70" s="371" t="s">
        <v>96</v>
      </c>
      <c r="E70" s="372" t="s">
        <v>134</v>
      </c>
      <c r="F70" s="372">
        <v>15842</v>
      </c>
      <c r="G70" s="373">
        <v>4.9761857139999996</v>
      </c>
      <c r="H70" s="143"/>
      <c r="I70" s="144">
        <f t="shared" ref="I70" si="220">G70+H70+K69</f>
        <v>-2.8572000001503284E-5</v>
      </c>
      <c r="J70" s="145"/>
      <c r="K70" s="153">
        <f t="shared" si="2"/>
        <v>-2.8572000001503284E-5</v>
      </c>
      <c r="L70" s="155">
        <f t="shared" si="4"/>
        <v>0</v>
      </c>
      <c r="M70" s="429">
        <v>43538</v>
      </c>
      <c r="N70" s="80"/>
      <c r="O70" s="80"/>
      <c r="P70" s="80"/>
      <c r="Q70" s="80"/>
      <c r="R70" s="80"/>
      <c r="S70" s="989"/>
      <c r="T70" s="989"/>
    </row>
    <row r="71" spans="1:20" ht="15" customHeight="1" thickBot="1">
      <c r="A71" s="54">
        <v>53</v>
      </c>
      <c r="B71" s="125">
        <f t="shared" ref="B71" si="221">+B69+$B$19</f>
        <v>27</v>
      </c>
      <c r="C71" s="366" t="s">
        <v>100</v>
      </c>
      <c r="D71" s="368" t="s">
        <v>35</v>
      </c>
      <c r="E71" s="369" t="s">
        <v>135</v>
      </c>
      <c r="F71" s="369">
        <v>951978</v>
      </c>
      <c r="G71" s="370">
        <v>8.6507857139999995</v>
      </c>
      <c r="H71" s="340">
        <v>-13.627000000000001</v>
      </c>
      <c r="I71" s="75">
        <f t="shared" ref="I71" si="222">G71+H71</f>
        <v>-4.9762142860000012</v>
      </c>
      <c r="J71" s="76"/>
      <c r="K71" s="152">
        <f t="shared" si="2"/>
        <v>-4.9762142860000012</v>
      </c>
      <c r="L71" s="154">
        <f t="shared" si="4"/>
        <v>0</v>
      </c>
      <c r="M71" s="429">
        <v>43538</v>
      </c>
      <c r="N71" s="77">
        <f t="shared" ref="N71:O71" si="223">G71+G72</f>
        <v>13.626971427999999</v>
      </c>
      <c r="O71" s="78">
        <f t="shared" si="223"/>
        <v>-13.627000000000001</v>
      </c>
      <c r="P71" s="77">
        <f t="shared" ref="P71" si="224">N71+O71</f>
        <v>-2.8572000001503284E-5</v>
      </c>
      <c r="Q71" s="79">
        <f t="shared" ref="Q71" si="225">J71+J72</f>
        <v>0</v>
      </c>
      <c r="R71" s="77">
        <f t="shared" ref="R71" si="226">P71-Q71</f>
        <v>-2.8572000001503284E-5</v>
      </c>
      <c r="S71" s="988">
        <f t="shared" ref="S71" si="227">Q71/P71</f>
        <v>0</v>
      </c>
      <c r="T71" s="988">
        <f t="shared" si="47"/>
        <v>1.0000020967241439</v>
      </c>
    </row>
    <row r="72" spans="1:20" ht="15" customHeight="1" thickBot="1">
      <c r="A72" s="54">
        <v>54</v>
      </c>
      <c r="B72" s="125">
        <f t="shared" ref="B72" si="228">+B70+$B$20</f>
        <v>27</v>
      </c>
      <c r="C72" s="367" t="s">
        <v>100</v>
      </c>
      <c r="D72" s="371" t="s">
        <v>96</v>
      </c>
      <c r="E72" s="372" t="s">
        <v>135</v>
      </c>
      <c r="F72" s="372">
        <v>951978</v>
      </c>
      <c r="G72" s="373">
        <v>4.9761857139999996</v>
      </c>
      <c r="H72" s="143"/>
      <c r="I72" s="144">
        <f t="shared" ref="I72" si="229">G72+H72+K71</f>
        <v>-2.8572000001503284E-5</v>
      </c>
      <c r="J72" s="145"/>
      <c r="K72" s="153">
        <f t="shared" si="2"/>
        <v>-2.8572000001503284E-5</v>
      </c>
      <c r="L72" s="155">
        <f t="shared" si="4"/>
        <v>0</v>
      </c>
      <c r="M72" s="429">
        <v>43538</v>
      </c>
      <c r="N72" s="80"/>
      <c r="O72" s="80"/>
      <c r="P72" s="80"/>
      <c r="Q72" s="80"/>
      <c r="R72" s="80"/>
      <c r="S72" s="989"/>
      <c r="T72" s="989"/>
    </row>
    <row r="73" spans="1:20" ht="15" customHeight="1" thickBot="1">
      <c r="A73" s="54">
        <v>55</v>
      </c>
      <c r="B73" s="125">
        <f t="shared" ref="B73" si="230">+B71+$B$19</f>
        <v>28</v>
      </c>
      <c r="C73" s="366" t="s">
        <v>100</v>
      </c>
      <c r="D73" s="368" t="s">
        <v>35</v>
      </c>
      <c r="E73" s="369" t="s">
        <v>136</v>
      </c>
      <c r="F73" s="369">
        <v>903672</v>
      </c>
      <c r="G73" s="370">
        <v>8.6507857139999995</v>
      </c>
      <c r="H73" s="340">
        <v>-13.627000000000001</v>
      </c>
      <c r="I73" s="75">
        <f t="shared" ref="I73" si="231">G73+H73</f>
        <v>-4.9762142860000012</v>
      </c>
      <c r="J73" s="76"/>
      <c r="K73" s="152">
        <f t="shared" si="2"/>
        <v>-4.9762142860000012</v>
      </c>
      <c r="L73" s="154">
        <f t="shared" si="4"/>
        <v>0</v>
      </c>
      <c r="M73" s="429">
        <v>43538</v>
      </c>
      <c r="N73" s="77">
        <f t="shared" ref="N73:O73" si="232">G73+G74</f>
        <v>13.626971427999999</v>
      </c>
      <c r="O73" s="78">
        <f t="shared" si="232"/>
        <v>-13.627000000000001</v>
      </c>
      <c r="P73" s="77">
        <f t="shared" ref="P73" si="233">N73+O73</f>
        <v>-2.8572000001503284E-5</v>
      </c>
      <c r="Q73" s="79">
        <f t="shared" ref="Q73" si="234">J73+J74</f>
        <v>0</v>
      </c>
      <c r="R73" s="77">
        <f t="shared" ref="R73" si="235">P73-Q73</f>
        <v>-2.8572000001503284E-5</v>
      </c>
      <c r="S73" s="988">
        <f t="shared" ref="S73" si="236">Q73/P73</f>
        <v>0</v>
      </c>
      <c r="T73" s="988">
        <f t="shared" si="47"/>
        <v>1.0000020967241439</v>
      </c>
    </row>
    <row r="74" spans="1:20" ht="15" customHeight="1" thickBot="1">
      <c r="A74" s="54">
        <v>56</v>
      </c>
      <c r="B74" s="125">
        <f t="shared" ref="B74" si="237">+B72+$B$20</f>
        <v>28</v>
      </c>
      <c r="C74" s="367" t="s">
        <v>100</v>
      </c>
      <c r="D74" s="371" t="s">
        <v>96</v>
      </c>
      <c r="E74" s="372" t="s">
        <v>136</v>
      </c>
      <c r="F74" s="372">
        <v>903672</v>
      </c>
      <c r="G74" s="373">
        <v>4.9761857139999996</v>
      </c>
      <c r="H74" s="143"/>
      <c r="I74" s="144">
        <f t="shared" ref="I74" si="238">G74+H74+K73</f>
        <v>-2.8572000001503284E-5</v>
      </c>
      <c r="J74" s="145"/>
      <c r="K74" s="153">
        <f t="shared" si="2"/>
        <v>-2.8572000001503284E-5</v>
      </c>
      <c r="L74" s="155">
        <f t="shared" si="4"/>
        <v>0</v>
      </c>
      <c r="M74" s="429">
        <v>43538</v>
      </c>
      <c r="N74" s="80"/>
      <c r="O74" s="80"/>
      <c r="P74" s="80"/>
      <c r="Q74" s="80"/>
      <c r="R74" s="80"/>
      <c r="S74" s="989"/>
      <c r="T74" s="989"/>
    </row>
    <row r="75" spans="1:20" ht="15" customHeight="1" thickBot="1">
      <c r="A75" s="54">
        <v>57</v>
      </c>
      <c r="B75" s="125">
        <f t="shared" ref="B75" si="239">+B73+$B$19</f>
        <v>29</v>
      </c>
      <c r="C75" s="366" t="s">
        <v>100</v>
      </c>
      <c r="D75" s="368" t="s">
        <v>35</v>
      </c>
      <c r="E75" s="369" t="s">
        <v>137</v>
      </c>
      <c r="F75" s="369">
        <v>920416</v>
      </c>
      <c r="G75" s="370">
        <v>8.6507857139999995</v>
      </c>
      <c r="H75" s="340">
        <v>-13.627000000000001</v>
      </c>
      <c r="I75" s="75">
        <f t="shared" ref="I75" si="240">G75+H75</f>
        <v>-4.9762142860000012</v>
      </c>
      <c r="J75" s="76"/>
      <c r="K75" s="152">
        <f t="shared" si="2"/>
        <v>-4.9762142860000012</v>
      </c>
      <c r="L75" s="154">
        <f t="shared" si="4"/>
        <v>0</v>
      </c>
      <c r="M75" s="429">
        <v>43538</v>
      </c>
      <c r="N75" s="77">
        <f t="shared" ref="N75:O75" si="241">G75+G76</f>
        <v>13.626971427999999</v>
      </c>
      <c r="O75" s="78">
        <f t="shared" si="241"/>
        <v>-13.627000000000001</v>
      </c>
      <c r="P75" s="77">
        <f t="shared" ref="P75" si="242">N75+O75</f>
        <v>-2.8572000001503284E-5</v>
      </c>
      <c r="Q75" s="79">
        <f t="shared" ref="Q75" si="243">J75+J76</f>
        <v>0</v>
      </c>
      <c r="R75" s="77">
        <f t="shared" ref="R75" si="244">P75-Q75</f>
        <v>-2.8572000001503284E-5</v>
      </c>
      <c r="S75" s="988">
        <f t="shared" ref="S75" si="245">Q75/P75</f>
        <v>0</v>
      </c>
      <c r="T75" s="988">
        <f t="shared" si="47"/>
        <v>1.0000020967241439</v>
      </c>
    </row>
    <row r="76" spans="1:20" ht="15" customHeight="1" thickBot="1">
      <c r="A76" s="54">
        <v>58</v>
      </c>
      <c r="B76" s="125">
        <f t="shared" ref="B76" si="246">+B74+$B$20</f>
        <v>29</v>
      </c>
      <c r="C76" s="367" t="s">
        <v>100</v>
      </c>
      <c r="D76" s="371" t="s">
        <v>96</v>
      </c>
      <c r="E76" s="372" t="s">
        <v>137</v>
      </c>
      <c r="F76" s="372">
        <v>920416</v>
      </c>
      <c r="G76" s="373">
        <v>4.9761857139999996</v>
      </c>
      <c r="H76" s="143"/>
      <c r="I76" s="144">
        <f t="shared" ref="I76" si="247">G76+H76+K75</f>
        <v>-2.8572000001503284E-5</v>
      </c>
      <c r="J76" s="145"/>
      <c r="K76" s="153">
        <f t="shared" si="2"/>
        <v>-2.8572000001503284E-5</v>
      </c>
      <c r="L76" s="155">
        <f t="shared" si="4"/>
        <v>0</v>
      </c>
      <c r="M76" s="429">
        <v>43538</v>
      </c>
      <c r="N76" s="80"/>
      <c r="O76" s="80"/>
      <c r="P76" s="80"/>
      <c r="Q76" s="80"/>
      <c r="R76" s="80"/>
      <c r="S76" s="989"/>
      <c r="T76" s="989"/>
    </row>
    <row r="77" spans="1:20" ht="15" customHeight="1" thickBot="1">
      <c r="A77" s="54">
        <v>59</v>
      </c>
      <c r="B77" s="125">
        <f t="shared" ref="B77" si="248">+B75+$B$19</f>
        <v>30</v>
      </c>
      <c r="C77" s="366" t="s">
        <v>100</v>
      </c>
      <c r="D77" s="368" t="s">
        <v>35</v>
      </c>
      <c r="E77" s="369" t="s">
        <v>138</v>
      </c>
      <c r="F77" s="369">
        <v>951977</v>
      </c>
      <c r="G77" s="370">
        <v>8.6507857139999995</v>
      </c>
      <c r="H77" s="340">
        <v>-13.627000000000001</v>
      </c>
      <c r="I77" s="75">
        <f t="shared" ref="I77" si="249">G77+H77</f>
        <v>-4.9762142860000012</v>
      </c>
      <c r="J77" s="76"/>
      <c r="K77" s="152">
        <f t="shared" si="2"/>
        <v>-4.9762142860000012</v>
      </c>
      <c r="L77" s="154">
        <f t="shared" si="4"/>
        <v>0</v>
      </c>
      <c r="M77" s="429">
        <v>43538</v>
      </c>
      <c r="N77" s="77">
        <f t="shared" ref="N77:O77" si="250">G77+G78</f>
        <v>13.626971427999999</v>
      </c>
      <c r="O77" s="78">
        <f t="shared" si="250"/>
        <v>-13.627000000000001</v>
      </c>
      <c r="P77" s="77">
        <f t="shared" ref="P77" si="251">N77+O77</f>
        <v>-2.8572000001503284E-5</v>
      </c>
      <c r="Q77" s="79">
        <f t="shared" ref="Q77" si="252">J77+J78</f>
        <v>0</v>
      </c>
      <c r="R77" s="77">
        <f t="shared" ref="R77" si="253">P77-Q77</f>
        <v>-2.8572000001503284E-5</v>
      </c>
      <c r="S77" s="988">
        <f t="shared" ref="S77" si="254">Q77/P77</f>
        <v>0</v>
      </c>
      <c r="T77" s="988">
        <f t="shared" si="47"/>
        <v>1.0000020967241439</v>
      </c>
    </row>
    <row r="78" spans="1:20" ht="15" customHeight="1" thickBot="1">
      <c r="A78" s="54">
        <v>60</v>
      </c>
      <c r="B78" s="125">
        <f t="shared" ref="B78" si="255">+B76+$B$20</f>
        <v>30</v>
      </c>
      <c r="C78" s="367" t="s">
        <v>100</v>
      </c>
      <c r="D78" s="371" t="s">
        <v>96</v>
      </c>
      <c r="E78" s="372" t="s">
        <v>138</v>
      </c>
      <c r="F78" s="372">
        <v>951977</v>
      </c>
      <c r="G78" s="373">
        <v>4.9761857139999996</v>
      </c>
      <c r="H78" s="143"/>
      <c r="I78" s="144">
        <f t="shared" ref="I78" si="256">G78+H78+K77</f>
        <v>-2.8572000001503284E-5</v>
      </c>
      <c r="J78" s="145"/>
      <c r="K78" s="153">
        <f t="shared" si="2"/>
        <v>-2.8572000001503284E-5</v>
      </c>
      <c r="L78" s="155">
        <f t="shared" si="4"/>
        <v>0</v>
      </c>
      <c r="M78" s="429">
        <v>43538</v>
      </c>
      <c r="N78" s="80"/>
      <c r="O78" s="80"/>
      <c r="P78" s="80"/>
      <c r="Q78" s="80"/>
      <c r="R78" s="80"/>
      <c r="S78" s="989"/>
      <c r="T78" s="989"/>
    </row>
    <row r="79" spans="1:20" ht="15" customHeight="1" thickBot="1">
      <c r="A79" s="54">
        <v>61</v>
      </c>
      <c r="B79" s="125">
        <f t="shared" ref="B79" si="257">+B77+$B$19</f>
        <v>31</v>
      </c>
      <c r="C79" s="366" t="s">
        <v>100</v>
      </c>
      <c r="D79" s="368" t="s">
        <v>35</v>
      </c>
      <c r="E79" s="369" t="s">
        <v>139</v>
      </c>
      <c r="F79" s="369">
        <v>957467</v>
      </c>
      <c r="G79" s="370">
        <v>8.6507857139999995</v>
      </c>
      <c r="H79" s="340">
        <v>-13.627000000000001</v>
      </c>
      <c r="I79" s="75">
        <f t="shared" ref="I79" si="258">G79+H79</f>
        <v>-4.9762142860000012</v>
      </c>
      <c r="J79" s="76"/>
      <c r="K79" s="152">
        <f t="shared" si="2"/>
        <v>-4.9762142860000012</v>
      </c>
      <c r="L79" s="154">
        <f t="shared" si="4"/>
        <v>0</v>
      </c>
      <c r="M79" s="429">
        <v>43538</v>
      </c>
      <c r="N79" s="77">
        <f t="shared" ref="N79:O79" si="259">G79+G80</f>
        <v>13.626971427999999</v>
      </c>
      <c r="O79" s="78">
        <f t="shared" si="259"/>
        <v>-13.627000000000001</v>
      </c>
      <c r="P79" s="77">
        <f t="shared" ref="P79" si="260">N79+O79</f>
        <v>-2.8572000001503284E-5</v>
      </c>
      <c r="Q79" s="79">
        <f t="shared" ref="Q79" si="261">J79+J80</f>
        <v>0</v>
      </c>
      <c r="R79" s="77">
        <f t="shared" ref="R79" si="262">P79-Q79</f>
        <v>-2.8572000001503284E-5</v>
      </c>
      <c r="S79" s="988">
        <f t="shared" ref="S79" si="263">Q79/P79</f>
        <v>0</v>
      </c>
      <c r="T79" s="988">
        <f t="shared" si="47"/>
        <v>1.0000020967241439</v>
      </c>
    </row>
    <row r="80" spans="1:20" ht="15" customHeight="1" thickBot="1">
      <c r="A80" s="54">
        <v>62</v>
      </c>
      <c r="B80" s="125">
        <f t="shared" ref="B80" si="264">+B78+$B$20</f>
        <v>31</v>
      </c>
      <c r="C80" s="367" t="s">
        <v>100</v>
      </c>
      <c r="D80" s="371" t="s">
        <v>96</v>
      </c>
      <c r="E80" s="372" t="s">
        <v>139</v>
      </c>
      <c r="F80" s="372">
        <v>957467</v>
      </c>
      <c r="G80" s="373">
        <v>4.9761857139999996</v>
      </c>
      <c r="H80" s="143"/>
      <c r="I80" s="144">
        <f t="shared" ref="I80" si="265">G80+H80+K79</f>
        <v>-2.8572000001503284E-5</v>
      </c>
      <c r="J80" s="145"/>
      <c r="K80" s="153">
        <f t="shared" si="2"/>
        <v>-2.8572000001503284E-5</v>
      </c>
      <c r="L80" s="155">
        <f t="shared" si="4"/>
        <v>0</v>
      </c>
      <c r="M80" s="429">
        <v>43538</v>
      </c>
      <c r="N80" s="80"/>
      <c r="O80" s="80"/>
      <c r="P80" s="80"/>
      <c r="Q80" s="80"/>
      <c r="R80" s="80"/>
      <c r="S80" s="989"/>
      <c r="T80" s="989"/>
    </row>
    <row r="81" spans="1:20" ht="15" customHeight="1" thickBot="1">
      <c r="A81" s="54">
        <v>63</v>
      </c>
      <c r="B81" s="125">
        <f t="shared" ref="B81" si="266">+B79+$B$19</f>
        <v>32</v>
      </c>
      <c r="C81" s="366" t="s">
        <v>100</v>
      </c>
      <c r="D81" s="368" t="s">
        <v>35</v>
      </c>
      <c r="E81" s="369" t="s">
        <v>140</v>
      </c>
      <c r="F81" s="369">
        <v>913400</v>
      </c>
      <c r="G81" s="370">
        <v>8.6507857139999995</v>
      </c>
      <c r="H81" s="340">
        <v>-13.627000000000001</v>
      </c>
      <c r="I81" s="75">
        <f t="shared" ref="I81" si="267">G81+H81</f>
        <v>-4.9762142860000012</v>
      </c>
      <c r="J81" s="76"/>
      <c r="K81" s="152">
        <f t="shared" si="2"/>
        <v>-4.9762142860000012</v>
      </c>
      <c r="L81" s="154">
        <f t="shared" si="4"/>
        <v>0</v>
      </c>
      <c r="M81" s="429">
        <v>43538</v>
      </c>
      <c r="N81" s="77">
        <f t="shared" ref="N81:O81" si="268">G81+G82</f>
        <v>13.626971427999999</v>
      </c>
      <c r="O81" s="78">
        <f t="shared" si="268"/>
        <v>-13.627000000000001</v>
      </c>
      <c r="P81" s="77">
        <f t="shared" ref="P81" si="269">N81+O81</f>
        <v>-2.8572000001503284E-5</v>
      </c>
      <c r="Q81" s="79">
        <f t="shared" ref="Q81" si="270">J81+J82</f>
        <v>0</v>
      </c>
      <c r="R81" s="77">
        <f t="shared" ref="R81" si="271">P81-Q81</f>
        <v>-2.8572000001503284E-5</v>
      </c>
      <c r="S81" s="988">
        <f t="shared" ref="S81" si="272">Q81/P81</f>
        <v>0</v>
      </c>
      <c r="T81" s="988">
        <f t="shared" si="47"/>
        <v>1.0000020967241439</v>
      </c>
    </row>
    <row r="82" spans="1:20" ht="15" customHeight="1" thickBot="1">
      <c r="A82" s="54">
        <v>64</v>
      </c>
      <c r="B82" s="125">
        <f t="shared" ref="B82" si="273">+B80+$B$20</f>
        <v>32</v>
      </c>
      <c r="C82" s="367" t="s">
        <v>100</v>
      </c>
      <c r="D82" s="371" t="s">
        <v>96</v>
      </c>
      <c r="E82" s="372" t="s">
        <v>140</v>
      </c>
      <c r="F82" s="372">
        <v>913400</v>
      </c>
      <c r="G82" s="373">
        <v>4.9761857139999996</v>
      </c>
      <c r="H82" s="143"/>
      <c r="I82" s="144">
        <f t="shared" ref="I82" si="274">G82+H82+K81</f>
        <v>-2.8572000001503284E-5</v>
      </c>
      <c r="J82" s="145"/>
      <c r="K82" s="153">
        <f t="shared" si="2"/>
        <v>-2.8572000001503284E-5</v>
      </c>
      <c r="L82" s="155">
        <f t="shared" si="4"/>
        <v>0</v>
      </c>
      <c r="M82" s="429">
        <v>43538</v>
      </c>
      <c r="N82" s="80"/>
      <c r="O82" s="80"/>
      <c r="P82" s="80"/>
      <c r="Q82" s="80"/>
      <c r="R82" s="80"/>
      <c r="S82" s="989"/>
      <c r="T82" s="989"/>
    </row>
    <row r="83" spans="1:20" ht="15" customHeight="1" thickBot="1">
      <c r="A83" s="54">
        <v>65</v>
      </c>
      <c r="B83" s="125">
        <f t="shared" ref="B83" si="275">+B81+$B$19</f>
        <v>33</v>
      </c>
      <c r="C83" s="366" t="s">
        <v>100</v>
      </c>
      <c r="D83" s="368" t="s">
        <v>35</v>
      </c>
      <c r="E83" s="369" t="s">
        <v>141</v>
      </c>
      <c r="F83" s="369">
        <v>960311</v>
      </c>
      <c r="G83" s="370">
        <v>8.6507857139999995</v>
      </c>
      <c r="H83" s="340">
        <v>-13.627000000000001</v>
      </c>
      <c r="I83" s="75">
        <f t="shared" ref="I83" si="276">G83+H83</f>
        <v>-4.9762142860000012</v>
      </c>
      <c r="J83" s="76"/>
      <c r="K83" s="152">
        <f t="shared" si="2"/>
        <v>-4.9762142860000012</v>
      </c>
      <c r="L83" s="154">
        <f t="shared" si="4"/>
        <v>0</v>
      </c>
      <c r="M83" s="429">
        <v>43538</v>
      </c>
      <c r="N83" s="77">
        <f t="shared" ref="N83:O83" si="277">G83+G84</f>
        <v>13.626971427999999</v>
      </c>
      <c r="O83" s="78">
        <f t="shared" si="277"/>
        <v>-13.627000000000001</v>
      </c>
      <c r="P83" s="77">
        <f t="shared" ref="P83" si="278">N83+O83</f>
        <v>-2.8572000001503284E-5</v>
      </c>
      <c r="Q83" s="79">
        <f t="shared" ref="Q83" si="279">J83+J84</f>
        <v>0</v>
      </c>
      <c r="R83" s="77">
        <f t="shared" ref="R83" si="280">P83-Q83</f>
        <v>-2.8572000001503284E-5</v>
      </c>
      <c r="S83" s="988">
        <f t="shared" ref="S83" si="281">Q83/P83</f>
        <v>0</v>
      </c>
      <c r="T83" s="988">
        <f t="shared" si="47"/>
        <v>1.0000020967241439</v>
      </c>
    </row>
    <row r="84" spans="1:20" ht="15" customHeight="1" thickBot="1">
      <c r="A84" s="54">
        <v>66</v>
      </c>
      <c r="B84" s="125">
        <f t="shared" ref="B84" si="282">+B82+$B$20</f>
        <v>33</v>
      </c>
      <c r="C84" s="367" t="s">
        <v>100</v>
      </c>
      <c r="D84" s="371" t="s">
        <v>96</v>
      </c>
      <c r="E84" s="372" t="s">
        <v>141</v>
      </c>
      <c r="F84" s="372">
        <v>960311</v>
      </c>
      <c r="G84" s="373">
        <v>4.9761857139999996</v>
      </c>
      <c r="H84" s="143"/>
      <c r="I84" s="144">
        <f t="shared" ref="I84" si="283">G84+H84+K83</f>
        <v>-2.8572000001503284E-5</v>
      </c>
      <c r="J84" s="145"/>
      <c r="K84" s="153">
        <f t="shared" si="2"/>
        <v>-2.8572000001503284E-5</v>
      </c>
      <c r="L84" s="155">
        <f t="shared" si="4"/>
        <v>0</v>
      </c>
      <c r="M84" s="429">
        <v>43538</v>
      </c>
      <c r="N84" s="80"/>
      <c r="O84" s="80"/>
      <c r="P84" s="80"/>
      <c r="Q84" s="80"/>
      <c r="R84" s="80"/>
      <c r="S84" s="989"/>
      <c r="T84" s="989"/>
    </row>
    <row r="85" spans="1:20" ht="15" customHeight="1" thickBot="1">
      <c r="A85" s="54">
        <v>67</v>
      </c>
      <c r="B85" s="125">
        <f t="shared" ref="B85" si="284">+B83+$B$19</f>
        <v>34</v>
      </c>
      <c r="C85" s="366" t="s">
        <v>100</v>
      </c>
      <c r="D85" s="368" t="s">
        <v>35</v>
      </c>
      <c r="E85" s="369" t="s">
        <v>142</v>
      </c>
      <c r="F85" s="369">
        <v>961110</v>
      </c>
      <c r="G85" s="370">
        <v>8.6507857139999995</v>
      </c>
      <c r="H85" s="340">
        <v>-13.627000000000001</v>
      </c>
      <c r="I85" s="75">
        <f t="shared" ref="I85" si="285">G85+H85</f>
        <v>-4.9762142860000012</v>
      </c>
      <c r="J85" s="76"/>
      <c r="K85" s="152">
        <f t="shared" si="2"/>
        <v>-4.9762142860000012</v>
      </c>
      <c r="L85" s="154">
        <f t="shared" si="4"/>
        <v>0</v>
      </c>
      <c r="M85" s="429">
        <v>43538</v>
      </c>
      <c r="N85" s="77">
        <f t="shared" ref="N85:O85" si="286">G85+G86</f>
        <v>13.626971427999999</v>
      </c>
      <c r="O85" s="78">
        <f t="shared" si="286"/>
        <v>-13.627000000000001</v>
      </c>
      <c r="P85" s="77">
        <f t="shared" ref="P85" si="287">N85+O85</f>
        <v>-2.8572000001503284E-5</v>
      </c>
      <c r="Q85" s="79">
        <f t="shared" ref="Q85" si="288">J85+J86</f>
        <v>0</v>
      </c>
      <c r="R85" s="77">
        <f t="shared" ref="R85" si="289">P85-Q85</f>
        <v>-2.8572000001503284E-5</v>
      </c>
      <c r="S85" s="988">
        <f t="shared" ref="S85" si="290">Q85/P85</f>
        <v>0</v>
      </c>
      <c r="T85" s="988">
        <f t="shared" si="47"/>
        <v>1.0000020967241439</v>
      </c>
    </row>
    <row r="86" spans="1:20" ht="15" customHeight="1" thickBot="1">
      <c r="A86" s="54">
        <v>68</v>
      </c>
      <c r="B86" s="125">
        <f t="shared" ref="B86" si="291">+B84+$B$20</f>
        <v>34</v>
      </c>
      <c r="C86" s="367" t="s">
        <v>100</v>
      </c>
      <c r="D86" s="371" t="s">
        <v>96</v>
      </c>
      <c r="E86" s="372" t="s">
        <v>142</v>
      </c>
      <c r="F86" s="372">
        <v>961110</v>
      </c>
      <c r="G86" s="373">
        <v>4.9761857139999996</v>
      </c>
      <c r="H86" s="143"/>
      <c r="I86" s="144">
        <f t="shared" ref="I86" si="292">G86+H86+K85</f>
        <v>-2.8572000001503284E-5</v>
      </c>
      <c r="J86" s="145"/>
      <c r="K86" s="153">
        <f t="shared" ref="K86:K149" si="293">I86-J86</f>
        <v>-2.8572000001503284E-5</v>
      </c>
      <c r="L86" s="155">
        <f t="shared" si="4"/>
        <v>0</v>
      </c>
      <c r="M86" s="429">
        <v>43538</v>
      </c>
      <c r="N86" s="80"/>
      <c r="O86" s="80"/>
      <c r="P86" s="80"/>
      <c r="Q86" s="80"/>
      <c r="R86" s="80"/>
      <c r="S86" s="989"/>
      <c r="T86" s="989"/>
    </row>
    <row r="87" spans="1:20" ht="15" customHeight="1" thickBot="1">
      <c r="A87" s="54">
        <v>69</v>
      </c>
      <c r="B87" s="125">
        <f t="shared" ref="B87" si="294">+B85+$B$19</f>
        <v>35</v>
      </c>
      <c r="C87" s="366" t="s">
        <v>100</v>
      </c>
      <c r="D87" s="368" t="s">
        <v>35</v>
      </c>
      <c r="E87" s="369" t="s">
        <v>143</v>
      </c>
      <c r="F87" s="369">
        <v>15614</v>
      </c>
      <c r="G87" s="370">
        <v>8.6507857139999995</v>
      </c>
      <c r="H87" s="340">
        <v>-13.627000000000001</v>
      </c>
      <c r="I87" s="75">
        <f t="shared" ref="I87" si="295">G87+H87</f>
        <v>-4.9762142860000012</v>
      </c>
      <c r="J87" s="76"/>
      <c r="K87" s="152">
        <f t="shared" si="293"/>
        <v>-4.9762142860000012</v>
      </c>
      <c r="L87" s="154">
        <f t="shared" ref="L87:L150" si="296">J87/I87</f>
        <v>0</v>
      </c>
      <c r="M87" s="429">
        <v>43538</v>
      </c>
      <c r="N87" s="77">
        <f t="shared" ref="N87:O87" si="297">G87+G88</f>
        <v>13.626971427999999</v>
      </c>
      <c r="O87" s="78">
        <f t="shared" si="297"/>
        <v>-13.627000000000001</v>
      </c>
      <c r="P87" s="77">
        <f t="shared" ref="P87" si="298">N87+O87</f>
        <v>-2.8572000001503284E-5</v>
      </c>
      <c r="Q87" s="79">
        <f t="shared" ref="Q87" si="299">J87+J88</f>
        <v>0</v>
      </c>
      <c r="R87" s="77">
        <f t="shared" ref="R87" si="300">P87-Q87</f>
        <v>-2.8572000001503284E-5</v>
      </c>
      <c r="S87" s="988">
        <f t="shared" ref="S87" si="301">Q87/P87</f>
        <v>0</v>
      </c>
      <c r="T87" s="988">
        <f t="shared" si="47"/>
        <v>1.0000020967241439</v>
      </c>
    </row>
    <row r="88" spans="1:20" ht="15" customHeight="1" thickBot="1">
      <c r="A88" s="54">
        <v>70</v>
      </c>
      <c r="B88" s="125">
        <f t="shared" ref="B88" si="302">+B86+$B$20</f>
        <v>35</v>
      </c>
      <c r="C88" s="367" t="s">
        <v>100</v>
      </c>
      <c r="D88" s="371" t="s">
        <v>96</v>
      </c>
      <c r="E88" s="372" t="s">
        <v>143</v>
      </c>
      <c r="F88" s="372">
        <v>15614</v>
      </c>
      <c r="G88" s="373">
        <v>4.9761857139999996</v>
      </c>
      <c r="H88" s="143"/>
      <c r="I88" s="144">
        <f t="shared" ref="I88" si="303">G88+H88+K87</f>
        <v>-2.8572000001503284E-5</v>
      </c>
      <c r="J88" s="145"/>
      <c r="K88" s="153">
        <f t="shared" si="293"/>
        <v>-2.8572000001503284E-5</v>
      </c>
      <c r="L88" s="155">
        <f t="shared" si="296"/>
        <v>0</v>
      </c>
      <c r="M88" s="429">
        <v>43538</v>
      </c>
      <c r="N88" s="80"/>
      <c r="O88" s="80"/>
      <c r="P88" s="80"/>
      <c r="Q88" s="80"/>
      <c r="R88" s="80"/>
      <c r="S88" s="989"/>
      <c r="T88" s="989"/>
    </row>
    <row r="89" spans="1:20" ht="15" customHeight="1" thickBot="1">
      <c r="A89" s="54">
        <v>71</v>
      </c>
      <c r="B89" s="125">
        <f t="shared" ref="B89" si="304">+B87+$B$19</f>
        <v>36</v>
      </c>
      <c r="C89" s="366" t="s">
        <v>100</v>
      </c>
      <c r="D89" s="368" t="s">
        <v>35</v>
      </c>
      <c r="E89" s="369" t="s">
        <v>144</v>
      </c>
      <c r="F89" s="369">
        <v>966253</v>
      </c>
      <c r="G89" s="370">
        <v>8.6507857139999995</v>
      </c>
      <c r="H89" s="340">
        <v>-13.627000000000001</v>
      </c>
      <c r="I89" s="75">
        <f t="shared" ref="I89" si="305">G89+H89</f>
        <v>-4.9762142860000012</v>
      </c>
      <c r="J89" s="76"/>
      <c r="K89" s="152">
        <f t="shared" si="293"/>
        <v>-4.9762142860000012</v>
      </c>
      <c r="L89" s="154">
        <f t="shared" si="296"/>
        <v>0</v>
      </c>
      <c r="M89" s="429">
        <v>43538</v>
      </c>
      <c r="N89" s="77">
        <f t="shared" ref="N89:O89" si="306">G89+G90</f>
        <v>13.626971427999999</v>
      </c>
      <c r="O89" s="78">
        <f t="shared" si="306"/>
        <v>-13.627000000000001</v>
      </c>
      <c r="P89" s="77">
        <f t="shared" ref="P89" si="307">N89+O89</f>
        <v>-2.8572000001503284E-5</v>
      </c>
      <c r="Q89" s="79">
        <f t="shared" ref="Q89" si="308">J89+J90</f>
        <v>0</v>
      </c>
      <c r="R89" s="77">
        <f t="shared" ref="R89" si="309">P89-Q89</f>
        <v>-2.8572000001503284E-5</v>
      </c>
      <c r="S89" s="988">
        <f t="shared" ref="S89" si="310">Q89/P89</f>
        <v>0</v>
      </c>
      <c r="T89" s="988">
        <f t="shared" si="47"/>
        <v>1.0000020967241439</v>
      </c>
    </row>
    <row r="90" spans="1:20" ht="15" customHeight="1" thickBot="1">
      <c r="A90" s="54">
        <v>72</v>
      </c>
      <c r="B90" s="125">
        <f t="shared" ref="B90" si="311">+B88+$B$20</f>
        <v>36</v>
      </c>
      <c r="C90" s="367" t="s">
        <v>100</v>
      </c>
      <c r="D90" s="371" t="s">
        <v>96</v>
      </c>
      <c r="E90" s="372" t="s">
        <v>144</v>
      </c>
      <c r="F90" s="372">
        <v>966253</v>
      </c>
      <c r="G90" s="373">
        <v>4.9761857139999996</v>
      </c>
      <c r="H90" s="143"/>
      <c r="I90" s="144">
        <f t="shared" ref="I90" si="312">G90+H90+K89</f>
        <v>-2.8572000001503284E-5</v>
      </c>
      <c r="J90" s="145"/>
      <c r="K90" s="153">
        <f t="shared" si="293"/>
        <v>-2.8572000001503284E-5</v>
      </c>
      <c r="L90" s="155">
        <f t="shared" si="296"/>
        <v>0</v>
      </c>
      <c r="M90" s="429">
        <v>43538</v>
      </c>
      <c r="N90" s="80"/>
      <c r="O90" s="80"/>
      <c r="P90" s="80"/>
      <c r="Q90" s="80"/>
      <c r="R90" s="80"/>
      <c r="S90" s="989"/>
      <c r="T90" s="989"/>
    </row>
    <row r="91" spans="1:20" ht="15" customHeight="1" thickBot="1">
      <c r="A91" s="54">
        <v>73</v>
      </c>
      <c r="B91" s="125">
        <f t="shared" ref="B91" si="313">+B89+$B$19</f>
        <v>37</v>
      </c>
      <c r="C91" s="366" t="s">
        <v>100</v>
      </c>
      <c r="D91" s="368" t="s">
        <v>35</v>
      </c>
      <c r="E91" s="369" t="s">
        <v>145</v>
      </c>
      <c r="F91" s="369">
        <v>955409</v>
      </c>
      <c r="G91" s="370">
        <v>8.6507857139999995</v>
      </c>
      <c r="H91" s="340">
        <v>-13.627000000000001</v>
      </c>
      <c r="I91" s="75">
        <f t="shared" ref="I91" si="314">G91+H91</f>
        <v>-4.9762142860000012</v>
      </c>
      <c r="J91" s="76"/>
      <c r="K91" s="152">
        <f t="shared" si="293"/>
        <v>-4.9762142860000012</v>
      </c>
      <c r="L91" s="154">
        <f t="shared" si="296"/>
        <v>0</v>
      </c>
      <c r="M91" s="429">
        <v>43538</v>
      </c>
      <c r="N91" s="77">
        <f t="shared" ref="N91:O91" si="315">G91+G92</f>
        <v>13.626971427999999</v>
      </c>
      <c r="O91" s="78">
        <f t="shared" si="315"/>
        <v>-13.627000000000001</v>
      </c>
      <c r="P91" s="77">
        <f t="shared" ref="P91" si="316">N91+O91</f>
        <v>-2.8572000001503284E-5</v>
      </c>
      <c r="Q91" s="79">
        <f t="shared" ref="Q91" si="317">J91+J92</f>
        <v>0</v>
      </c>
      <c r="R91" s="77">
        <f t="shared" ref="R91" si="318">P91-Q91</f>
        <v>-2.8572000001503284E-5</v>
      </c>
      <c r="S91" s="988">
        <f t="shared" ref="S91" si="319">Q91/P91</f>
        <v>0</v>
      </c>
      <c r="T91" s="988">
        <f t="shared" si="47"/>
        <v>1.0000020967241439</v>
      </c>
    </row>
    <row r="92" spans="1:20" ht="15" customHeight="1" thickBot="1">
      <c r="A92" s="54">
        <v>74</v>
      </c>
      <c r="B92" s="125">
        <f t="shared" ref="B92" si="320">+B90+$B$20</f>
        <v>37</v>
      </c>
      <c r="C92" s="367" t="s">
        <v>100</v>
      </c>
      <c r="D92" s="371" t="s">
        <v>96</v>
      </c>
      <c r="E92" s="372" t="s">
        <v>145</v>
      </c>
      <c r="F92" s="372">
        <v>955409</v>
      </c>
      <c r="G92" s="373">
        <v>4.9761857139999996</v>
      </c>
      <c r="H92" s="143"/>
      <c r="I92" s="144">
        <f t="shared" ref="I92" si="321">G92+H92+K91</f>
        <v>-2.8572000001503284E-5</v>
      </c>
      <c r="J92" s="145"/>
      <c r="K92" s="153">
        <f t="shared" si="293"/>
        <v>-2.8572000001503284E-5</v>
      </c>
      <c r="L92" s="155">
        <f t="shared" si="296"/>
        <v>0</v>
      </c>
      <c r="M92" s="429">
        <v>43538</v>
      </c>
      <c r="N92" s="80"/>
      <c r="O92" s="80"/>
      <c r="P92" s="80"/>
      <c r="Q92" s="80"/>
      <c r="R92" s="80"/>
      <c r="S92" s="989"/>
      <c r="T92" s="989"/>
    </row>
    <row r="93" spans="1:20" ht="15" customHeight="1" thickBot="1">
      <c r="A93" s="54">
        <v>75</v>
      </c>
      <c r="B93" s="125">
        <f t="shared" ref="B93" si="322">+B91+$B$19</f>
        <v>38</v>
      </c>
      <c r="C93" s="366" t="s">
        <v>100</v>
      </c>
      <c r="D93" s="368" t="s">
        <v>35</v>
      </c>
      <c r="E93" s="369" t="s">
        <v>146</v>
      </c>
      <c r="F93" s="369">
        <v>963882</v>
      </c>
      <c r="G93" s="370">
        <v>8.6507857139999995</v>
      </c>
      <c r="H93" s="340">
        <v>-13.627000000000001</v>
      </c>
      <c r="I93" s="75">
        <f t="shared" ref="I93" si="323">G93+H93</f>
        <v>-4.9762142860000012</v>
      </c>
      <c r="J93" s="76"/>
      <c r="K93" s="152">
        <f t="shared" si="293"/>
        <v>-4.9762142860000012</v>
      </c>
      <c r="L93" s="154">
        <f t="shared" si="296"/>
        <v>0</v>
      </c>
      <c r="M93" s="429">
        <v>43538</v>
      </c>
      <c r="N93" s="77">
        <f t="shared" ref="N93:O93" si="324">G93+G94</f>
        <v>13.626971427999999</v>
      </c>
      <c r="O93" s="78">
        <f t="shared" si="324"/>
        <v>-13.627000000000001</v>
      </c>
      <c r="P93" s="77">
        <f t="shared" ref="P93" si="325">N93+O93</f>
        <v>-2.8572000001503284E-5</v>
      </c>
      <c r="Q93" s="79">
        <f t="shared" ref="Q93" si="326">J93+J94</f>
        <v>0</v>
      </c>
      <c r="R93" s="77">
        <f t="shared" ref="R93" si="327">P93-Q93</f>
        <v>-2.8572000001503284E-5</v>
      </c>
      <c r="S93" s="988">
        <f t="shared" ref="S93" si="328">Q93/P93</f>
        <v>0</v>
      </c>
      <c r="T93" s="988">
        <f t="shared" si="47"/>
        <v>1.0000020967241439</v>
      </c>
    </row>
    <row r="94" spans="1:20" ht="15" customHeight="1" thickBot="1">
      <c r="A94" s="54">
        <v>76</v>
      </c>
      <c r="B94" s="125">
        <f t="shared" ref="B94" si="329">+B92+$B$20</f>
        <v>38</v>
      </c>
      <c r="C94" s="367" t="s">
        <v>100</v>
      </c>
      <c r="D94" s="371" t="s">
        <v>96</v>
      </c>
      <c r="E94" s="372" t="s">
        <v>146</v>
      </c>
      <c r="F94" s="372">
        <v>963882</v>
      </c>
      <c r="G94" s="373">
        <v>4.9761857139999996</v>
      </c>
      <c r="H94" s="143"/>
      <c r="I94" s="144">
        <f t="shared" ref="I94" si="330">G94+H94+K93</f>
        <v>-2.8572000001503284E-5</v>
      </c>
      <c r="J94" s="145"/>
      <c r="K94" s="153">
        <f t="shared" si="293"/>
        <v>-2.8572000001503284E-5</v>
      </c>
      <c r="L94" s="155">
        <f t="shared" si="296"/>
        <v>0</v>
      </c>
      <c r="M94" s="429">
        <v>43538</v>
      </c>
      <c r="N94" s="80"/>
      <c r="O94" s="80"/>
      <c r="P94" s="80"/>
      <c r="Q94" s="80"/>
      <c r="R94" s="80"/>
      <c r="S94" s="989"/>
      <c r="T94" s="989"/>
    </row>
    <row r="95" spans="1:20" ht="15" customHeight="1" thickBot="1">
      <c r="A95" s="54">
        <v>77</v>
      </c>
      <c r="B95" s="125">
        <f t="shared" ref="B95" si="331">+B93+$B$19</f>
        <v>39</v>
      </c>
      <c r="C95" s="366" t="s">
        <v>100</v>
      </c>
      <c r="D95" s="368" t="s">
        <v>35</v>
      </c>
      <c r="E95" s="369" t="s">
        <v>147</v>
      </c>
      <c r="F95" s="369">
        <v>920062</v>
      </c>
      <c r="G95" s="370">
        <v>8.6507857139999995</v>
      </c>
      <c r="H95" s="340">
        <v>-13.627000000000001</v>
      </c>
      <c r="I95" s="75">
        <f t="shared" ref="I95" si="332">G95+H95</f>
        <v>-4.9762142860000012</v>
      </c>
      <c r="J95" s="76"/>
      <c r="K95" s="152">
        <f t="shared" si="293"/>
        <v>-4.9762142860000012</v>
      </c>
      <c r="L95" s="154">
        <f t="shared" si="296"/>
        <v>0</v>
      </c>
      <c r="M95" s="429">
        <v>43538</v>
      </c>
      <c r="N95" s="77">
        <f t="shared" ref="N95:O95" si="333">G95+G96</f>
        <v>13.626971427999999</v>
      </c>
      <c r="O95" s="78">
        <f t="shared" si="333"/>
        <v>-13.627000000000001</v>
      </c>
      <c r="P95" s="77">
        <f t="shared" ref="P95" si="334">N95+O95</f>
        <v>-2.8572000001503284E-5</v>
      </c>
      <c r="Q95" s="79">
        <f t="shared" ref="Q95" si="335">J95+J96</f>
        <v>0</v>
      </c>
      <c r="R95" s="77">
        <f t="shared" ref="R95" si="336">P95-Q95</f>
        <v>-2.8572000001503284E-5</v>
      </c>
      <c r="S95" s="988">
        <f t="shared" ref="S95" si="337">Q95/P95</f>
        <v>0</v>
      </c>
      <c r="T95" s="988">
        <f t="shared" ref="T95:T97" si="338">((Q95+O95)/N95)*-1</f>
        <v>1.0000020967241439</v>
      </c>
    </row>
    <row r="96" spans="1:20" ht="15" customHeight="1" thickBot="1">
      <c r="A96" s="54">
        <v>78</v>
      </c>
      <c r="B96" s="125">
        <f t="shared" ref="B96" si="339">+B94+$B$20</f>
        <v>39</v>
      </c>
      <c r="C96" s="367" t="s">
        <v>100</v>
      </c>
      <c r="D96" s="371" t="s">
        <v>96</v>
      </c>
      <c r="E96" s="372" t="s">
        <v>147</v>
      </c>
      <c r="F96" s="372">
        <v>920062</v>
      </c>
      <c r="G96" s="373">
        <v>4.9761857139999996</v>
      </c>
      <c r="H96" s="143"/>
      <c r="I96" s="144">
        <f t="shared" ref="I96" si="340">G96+H96+K95</f>
        <v>-2.8572000001503284E-5</v>
      </c>
      <c r="J96" s="145"/>
      <c r="K96" s="153">
        <f t="shared" si="293"/>
        <v>-2.8572000001503284E-5</v>
      </c>
      <c r="L96" s="155">
        <f t="shared" si="296"/>
        <v>0</v>
      </c>
      <c r="M96" s="429">
        <v>43538</v>
      </c>
      <c r="N96" s="80"/>
      <c r="O96" s="80"/>
      <c r="P96" s="80"/>
      <c r="Q96" s="80"/>
      <c r="R96" s="80"/>
      <c r="S96" s="989"/>
      <c r="T96" s="989"/>
    </row>
    <row r="97" spans="1:21" ht="15" customHeight="1" thickBot="1">
      <c r="A97" s="54">
        <v>79</v>
      </c>
      <c r="B97" s="125">
        <f t="shared" ref="B97" si="341">+B95+$B$19</f>
        <v>40</v>
      </c>
      <c r="C97" s="366" t="s">
        <v>100</v>
      </c>
      <c r="D97" s="368" t="s">
        <v>35</v>
      </c>
      <c r="E97" s="369" t="s">
        <v>148</v>
      </c>
      <c r="F97" s="369">
        <v>922418</v>
      </c>
      <c r="G97" s="370">
        <v>8.6507857139999995</v>
      </c>
      <c r="H97" s="340">
        <v>-13.627000000000001</v>
      </c>
      <c r="I97" s="75">
        <f t="shared" ref="I97" si="342">G97+H97</f>
        <v>-4.9762142860000012</v>
      </c>
      <c r="J97" s="76"/>
      <c r="K97" s="152">
        <f t="shared" si="293"/>
        <v>-4.9762142860000012</v>
      </c>
      <c r="L97" s="154">
        <f t="shared" si="296"/>
        <v>0</v>
      </c>
      <c r="M97" s="429">
        <v>43538</v>
      </c>
      <c r="N97" s="77">
        <f t="shared" ref="N97:O97" si="343">G97+G98</f>
        <v>13.626971427999999</v>
      </c>
      <c r="O97" s="78">
        <f t="shared" si="343"/>
        <v>-13.627000000000001</v>
      </c>
      <c r="P97" s="77">
        <f t="shared" ref="P97" si="344">N97+O97</f>
        <v>-2.8572000001503284E-5</v>
      </c>
      <c r="Q97" s="79">
        <f t="shared" ref="Q97" si="345">J97+J98</f>
        <v>0</v>
      </c>
      <c r="R97" s="77">
        <f t="shared" ref="R97" si="346">P97-Q97</f>
        <v>-2.8572000001503284E-5</v>
      </c>
      <c r="S97" s="988">
        <f t="shared" ref="S97" si="347">Q97/P97</f>
        <v>0</v>
      </c>
      <c r="T97" s="988">
        <f t="shared" si="338"/>
        <v>1.0000020967241439</v>
      </c>
    </row>
    <row r="98" spans="1:21" ht="15" customHeight="1" thickBot="1">
      <c r="A98" s="54">
        <v>80</v>
      </c>
      <c r="B98" s="125">
        <f t="shared" ref="B98" si="348">+B96+$B$20</f>
        <v>40</v>
      </c>
      <c r="C98" s="367" t="s">
        <v>100</v>
      </c>
      <c r="D98" s="371" t="s">
        <v>96</v>
      </c>
      <c r="E98" s="372" t="s">
        <v>148</v>
      </c>
      <c r="F98" s="372">
        <v>922418</v>
      </c>
      <c r="G98" s="373">
        <v>4.9761857139999996</v>
      </c>
      <c r="H98" s="143"/>
      <c r="I98" s="144">
        <f t="shared" ref="I98" si="349">G98+H98+K97</f>
        <v>-2.8572000001503284E-5</v>
      </c>
      <c r="J98" s="145"/>
      <c r="K98" s="153">
        <f t="shared" si="293"/>
        <v>-2.8572000001503284E-5</v>
      </c>
      <c r="L98" s="155">
        <f t="shared" si="296"/>
        <v>0</v>
      </c>
      <c r="M98" s="429">
        <v>43538</v>
      </c>
      <c r="N98" s="80"/>
      <c r="O98" s="80"/>
      <c r="P98" s="80"/>
      <c r="Q98" s="80"/>
      <c r="R98" s="80"/>
      <c r="S98" s="989"/>
      <c r="T98" s="989"/>
    </row>
    <row r="99" spans="1:21" ht="15" customHeight="1" thickBot="1">
      <c r="A99" s="54">
        <v>81</v>
      </c>
      <c r="B99" s="125">
        <f t="shared" ref="B99" si="350">+B97+$B$19</f>
        <v>41</v>
      </c>
      <c r="C99" s="366" t="s">
        <v>100</v>
      </c>
      <c r="D99" s="368" t="s">
        <v>35</v>
      </c>
      <c r="E99" s="369" t="s">
        <v>149</v>
      </c>
      <c r="F99" s="369">
        <v>964568</v>
      </c>
      <c r="G99" s="370">
        <v>8.6507857139999995</v>
      </c>
      <c r="H99" s="340">
        <v>-13.627000000000001</v>
      </c>
      <c r="I99" s="75">
        <f t="shared" ref="I99" si="351">G99+H99</f>
        <v>-4.9762142860000012</v>
      </c>
      <c r="J99" s="76"/>
      <c r="K99" s="152">
        <f t="shared" si="293"/>
        <v>-4.9762142860000012</v>
      </c>
      <c r="L99" s="154">
        <f t="shared" si="296"/>
        <v>0</v>
      </c>
      <c r="M99" s="429">
        <v>43538</v>
      </c>
      <c r="N99" s="77">
        <f t="shared" ref="N99:O99" si="352">G99+G100</f>
        <v>13.626971427999999</v>
      </c>
      <c r="O99" s="78">
        <f t="shared" si="352"/>
        <v>-13.627000000000001</v>
      </c>
      <c r="P99" s="77">
        <f t="shared" ref="P99" si="353">N99+O99</f>
        <v>-2.8572000001503284E-5</v>
      </c>
      <c r="Q99" s="79">
        <f t="shared" ref="Q99" si="354">J99+J100</f>
        <v>0</v>
      </c>
      <c r="R99" s="77">
        <f t="shared" ref="R99" si="355">P99-Q99</f>
        <v>-2.8572000001503284E-5</v>
      </c>
      <c r="S99" s="988">
        <f t="shared" ref="S99" si="356">Q99/P99</f>
        <v>0</v>
      </c>
      <c r="T99" s="988">
        <f t="shared" ref="T99:T125" si="357">((Q99+O99)/N99)*-1</f>
        <v>1.0000020967241439</v>
      </c>
    </row>
    <row r="100" spans="1:21" ht="15" customHeight="1" thickBot="1">
      <c r="A100" s="54">
        <v>82</v>
      </c>
      <c r="B100" s="125">
        <f t="shared" ref="B100" si="358">+B98+$B$20</f>
        <v>41</v>
      </c>
      <c r="C100" s="367" t="s">
        <v>100</v>
      </c>
      <c r="D100" s="371" t="s">
        <v>96</v>
      </c>
      <c r="E100" s="372" t="s">
        <v>149</v>
      </c>
      <c r="F100" s="372">
        <v>964568</v>
      </c>
      <c r="G100" s="373">
        <v>4.9761857139999996</v>
      </c>
      <c r="H100" s="143"/>
      <c r="I100" s="144">
        <f t="shared" ref="I100" si="359">G100+H100+K99</f>
        <v>-2.8572000001503284E-5</v>
      </c>
      <c r="J100" s="145"/>
      <c r="K100" s="153">
        <f t="shared" si="293"/>
        <v>-2.8572000001503284E-5</v>
      </c>
      <c r="L100" s="155">
        <f t="shared" si="296"/>
        <v>0</v>
      </c>
      <c r="M100" s="429">
        <v>43538</v>
      </c>
      <c r="N100" s="80"/>
      <c r="O100" s="80"/>
      <c r="P100" s="80"/>
      <c r="Q100" s="80"/>
      <c r="R100" s="80"/>
      <c r="S100" s="989"/>
      <c r="T100" s="989"/>
    </row>
    <row r="101" spans="1:21" ht="15" customHeight="1" thickBot="1">
      <c r="A101" s="54">
        <v>83</v>
      </c>
      <c r="B101" s="125">
        <f t="shared" ref="B101" si="360">+B99+$B$19</f>
        <v>42</v>
      </c>
      <c r="C101" s="366" t="s">
        <v>100</v>
      </c>
      <c r="D101" s="368" t="s">
        <v>35</v>
      </c>
      <c r="E101" s="369" t="s">
        <v>150</v>
      </c>
      <c r="F101" s="369">
        <v>966191</v>
      </c>
      <c r="G101" s="370">
        <v>8.6507857139999995</v>
      </c>
      <c r="H101" s="340">
        <v>-13.627000000000001</v>
      </c>
      <c r="I101" s="75">
        <f t="shared" ref="I101" si="361">G101+H101</f>
        <v>-4.9762142860000012</v>
      </c>
      <c r="J101" s="76"/>
      <c r="K101" s="152">
        <f t="shared" si="293"/>
        <v>-4.9762142860000012</v>
      </c>
      <c r="L101" s="154">
        <f t="shared" si="296"/>
        <v>0</v>
      </c>
      <c r="M101" s="429">
        <v>43538</v>
      </c>
      <c r="N101" s="77">
        <f t="shared" ref="N101:O101" si="362">G101+G102</f>
        <v>13.626971427999999</v>
      </c>
      <c r="O101" s="78">
        <f t="shared" si="362"/>
        <v>-13.627000000000001</v>
      </c>
      <c r="P101" s="77">
        <f t="shared" ref="P101" si="363">N101+O101</f>
        <v>-2.8572000001503284E-5</v>
      </c>
      <c r="Q101" s="79">
        <f t="shared" ref="Q101" si="364">J101+J102</f>
        <v>0</v>
      </c>
      <c r="R101" s="77">
        <f t="shared" ref="R101" si="365">P101-Q101</f>
        <v>-2.8572000001503284E-5</v>
      </c>
      <c r="S101" s="988">
        <f t="shared" ref="S101" si="366">Q101/P101</f>
        <v>0</v>
      </c>
      <c r="T101" s="988">
        <f t="shared" si="357"/>
        <v>1.0000020967241439</v>
      </c>
    </row>
    <row r="102" spans="1:21" ht="15" customHeight="1" thickBot="1">
      <c r="A102" s="54">
        <v>84</v>
      </c>
      <c r="B102" s="125">
        <f t="shared" ref="B102" si="367">+B100+$B$20</f>
        <v>42</v>
      </c>
      <c r="C102" s="367" t="s">
        <v>100</v>
      </c>
      <c r="D102" s="371" t="s">
        <v>96</v>
      </c>
      <c r="E102" s="372" t="s">
        <v>150</v>
      </c>
      <c r="F102" s="372">
        <v>966191</v>
      </c>
      <c r="G102" s="373">
        <v>4.9761857139999996</v>
      </c>
      <c r="H102" s="143"/>
      <c r="I102" s="144">
        <f t="shared" ref="I102" si="368">G102+H102+K101</f>
        <v>-2.8572000001503284E-5</v>
      </c>
      <c r="J102" s="145"/>
      <c r="K102" s="153">
        <f t="shared" si="293"/>
        <v>-2.8572000001503284E-5</v>
      </c>
      <c r="L102" s="155">
        <f t="shared" si="296"/>
        <v>0</v>
      </c>
      <c r="M102" s="429">
        <v>43538</v>
      </c>
      <c r="N102" s="80"/>
      <c r="O102" s="80"/>
      <c r="P102" s="80"/>
      <c r="Q102" s="80"/>
      <c r="R102" s="80"/>
      <c r="S102" s="989"/>
      <c r="T102" s="989"/>
    </row>
    <row r="103" spans="1:21" ht="15" customHeight="1" thickBot="1">
      <c r="A103" s="54">
        <v>85</v>
      </c>
      <c r="B103" s="125">
        <f t="shared" ref="B103" si="369">+B101+$B$19</f>
        <v>43</v>
      </c>
      <c r="C103" s="366" t="s">
        <v>100</v>
      </c>
      <c r="D103" s="368" t="s">
        <v>35</v>
      </c>
      <c r="E103" s="369" t="s">
        <v>151</v>
      </c>
      <c r="F103" s="369">
        <v>15641</v>
      </c>
      <c r="G103" s="370">
        <v>8.6507857139999995</v>
      </c>
      <c r="H103" s="340">
        <v>-13.627000000000001</v>
      </c>
      <c r="I103" s="75">
        <f t="shared" ref="I103" si="370">G103+H103</f>
        <v>-4.9762142860000012</v>
      </c>
      <c r="J103" s="76"/>
      <c r="K103" s="152">
        <f t="shared" si="293"/>
        <v>-4.9762142860000012</v>
      </c>
      <c r="L103" s="154">
        <f t="shared" si="296"/>
        <v>0</v>
      </c>
      <c r="M103" s="429">
        <v>43538</v>
      </c>
      <c r="N103" s="77">
        <f t="shared" ref="N103:O103" si="371">G103+G104</f>
        <v>13.626971427999999</v>
      </c>
      <c r="O103" s="78">
        <f t="shared" si="371"/>
        <v>-13.627000000000001</v>
      </c>
      <c r="P103" s="77">
        <f t="shared" ref="P103" si="372">N103+O103</f>
        <v>-2.8572000001503284E-5</v>
      </c>
      <c r="Q103" s="79">
        <f t="shared" ref="Q103" si="373">J103+J104</f>
        <v>0</v>
      </c>
      <c r="R103" s="77">
        <f t="shared" ref="R103" si="374">P103-Q103</f>
        <v>-2.8572000001503284E-5</v>
      </c>
      <c r="S103" s="988">
        <f t="shared" ref="S103" si="375">Q103/P103</f>
        <v>0</v>
      </c>
      <c r="T103" s="988">
        <f t="shared" si="357"/>
        <v>1.0000020967241439</v>
      </c>
    </row>
    <row r="104" spans="1:21" ht="15" customHeight="1" thickBot="1">
      <c r="A104" s="54">
        <v>86</v>
      </c>
      <c r="B104" s="125">
        <f t="shared" ref="B104" si="376">+B102+$B$20</f>
        <v>43</v>
      </c>
      <c r="C104" s="367" t="s">
        <v>100</v>
      </c>
      <c r="D104" s="371" t="s">
        <v>96</v>
      </c>
      <c r="E104" s="372" t="s">
        <v>151</v>
      </c>
      <c r="F104" s="372">
        <v>15641</v>
      </c>
      <c r="G104" s="373">
        <v>4.9761857139999996</v>
      </c>
      <c r="H104" s="143"/>
      <c r="I104" s="144">
        <f t="shared" ref="I104" si="377">G104+H104+K103</f>
        <v>-2.8572000001503284E-5</v>
      </c>
      <c r="J104" s="145"/>
      <c r="K104" s="153">
        <f t="shared" si="293"/>
        <v>-2.8572000001503284E-5</v>
      </c>
      <c r="L104" s="155">
        <f t="shared" si="296"/>
        <v>0</v>
      </c>
      <c r="M104" s="429">
        <v>43538</v>
      </c>
      <c r="N104" s="80"/>
      <c r="O104" s="80"/>
      <c r="P104" s="80"/>
      <c r="Q104" s="80"/>
      <c r="R104" s="80"/>
      <c r="S104" s="989"/>
      <c r="T104" s="989"/>
    </row>
    <row r="105" spans="1:21" ht="15" customHeight="1" thickBot="1">
      <c r="A105" s="54">
        <v>87</v>
      </c>
      <c r="B105" s="125">
        <f t="shared" ref="B105" si="378">+B103+$B$19</f>
        <v>44</v>
      </c>
      <c r="C105" s="366" t="s">
        <v>100</v>
      </c>
      <c r="D105" s="368" t="s">
        <v>35</v>
      </c>
      <c r="E105" s="369" t="s">
        <v>152</v>
      </c>
      <c r="F105" s="369">
        <v>950962</v>
      </c>
      <c r="G105" s="370">
        <v>8.6507857139999995</v>
      </c>
      <c r="H105" s="340">
        <v>-13.627000000000001</v>
      </c>
      <c r="I105" s="75">
        <f t="shared" ref="I105" si="379">G105+H105</f>
        <v>-4.9762142860000012</v>
      </c>
      <c r="J105" s="76"/>
      <c r="K105" s="152">
        <f t="shared" si="293"/>
        <v>-4.9762142860000012</v>
      </c>
      <c r="L105" s="154">
        <f t="shared" si="296"/>
        <v>0</v>
      </c>
      <c r="M105" s="429">
        <v>43538</v>
      </c>
      <c r="N105" s="77">
        <f t="shared" ref="N105:O105" si="380">G105+G106</f>
        <v>13.626971427999999</v>
      </c>
      <c r="O105" s="78">
        <f t="shared" si="380"/>
        <v>-13.627000000000001</v>
      </c>
      <c r="P105" s="77">
        <f t="shared" ref="P105" si="381">N105+O105</f>
        <v>-2.8572000001503284E-5</v>
      </c>
      <c r="Q105" s="79">
        <f t="shared" ref="Q105" si="382">J105+J106</f>
        <v>0</v>
      </c>
      <c r="R105" s="77">
        <f t="shared" ref="R105" si="383">P105-Q105</f>
        <v>-2.8572000001503284E-5</v>
      </c>
      <c r="S105" s="988">
        <f t="shared" ref="S105" si="384">Q105/P105</f>
        <v>0</v>
      </c>
      <c r="T105" s="988">
        <f t="shared" si="357"/>
        <v>1.0000020967241439</v>
      </c>
    </row>
    <row r="106" spans="1:21" ht="15" customHeight="1" thickBot="1">
      <c r="A106" s="54">
        <v>88</v>
      </c>
      <c r="B106" s="125">
        <f t="shared" ref="B106" si="385">+B104+$B$20</f>
        <v>44</v>
      </c>
      <c r="C106" s="367" t="s">
        <v>100</v>
      </c>
      <c r="D106" s="371" t="s">
        <v>96</v>
      </c>
      <c r="E106" s="372" t="s">
        <v>152</v>
      </c>
      <c r="F106" s="372">
        <v>950962</v>
      </c>
      <c r="G106" s="373">
        <v>4.9761857139999996</v>
      </c>
      <c r="H106" s="143"/>
      <c r="I106" s="144">
        <f t="shared" ref="I106" si="386">G106+H106+K105</f>
        <v>-2.8572000001503284E-5</v>
      </c>
      <c r="J106" s="145"/>
      <c r="K106" s="153">
        <f t="shared" si="293"/>
        <v>-2.8572000001503284E-5</v>
      </c>
      <c r="L106" s="155">
        <f t="shared" si="296"/>
        <v>0</v>
      </c>
      <c r="M106" s="429">
        <v>43538</v>
      </c>
      <c r="N106" s="80"/>
      <c r="O106" s="80"/>
      <c r="P106" s="80"/>
      <c r="Q106" s="80"/>
      <c r="R106" s="80"/>
      <c r="S106" s="989"/>
      <c r="T106" s="989"/>
    </row>
    <row r="107" spans="1:21" ht="15" customHeight="1" thickBot="1">
      <c r="A107" s="54">
        <v>89</v>
      </c>
      <c r="B107" s="125">
        <f t="shared" ref="B107" si="387">+B105+$B$19</f>
        <v>45</v>
      </c>
      <c r="C107" s="366" t="s">
        <v>100</v>
      </c>
      <c r="D107" s="368" t="s">
        <v>35</v>
      </c>
      <c r="E107" s="369" t="s">
        <v>153</v>
      </c>
      <c r="F107" s="369">
        <v>15642</v>
      </c>
      <c r="G107" s="370">
        <v>8.6507857139999995</v>
      </c>
      <c r="H107" s="340">
        <v>-13.627000000000001</v>
      </c>
      <c r="I107" s="75">
        <f t="shared" ref="I107" si="388">G107+H107</f>
        <v>-4.9762142860000012</v>
      </c>
      <c r="J107" s="76"/>
      <c r="K107" s="152">
        <f t="shared" si="293"/>
        <v>-4.9762142860000012</v>
      </c>
      <c r="L107" s="154">
        <f t="shared" si="296"/>
        <v>0</v>
      </c>
      <c r="M107" s="429">
        <v>43538</v>
      </c>
      <c r="N107" s="77">
        <f t="shared" ref="N107:O107" si="389">G107+G108</f>
        <v>13.626971427999999</v>
      </c>
      <c r="O107" s="78">
        <f t="shared" si="389"/>
        <v>-13.627000000000001</v>
      </c>
      <c r="P107" s="77">
        <f t="shared" ref="P107" si="390">N107+O107</f>
        <v>-2.8572000001503284E-5</v>
      </c>
      <c r="Q107" s="79">
        <f t="shared" ref="Q107" si="391">J107+J108</f>
        <v>0</v>
      </c>
      <c r="R107" s="77">
        <f t="shared" ref="R107" si="392">P107-Q107</f>
        <v>-2.8572000001503284E-5</v>
      </c>
      <c r="S107" s="988">
        <f t="shared" ref="S107" si="393">Q107/P107</f>
        <v>0</v>
      </c>
      <c r="T107" s="988">
        <f t="shared" si="357"/>
        <v>1.0000020967241439</v>
      </c>
    </row>
    <row r="108" spans="1:21" ht="15" customHeight="1" thickBot="1">
      <c r="A108" s="54">
        <v>90</v>
      </c>
      <c r="B108" s="125">
        <f t="shared" ref="B108" si="394">+B106+$B$20</f>
        <v>45</v>
      </c>
      <c r="C108" s="367" t="s">
        <v>100</v>
      </c>
      <c r="D108" s="371" t="s">
        <v>96</v>
      </c>
      <c r="E108" s="372" t="s">
        <v>153</v>
      </c>
      <c r="F108" s="372">
        <v>15642</v>
      </c>
      <c r="G108" s="373">
        <v>4.9761857139999996</v>
      </c>
      <c r="H108" s="143"/>
      <c r="I108" s="144">
        <f t="shared" ref="I108" si="395">G108+H108+K107</f>
        <v>-2.8572000001503284E-5</v>
      </c>
      <c r="J108" s="145"/>
      <c r="K108" s="153">
        <f t="shared" si="293"/>
        <v>-2.8572000001503284E-5</v>
      </c>
      <c r="L108" s="155">
        <f t="shared" si="296"/>
        <v>0</v>
      </c>
      <c r="M108" s="429">
        <v>43538</v>
      </c>
      <c r="N108" s="80"/>
      <c r="O108" s="80"/>
      <c r="P108" s="80"/>
      <c r="Q108" s="80"/>
      <c r="R108" s="80"/>
      <c r="S108" s="989"/>
      <c r="T108" s="989"/>
    </row>
    <row r="109" spans="1:21" ht="15" customHeight="1">
      <c r="A109" s="54">
        <v>91</v>
      </c>
      <c r="B109" s="125">
        <f t="shared" ref="B109" si="396">+B107+$B$19</f>
        <v>46</v>
      </c>
      <c r="C109" s="366" t="s">
        <v>100</v>
      </c>
      <c r="D109" s="368" t="s">
        <v>35</v>
      </c>
      <c r="E109" s="369" t="s">
        <v>154</v>
      </c>
      <c r="F109" s="369">
        <v>967065</v>
      </c>
      <c r="G109" s="370">
        <v>8.6507857139999995</v>
      </c>
      <c r="H109" s="344">
        <v>-11</v>
      </c>
      <c r="I109" s="75">
        <f t="shared" ref="I109" si="397">G109+H109</f>
        <v>-2.3492142860000005</v>
      </c>
      <c r="J109" s="76"/>
      <c r="K109" s="152">
        <f t="shared" si="293"/>
        <v>-2.3492142860000005</v>
      </c>
      <c r="L109" s="154">
        <f t="shared" si="296"/>
        <v>0</v>
      </c>
      <c r="M109" s="1369">
        <v>43629</v>
      </c>
      <c r="N109" s="77">
        <f t="shared" ref="N109:O109" si="398">G109+G110</f>
        <v>13.626971427999999</v>
      </c>
      <c r="O109" s="78">
        <f t="shared" si="398"/>
        <v>-11</v>
      </c>
      <c r="P109" s="77">
        <f t="shared" ref="P109" si="399">N109+O109</f>
        <v>2.6269714279999992</v>
      </c>
      <c r="Q109" s="79">
        <f t="shared" ref="Q109" si="400">J109+J110</f>
        <v>0</v>
      </c>
      <c r="R109" s="77">
        <f t="shared" ref="R109" si="401">P109-Q109</f>
        <v>2.6269714279999992</v>
      </c>
      <c r="S109" s="988">
        <f t="shared" ref="S109" si="402">Q109/P109</f>
        <v>0</v>
      </c>
      <c r="T109" s="988">
        <f t="shared" si="357"/>
        <v>0.80722265091110168</v>
      </c>
      <c r="U109" s="1370"/>
    </row>
    <row r="110" spans="1:21" ht="15" customHeight="1" thickBot="1">
      <c r="A110" s="54">
        <v>92</v>
      </c>
      <c r="B110" s="125">
        <f t="shared" ref="B110" si="403">+B108+$B$20</f>
        <v>46</v>
      </c>
      <c r="C110" s="367" t="s">
        <v>100</v>
      </c>
      <c r="D110" s="371" t="s">
        <v>96</v>
      </c>
      <c r="E110" s="372" t="s">
        <v>154</v>
      </c>
      <c r="F110" s="372">
        <v>967065</v>
      </c>
      <c r="G110" s="373">
        <v>4.9761857139999996</v>
      </c>
      <c r="H110" s="143"/>
      <c r="I110" s="144">
        <f t="shared" ref="I110" si="404">G110+H110+K109</f>
        <v>2.6269714279999992</v>
      </c>
      <c r="J110" s="145"/>
      <c r="K110" s="153">
        <f t="shared" si="293"/>
        <v>2.6269714279999992</v>
      </c>
      <c r="L110" s="155">
        <f t="shared" si="296"/>
        <v>0</v>
      </c>
      <c r="M110" s="433" t="s">
        <v>30</v>
      </c>
      <c r="N110" s="80"/>
      <c r="O110" s="80"/>
      <c r="P110" s="80"/>
      <c r="Q110" s="80"/>
      <c r="R110" s="80"/>
      <c r="S110" s="989"/>
      <c r="T110" s="989"/>
    </row>
    <row r="111" spans="1:21" ht="15" customHeight="1" thickBot="1">
      <c r="A111" s="54">
        <v>93</v>
      </c>
      <c r="B111" s="125">
        <f t="shared" ref="B111" si="405">+B109+$B$19</f>
        <v>47</v>
      </c>
      <c r="C111" s="366" t="s">
        <v>100</v>
      </c>
      <c r="D111" s="368" t="s">
        <v>35</v>
      </c>
      <c r="E111" s="369" t="s">
        <v>155</v>
      </c>
      <c r="F111" s="369">
        <v>951023</v>
      </c>
      <c r="G111" s="370">
        <v>8.6507857139999995</v>
      </c>
      <c r="H111" s="340">
        <v>-13.627000000000001</v>
      </c>
      <c r="I111" s="75">
        <f t="shared" ref="I111" si="406">G111+H111</f>
        <v>-4.9762142860000012</v>
      </c>
      <c r="J111" s="76"/>
      <c r="K111" s="152">
        <f t="shared" si="293"/>
        <v>-4.9762142860000012</v>
      </c>
      <c r="L111" s="154">
        <f t="shared" si="296"/>
        <v>0</v>
      </c>
      <c r="M111" s="429">
        <v>43538</v>
      </c>
      <c r="N111" s="77">
        <f t="shared" ref="N111:O111" si="407">G111+G112</f>
        <v>13.626971427999999</v>
      </c>
      <c r="O111" s="78">
        <f t="shared" si="407"/>
        <v>-13.627000000000001</v>
      </c>
      <c r="P111" s="77">
        <f t="shared" ref="P111" si="408">N111+O111</f>
        <v>-2.8572000001503284E-5</v>
      </c>
      <c r="Q111" s="79">
        <f t="shared" ref="Q111" si="409">J111+J112</f>
        <v>0</v>
      </c>
      <c r="R111" s="77">
        <f t="shared" ref="R111" si="410">P111-Q111</f>
        <v>-2.8572000001503284E-5</v>
      </c>
      <c r="S111" s="988">
        <f t="shared" ref="S111" si="411">Q111/P111</f>
        <v>0</v>
      </c>
      <c r="T111" s="988">
        <f t="shared" si="357"/>
        <v>1.0000020967241439</v>
      </c>
    </row>
    <row r="112" spans="1:21" ht="15" customHeight="1" thickBot="1">
      <c r="A112" s="54">
        <v>94</v>
      </c>
      <c r="B112" s="125">
        <f t="shared" ref="B112" si="412">+B110+$B$20</f>
        <v>47</v>
      </c>
      <c r="C112" s="367" t="s">
        <v>100</v>
      </c>
      <c r="D112" s="371" t="s">
        <v>96</v>
      </c>
      <c r="E112" s="372" t="s">
        <v>155</v>
      </c>
      <c r="F112" s="372">
        <v>951023</v>
      </c>
      <c r="G112" s="373">
        <v>4.9761857139999996</v>
      </c>
      <c r="H112" s="143"/>
      <c r="I112" s="144">
        <f t="shared" ref="I112" si="413">G112+H112+K111</f>
        <v>-2.8572000001503284E-5</v>
      </c>
      <c r="J112" s="145"/>
      <c r="K112" s="153">
        <f t="shared" si="293"/>
        <v>-2.8572000001503284E-5</v>
      </c>
      <c r="L112" s="155">
        <f t="shared" si="296"/>
        <v>0</v>
      </c>
      <c r="M112" s="429">
        <v>43538</v>
      </c>
      <c r="N112" s="80"/>
      <c r="O112" s="80"/>
      <c r="P112" s="80"/>
      <c r="Q112" s="80"/>
      <c r="R112" s="80"/>
      <c r="S112" s="989"/>
      <c r="T112" s="989"/>
    </row>
    <row r="113" spans="1:21" ht="15" customHeight="1" thickBot="1">
      <c r="A113" s="54">
        <v>95</v>
      </c>
      <c r="B113" s="125">
        <f t="shared" ref="B113" si="414">+B111+$B$19</f>
        <v>48</v>
      </c>
      <c r="C113" s="366" t="s">
        <v>100</v>
      </c>
      <c r="D113" s="368" t="s">
        <v>35</v>
      </c>
      <c r="E113" s="369" t="s">
        <v>156</v>
      </c>
      <c r="F113" s="369">
        <v>913389</v>
      </c>
      <c r="G113" s="370">
        <v>8.6507857139999995</v>
      </c>
      <c r="H113" s="340">
        <v>-13.627000000000001</v>
      </c>
      <c r="I113" s="75">
        <f t="shared" ref="I113" si="415">G113+H113</f>
        <v>-4.9762142860000012</v>
      </c>
      <c r="J113" s="76"/>
      <c r="K113" s="152">
        <f t="shared" si="293"/>
        <v>-4.9762142860000012</v>
      </c>
      <c r="L113" s="154">
        <f t="shared" si="296"/>
        <v>0</v>
      </c>
      <c r="M113" s="429">
        <v>43538</v>
      </c>
      <c r="N113" s="77">
        <f t="shared" ref="N113:O113" si="416">G113+G114</f>
        <v>13.626971427999999</v>
      </c>
      <c r="O113" s="78">
        <f t="shared" si="416"/>
        <v>-13.627000000000001</v>
      </c>
      <c r="P113" s="77">
        <f t="shared" ref="P113" si="417">N113+O113</f>
        <v>-2.8572000001503284E-5</v>
      </c>
      <c r="Q113" s="79">
        <f t="shared" ref="Q113" si="418">J113+J114</f>
        <v>0</v>
      </c>
      <c r="R113" s="77">
        <f t="shared" ref="R113" si="419">P113-Q113</f>
        <v>-2.8572000001503284E-5</v>
      </c>
      <c r="S113" s="988">
        <f t="shared" ref="S113" si="420">Q113/P113</f>
        <v>0</v>
      </c>
      <c r="T113" s="988">
        <f t="shared" si="357"/>
        <v>1.0000020967241439</v>
      </c>
    </row>
    <row r="114" spans="1:21" ht="15" customHeight="1" thickBot="1">
      <c r="A114" s="54">
        <v>96</v>
      </c>
      <c r="B114" s="125">
        <f t="shared" ref="B114" si="421">+B112+$B$20</f>
        <v>48</v>
      </c>
      <c r="C114" s="367" t="s">
        <v>100</v>
      </c>
      <c r="D114" s="371" t="s">
        <v>96</v>
      </c>
      <c r="E114" s="372" t="s">
        <v>156</v>
      </c>
      <c r="F114" s="372">
        <v>913389</v>
      </c>
      <c r="G114" s="373">
        <v>4.9761857139999996</v>
      </c>
      <c r="H114" s="143"/>
      <c r="I114" s="144">
        <f t="shared" ref="I114" si="422">G114+H114+K113</f>
        <v>-2.8572000001503284E-5</v>
      </c>
      <c r="J114" s="145"/>
      <c r="K114" s="153">
        <f t="shared" si="293"/>
        <v>-2.8572000001503284E-5</v>
      </c>
      <c r="L114" s="155">
        <f t="shared" si="296"/>
        <v>0</v>
      </c>
      <c r="M114" s="429">
        <v>43538</v>
      </c>
      <c r="N114" s="80"/>
      <c r="O114" s="80"/>
      <c r="P114" s="80"/>
      <c r="Q114" s="80"/>
      <c r="R114" s="80"/>
      <c r="S114" s="989"/>
      <c r="T114" s="989"/>
    </row>
    <row r="115" spans="1:21" ht="15" customHeight="1" thickBot="1">
      <c r="A115" s="54">
        <v>97</v>
      </c>
      <c r="B115" s="125">
        <f t="shared" ref="B115" si="423">+B113+$B$19</f>
        <v>49</v>
      </c>
      <c r="C115" s="366" t="s">
        <v>100</v>
      </c>
      <c r="D115" s="368" t="s">
        <v>35</v>
      </c>
      <c r="E115" s="369" t="s">
        <v>157</v>
      </c>
      <c r="F115" s="369">
        <v>920447</v>
      </c>
      <c r="G115" s="370">
        <v>8.6507857139999995</v>
      </c>
      <c r="H115" s="340">
        <v>-13.627000000000001</v>
      </c>
      <c r="I115" s="75">
        <f t="shared" ref="I115" si="424">G115+H115</f>
        <v>-4.9762142860000012</v>
      </c>
      <c r="J115" s="76"/>
      <c r="K115" s="152">
        <f t="shared" si="293"/>
        <v>-4.9762142860000012</v>
      </c>
      <c r="L115" s="154">
        <f t="shared" si="296"/>
        <v>0</v>
      </c>
      <c r="M115" s="429">
        <v>43538</v>
      </c>
      <c r="N115" s="77">
        <f t="shared" ref="N115:O115" si="425">G115+G116</f>
        <v>13.626971427999999</v>
      </c>
      <c r="O115" s="78">
        <f t="shared" si="425"/>
        <v>-13.627000000000001</v>
      </c>
      <c r="P115" s="77">
        <f t="shared" ref="P115" si="426">N115+O115</f>
        <v>-2.8572000001503284E-5</v>
      </c>
      <c r="Q115" s="79">
        <f t="shared" ref="Q115" si="427">J115+J116</f>
        <v>0</v>
      </c>
      <c r="R115" s="77">
        <f t="shared" ref="R115" si="428">P115-Q115</f>
        <v>-2.8572000001503284E-5</v>
      </c>
      <c r="S115" s="988">
        <f t="shared" ref="S115" si="429">Q115/P115</f>
        <v>0</v>
      </c>
      <c r="T115" s="988">
        <f t="shared" si="357"/>
        <v>1.0000020967241439</v>
      </c>
    </row>
    <row r="116" spans="1:21" ht="15" customHeight="1" thickBot="1">
      <c r="A116" s="54">
        <v>98</v>
      </c>
      <c r="B116" s="125">
        <f t="shared" ref="B116" si="430">+B114+$B$20</f>
        <v>49</v>
      </c>
      <c r="C116" s="367" t="s">
        <v>100</v>
      </c>
      <c r="D116" s="371" t="s">
        <v>96</v>
      </c>
      <c r="E116" s="372" t="s">
        <v>157</v>
      </c>
      <c r="F116" s="372">
        <v>920447</v>
      </c>
      <c r="G116" s="373">
        <v>4.9761857139999996</v>
      </c>
      <c r="H116" s="143"/>
      <c r="I116" s="144">
        <f t="shared" ref="I116" si="431">G116+H116+K115</f>
        <v>-2.8572000001503284E-5</v>
      </c>
      <c r="J116" s="145"/>
      <c r="K116" s="153">
        <f t="shared" si="293"/>
        <v>-2.8572000001503284E-5</v>
      </c>
      <c r="L116" s="155">
        <f t="shared" si="296"/>
        <v>0</v>
      </c>
      <c r="M116" s="429">
        <v>43538</v>
      </c>
      <c r="N116" s="80"/>
      <c r="O116" s="80"/>
      <c r="P116" s="80"/>
      <c r="Q116" s="80"/>
      <c r="R116" s="80"/>
      <c r="S116" s="989"/>
      <c r="T116" s="989"/>
    </row>
    <row r="117" spans="1:21" ht="15" customHeight="1" thickBot="1">
      <c r="A117" s="54">
        <v>99</v>
      </c>
      <c r="B117" s="125">
        <f t="shared" ref="B117" si="432">+B115+$B$19</f>
        <v>50</v>
      </c>
      <c r="C117" s="366" t="s">
        <v>100</v>
      </c>
      <c r="D117" s="368" t="s">
        <v>35</v>
      </c>
      <c r="E117" s="369" t="s">
        <v>158</v>
      </c>
      <c r="F117" s="369">
        <v>28725</v>
      </c>
      <c r="G117" s="370">
        <v>8.6507857139999995</v>
      </c>
      <c r="H117" s="340">
        <v>-13.627000000000001</v>
      </c>
      <c r="I117" s="75">
        <f t="shared" ref="I117" si="433">G117+H117</f>
        <v>-4.9762142860000012</v>
      </c>
      <c r="J117" s="76"/>
      <c r="K117" s="152">
        <f t="shared" si="293"/>
        <v>-4.9762142860000012</v>
      </c>
      <c r="L117" s="154">
        <f t="shared" si="296"/>
        <v>0</v>
      </c>
      <c r="M117" s="429">
        <v>43538</v>
      </c>
      <c r="N117" s="77">
        <f t="shared" ref="N117:O117" si="434">G117+G118</f>
        <v>13.626971427999999</v>
      </c>
      <c r="O117" s="78">
        <f t="shared" si="434"/>
        <v>-13.627000000000001</v>
      </c>
      <c r="P117" s="77">
        <f t="shared" ref="P117" si="435">N117+O117</f>
        <v>-2.8572000001503284E-5</v>
      </c>
      <c r="Q117" s="79">
        <f t="shared" ref="Q117" si="436">J117+J118</f>
        <v>0</v>
      </c>
      <c r="R117" s="77">
        <f t="shared" ref="R117" si="437">P117-Q117</f>
        <v>-2.8572000001503284E-5</v>
      </c>
      <c r="S117" s="988">
        <f t="shared" ref="S117" si="438">Q117/P117</f>
        <v>0</v>
      </c>
      <c r="T117" s="988">
        <f t="shared" si="357"/>
        <v>1.0000020967241439</v>
      </c>
    </row>
    <row r="118" spans="1:21" ht="15" customHeight="1" thickBot="1">
      <c r="A118" s="54">
        <v>100</v>
      </c>
      <c r="B118" s="125">
        <f t="shared" ref="B118" si="439">+B116+$B$20</f>
        <v>50</v>
      </c>
      <c r="C118" s="367" t="s">
        <v>100</v>
      </c>
      <c r="D118" s="371" t="s">
        <v>96</v>
      </c>
      <c r="E118" s="372" t="s">
        <v>158</v>
      </c>
      <c r="F118" s="372">
        <v>28725</v>
      </c>
      <c r="G118" s="373">
        <v>4.9761857139999996</v>
      </c>
      <c r="H118" s="143"/>
      <c r="I118" s="144">
        <f t="shared" ref="I118" si="440">G118+H118+K117</f>
        <v>-2.8572000001503284E-5</v>
      </c>
      <c r="J118" s="145"/>
      <c r="K118" s="153">
        <f t="shared" si="293"/>
        <v>-2.8572000001503284E-5</v>
      </c>
      <c r="L118" s="155">
        <f t="shared" si="296"/>
        <v>0</v>
      </c>
      <c r="M118" s="429">
        <v>43538</v>
      </c>
      <c r="N118" s="80"/>
      <c r="O118" s="80"/>
      <c r="P118" s="80"/>
      <c r="Q118" s="80"/>
      <c r="R118" s="80"/>
      <c r="S118" s="989"/>
      <c r="T118" s="989"/>
    </row>
    <row r="119" spans="1:21" ht="15" customHeight="1" thickBot="1">
      <c r="A119" s="54">
        <v>101</v>
      </c>
      <c r="B119" s="125">
        <f t="shared" ref="B119" si="441">+B117+$B$19</f>
        <v>51</v>
      </c>
      <c r="C119" s="366" t="s">
        <v>100</v>
      </c>
      <c r="D119" s="368" t="s">
        <v>35</v>
      </c>
      <c r="E119" s="369" t="s">
        <v>159</v>
      </c>
      <c r="F119" s="369">
        <v>961499</v>
      </c>
      <c r="G119" s="370">
        <v>8.6507857139999995</v>
      </c>
      <c r="H119" s="340">
        <v>-13.627000000000001</v>
      </c>
      <c r="I119" s="75">
        <f t="shared" ref="I119" si="442">G119+H119</f>
        <v>-4.9762142860000012</v>
      </c>
      <c r="J119" s="76"/>
      <c r="K119" s="152">
        <f t="shared" si="293"/>
        <v>-4.9762142860000012</v>
      </c>
      <c r="L119" s="154">
        <f t="shared" si="296"/>
        <v>0</v>
      </c>
      <c r="M119" s="429">
        <v>43538</v>
      </c>
      <c r="N119" s="77">
        <f t="shared" ref="N119:O119" si="443">G119+G120</f>
        <v>13.626971427999999</v>
      </c>
      <c r="O119" s="78">
        <f t="shared" si="443"/>
        <v>-13.627000000000001</v>
      </c>
      <c r="P119" s="77">
        <f t="shared" ref="P119" si="444">N119+O119</f>
        <v>-2.8572000001503284E-5</v>
      </c>
      <c r="Q119" s="79">
        <f t="shared" ref="Q119" si="445">J119+J120</f>
        <v>0</v>
      </c>
      <c r="R119" s="77">
        <f t="shared" ref="R119" si="446">P119-Q119</f>
        <v>-2.8572000001503284E-5</v>
      </c>
      <c r="S119" s="988">
        <f t="shared" ref="S119" si="447">Q119/P119</f>
        <v>0</v>
      </c>
      <c r="T119" s="988">
        <f t="shared" si="357"/>
        <v>1.0000020967241439</v>
      </c>
    </row>
    <row r="120" spans="1:21" ht="15" customHeight="1" thickBot="1">
      <c r="A120" s="54">
        <v>102</v>
      </c>
      <c r="B120" s="125">
        <f t="shared" ref="B120" si="448">+B118+$B$20</f>
        <v>51</v>
      </c>
      <c r="C120" s="367" t="s">
        <v>100</v>
      </c>
      <c r="D120" s="371" t="s">
        <v>96</v>
      </c>
      <c r="E120" s="372" t="s">
        <v>159</v>
      </c>
      <c r="F120" s="372">
        <v>961499</v>
      </c>
      <c r="G120" s="373">
        <v>4.9761857139999996</v>
      </c>
      <c r="H120" s="143"/>
      <c r="I120" s="144">
        <f t="shared" ref="I120" si="449">G120+H120+K119</f>
        <v>-2.8572000001503284E-5</v>
      </c>
      <c r="J120" s="145"/>
      <c r="K120" s="153">
        <f t="shared" si="293"/>
        <v>-2.8572000001503284E-5</v>
      </c>
      <c r="L120" s="155">
        <f t="shared" si="296"/>
        <v>0</v>
      </c>
      <c r="M120" s="429">
        <v>43538</v>
      </c>
      <c r="N120" s="80"/>
      <c r="O120" s="80"/>
      <c r="P120" s="80"/>
      <c r="Q120" s="80"/>
      <c r="R120" s="80"/>
      <c r="S120" s="989"/>
      <c r="T120" s="989"/>
    </row>
    <row r="121" spans="1:21" ht="15" customHeight="1" thickBot="1">
      <c r="A121" s="54">
        <v>103</v>
      </c>
      <c r="B121" s="125">
        <f t="shared" ref="B121" si="450">+B119+$B$19</f>
        <v>52</v>
      </c>
      <c r="C121" s="366" t="s">
        <v>100</v>
      </c>
      <c r="D121" s="368" t="s">
        <v>35</v>
      </c>
      <c r="E121" s="369" t="s">
        <v>160</v>
      </c>
      <c r="F121" s="369">
        <v>33886</v>
      </c>
      <c r="G121" s="370">
        <v>8.6507857139999995</v>
      </c>
      <c r="H121" s="340">
        <v>-13.627000000000001</v>
      </c>
      <c r="I121" s="75">
        <f t="shared" ref="I121" si="451">G121+H121</f>
        <v>-4.9762142860000012</v>
      </c>
      <c r="J121" s="76"/>
      <c r="K121" s="152">
        <f t="shared" si="293"/>
        <v>-4.9762142860000012</v>
      </c>
      <c r="L121" s="154">
        <f t="shared" si="296"/>
        <v>0</v>
      </c>
      <c r="M121" s="429">
        <v>43538</v>
      </c>
      <c r="N121" s="77">
        <f t="shared" ref="N121:O121" si="452">G121+G122</f>
        <v>13.626971427999999</v>
      </c>
      <c r="O121" s="78">
        <f t="shared" si="452"/>
        <v>-13.627000000000001</v>
      </c>
      <c r="P121" s="77">
        <f t="shared" ref="P121" si="453">N121+O121</f>
        <v>-2.8572000001503284E-5</v>
      </c>
      <c r="Q121" s="79">
        <f t="shared" ref="Q121" si="454">J121+J122</f>
        <v>0</v>
      </c>
      <c r="R121" s="77">
        <f t="shared" ref="R121" si="455">P121-Q121</f>
        <v>-2.8572000001503284E-5</v>
      </c>
      <c r="S121" s="988">
        <f t="shared" ref="S121" si="456">Q121/P121</f>
        <v>0</v>
      </c>
      <c r="T121" s="988">
        <f t="shared" si="357"/>
        <v>1.0000020967241439</v>
      </c>
    </row>
    <row r="122" spans="1:21" ht="15" customHeight="1" thickBot="1">
      <c r="A122" s="54">
        <v>104</v>
      </c>
      <c r="B122" s="125">
        <f t="shared" ref="B122" si="457">+B120+$B$20</f>
        <v>52</v>
      </c>
      <c r="C122" s="367" t="s">
        <v>100</v>
      </c>
      <c r="D122" s="371" t="s">
        <v>96</v>
      </c>
      <c r="E122" s="372" t="s">
        <v>160</v>
      </c>
      <c r="F122" s="372">
        <v>33886</v>
      </c>
      <c r="G122" s="373">
        <v>4.9761857139999996</v>
      </c>
      <c r="H122" s="143"/>
      <c r="I122" s="144">
        <f t="shared" ref="I122" si="458">G122+H122+K121</f>
        <v>-2.8572000001503284E-5</v>
      </c>
      <c r="J122" s="145"/>
      <c r="K122" s="153">
        <f t="shared" si="293"/>
        <v>-2.8572000001503284E-5</v>
      </c>
      <c r="L122" s="155">
        <f t="shared" si="296"/>
        <v>0</v>
      </c>
      <c r="M122" s="429">
        <v>43538</v>
      </c>
      <c r="N122" s="80"/>
      <c r="O122" s="80"/>
      <c r="P122" s="80"/>
      <c r="Q122" s="80"/>
      <c r="R122" s="80"/>
      <c r="S122" s="989"/>
      <c r="T122" s="989"/>
    </row>
    <row r="123" spans="1:21" ht="15" customHeight="1" thickBot="1">
      <c r="A123" s="54">
        <v>105</v>
      </c>
      <c r="B123" s="125">
        <f t="shared" ref="B123" si="459">+B121+$B$19</f>
        <v>53</v>
      </c>
      <c r="C123" s="366" t="s">
        <v>100</v>
      </c>
      <c r="D123" s="368" t="s">
        <v>35</v>
      </c>
      <c r="E123" s="369" t="s">
        <v>161</v>
      </c>
      <c r="F123" s="369">
        <v>956000</v>
      </c>
      <c r="G123" s="370">
        <v>8.6507857139999995</v>
      </c>
      <c r="H123" s="340">
        <v>-13.627000000000001</v>
      </c>
      <c r="I123" s="75">
        <f t="shared" ref="I123" si="460">G123+H123</f>
        <v>-4.9762142860000012</v>
      </c>
      <c r="J123" s="76"/>
      <c r="K123" s="152">
        <f t="shared" si="293"/>
        <v>-4.9762142860000012</v>
      </c>
      <c r="L123" s="154">
        <f t="shared" si="296"/>
        <v>0</v>
      </c>
      <c r="M123" s="429">
        <v>43538</v>
      </c>
      <c r="N123" s="77">
        <f t="shared" ref="N123:O123" si="461">G123+G124</f>
        <v>13.626971427999999</v>
      </c>
      <c r="O123" s="78">
        <f t="shared" si="461"/>
        <v>-13.627000000000001</v>
      </c>
      <c r="P123" s="77">
        <f t="shared" ref="P123" si="462">N123+O123</f>
        <v>-2.8572000001503284E-5</v>
      </c>
      <c r="Q123" s="79">
        <f t="shared" ref="Q123" si="463">J123+J124</f>
        <v>0</v>
      </c>
      <c r="R123" s="77">
        <f t="shared" ref="R123" si="464">P123-Q123</f>
        <v>-2.8572000001503284E-5</v>
      </c>
      <c r="S123" s="988">
        <f t="shared" ref="S123" si="465">Q123/P123</f>
        <v>0</v>
      </c>
      <c r="T123" s="988">
        <f t="shared" si="357"/>
        <v>1.0000020967241439</v>
      </c>
    </row>
    <row r="124" spans="1:21" ht="15" customHeight="1" thickBot="1">
      <c r="A124" s="54">
        <v>106</v>
      </c>
      <c r="B124" s="125">
        <f t="shared" ref="B124" si="466">+B122+$B$20</f>
        <v>53</v>
      </c>
      <c r="C124" s="367" t="s">
        <v>100</v>
      </c>
      <c r="D124" s="371" t="s">
        <v>96</v>
      </c>
      <c r="E124" s="372" t="s">
        <v>161</v>
      </c>
      <c r="F124" s="372">
        <v>956000</v>
      </c>
      <c r="G124" s="373">
        <v>4.9761857139999996</v>
      </c>
      <c r="H124" s="143"/>
      <c r="I124" s="144">
        <f t="shared" ref="I124" si="467">G124+H124+K123</f>
        <v>-2.8572000001503284E-5</v>
      </c>
      <c r="J124" s="145"/>
      <c r="K124" s="153">
        <f t="shared" si="293"/>
        <v>-2.8572000001503284E-5</v>
      </c>
      <c r="L124" s="155">
        <f t="shared" si="296"/>
        <v>0</v>
      </c>
      <c r="M124" s="429">
        <v>43538</v>
      </c>
      <c r="N124" s="80"/>
      <c r="O124" s="80"/>
      <c r="P124" s="80"/>
      <c r="Q124" s="80"/>
      <c r="R124" s="80"/>
      <c r="S124" s="989"/>
      <c r="T124" s="989"/>
    </row>
    <row r="125" spans="1:21" ht="15" customHeight="1">
      <c r="A125" s="54">
        <v>107</v>
      </c>
      <c r="B125" s="125">
        <f t="shared" ref="B125" si="468">+B123+$B$19</f>
        <v>54</v>
      </c>
      <c r="C125" s="366" t="s">
        <v>100</v>
      </c>
      <c r="D125" s="368" t="s">
        <v>35</v>
      </c>
      <c r="E125" s="369" t="s">
        <v>162</v>
      </c>
      <c r="F125" s="369">
        <v>964009</v>
      </c>
      <c r="G125" s="370">
        <v>8.6507857139999995</v>
      </c>
      <c r="H125" s="344">
        <v>-12.5</v>
      </c>
      <c r="I125" s="75">
        <f t="shared" ref="I125" si="469">G125+H125</f>
        <v>-3.8492142860000005</v>
      </c>
      <c r="J125" s="418">
        <v>0.187</v>
      </c>
      <c r="K125" s="419">
        <f t="shared" si="293"/>
        <v>-4.0362142860000008</v>
      </c>
      <c r="L125" s="747">
        <f t="shared" si="296"/>
        <v>-4.8581343127645241E-2</v>
      </c>
      <c r="M125" s="1369">
        <v>43629</v>
      </c>
      <c r="N125" s="77">
        <f t="shared" ref="N125:O125" si="470">G125+G126</f>
        <v>13.626971427999999</v>
      </c>
      <c r="O125" s="78">
        <f t="shared" si="470"/>
        <v>-12.5</v>
      </c>
      <c r="P125" s="77">
        <f t="shared" ref="P125" si="471">N125+O125</f>
        <v>1.1269714279999992</v>
      </c>
      <c r="Q125" s="79">
        <f t="shared" ref="Q125" si="472">J125+J126</f>
        <v>0.187</v>
      </c>
      <c r="R125" s="77">
        <f t="shared" ref="R125" si="473">P125-Q125</f>
        <v>0.93997142799999911</v>
      </c>
      <c r="S125" s="988">
        <f t="shared" ref="S125" si="474">Q125/P125</f>
        <v>0.16593144719903238</v>
      </c>
      <c r="T125" s="988">
        <f t="shared" si="357"/>
        <v>0.90357568187894499</v>
      </c>
      <c r="U125" s="1370"/>
    </row>
    <row r="126" spans="1:21" ht="15" customHeight="1" thickBot="1">
      <c r="A126" s="54">
        <v>108</v>
      </c>
      <c r="B126" s="125">
        <f t="shared" ref="B126" si="475">+B124+$B$20</f>
        <v>54</v>
      </c>
      <c r="C126" s="367" t="s">
        <v>100</v>
      </c>
      <c r="D126" s="371" t="s">
        <v>96</v>
      </c>
      <c r="E126" s="372" t="s">
        <v>162</v>
      </c>
      <c r="F126" s="372">
        <v>964009</v>
      </c>
      <c r="G126" s="373">
        <v>4.9761857139999996</v>
      </c>
      <c r="H126" s="143"/>
      <c r="I126" s="144">
        <f t="shared" ref="I126" si="476">G126+H126+K125</f>
        <v>0.93997142799999889</v>
      </c>
      <c r="J126" s="145"/>
      <c r="K126" s="153">
        <f t="shared" si="293"/>
        <v>0.93997142799999889</v>
      </c>
      <c r="L126" s="155">
        <f t="shared" si="296"/>
        <v>0</v>
      </c>
      <c r="M126" s="437" t="s">
        <v>30</v>
      </c>
      <c r="N126" s="80"/>
      <c r="O126" s="80"/>
      <c r="P126" s="80"/>
      <c r="Q126" s="80"/>
      <c r="R126" s="80"/>
      <c r="S126" s="989"/>
      <c r="T126" s="989"/>
    </row>
    <row r="127" spans="1:21" ht="15" customHeight="1" thickBot="1">
      <c r="A127" s="54">
        <v>109</v>
      </c>
      <c r="B127" s="125">
        <f t="shared" ref="B127" si="477">+B125+$B$19</f>
        <v>55</v>
      </c>
      <c r="C127" s="366" t="s">
        <v>100</v>
      </c>
      <c r="D127" s="368" t="s">
        <v>35</v>
      </c>
      <c r="E127" s="369" t="s">
        <v>163</v>
      </c>
      <c r="F127" s="369">
        <v>964168</v>
      </c>
      <c r="G127" s="370">
        <v>8.6507857139999995</v>
      </c>
      <c r="H127" s="340">
        <v>-13.627000000000001</v>
      </c>
      <c r="I127" s="75">
        <f t="shared" ref="I127" si="478">G127+H127</f>
        <v>-4.9762142860000012</v>
      </c>
      <c r="J127" s="76"/>
      <c r="K127" s="152">
        <f t="shared" si="293"/>
        <v>-4.9762142860000012</v>
      </c>
      <c r="L127" s="154">
        <f t="shared" si="296"/>
        <v>0</v>
      </c>
      <c r="M127" s="429">
        <v>43538</v>
      </c>
      <c r="N127" s="77">
        <f t="shared" ref="N127:O127" si="479">G127+G128</f>
        <v>13.626971427999999</v>
      </c>
      <c r="O127" s="78">
        <f t="shared" si="479"/>
        <v>-13.627000000000001</v>
      </c>
      <c r="P127" s="77">
        <f t="shared" ref="P127" si="480">N127+O127</f>
        <v>-2.8572000001503284E-5</v>
      </c>
      <c r="Q127" s="79">
        <f t="shared" ref="Q127" si="481">J127+J128</f>
        <v>0</v>
      </c>
      <c r="R127" s="77">
        <f t="shared" ref="R127" si="482">P127-Q127</f>
        <v>-2.8572000001503284E-5</v>
      </c>
      <c r="S127" s="988">
        <f t="shared" ref="S127" si="483">Q127/P127</f>
        <v>0</v>
      </c>
      <c r="T127" s="988">
        <f t="shared" ref="T127:T145" si="484">((Q127+O127)/N127)*-1</f>
        <v>1.0000020967241439</v>
      </c>
    </row>
    <row r="128" spans="1:21" ht="15" customHeight="1" thickBot="1">
      <c r="A128" s="54">
        <v>110</v>
      </c>
      <c r="B128" s="125">
        <f t="shared" ref="B128" si="485">+B126+$B$20</f>
        <v>55</v>
      </c>
      <c r="C128" s="367" t="s">
        <v>100</v>
      </c>
      <c r="D128" s="371" t="s">
        <v>96</v>
      </c>
      <c r="E128" s="372" t="s">
        <v>163</v>
      </c>
      <c r="F128" s="372">
        <v>964168</v>
      </c>
      <c r="G128" s="373">
        <v>4.9761857139999996</v>
      </c>
      <c r="H128" s="143"/>
      <c r="I128" s="144">
        <f t="shared" ref="I128" si="486">G128+H128+K127</f>
        <v>-2.8572000001503284E-5</v>
      </c>
      <c r="J128" s="145"/>
      <c r="K128" s="153">
        <f t="shared" si="293"/>
        <v>-2.8572000001503284E-5</v>
      </c>
      <c r="L128" s="155">
        <f t="shared" si="296"/>
        <v>0</v>
      </c>
      <c r="M128" s="429">
        <v>43538</v>
      </c>
      <c r="N128" s="80"/>
      <c r="O128" s="80"/>
      <c r="P128" s="80"/>
      <c r="Q128" s="80"/>
      <c r="R128" s="80"/>
      <c r="S128" s="989"/>
      <c r="T128" s="989"/>
    </row>
    <row r="129" spans="1:21" ht="15" customHeight="1" thickBot="1">
      <c r="A129" s="54">
        <v>111</v>
      </c>
      <c r="B129" s="125">
        <f t="shared" ref="B129" si="487">+B127+$B$19</f>
        <v>56</v>
      </c>
      <c r="C129" s="366" t="s">
        <v>100</v>
      </c>
      <c r="D129" s="368" t="s">
        <v>35</v>
      </c>
      <c r="E129" s="369" t="s">
        <v>164</v>
      </c>
      <c r="F129" s="369">
        <v>960834</v>
      </c>
      <c r="G129" s="370">
        <v>8.6507857139999995</v>
      </c>
      <c r="H129" s="340">
        <v>-13.627000000000001</v>
      </c>
      <c r="I129" s="75">
        <f t="shared" ref="I129" si="488">G129+H129</f>
        <v>-4.9762142860000012</v>
      </c>
      <c r="J129" s="76"/>
      <c r="K129" s="152">
        <f t="shared" si="293"/>
        <v>-4.9762142860000012</v>
      </c>
      <c r="L129" s="154">
        <f t="shared" si="296"/>
        <v>0</v>
      </c>
      <c r="M129" s="429">
        <v>43538</v>
      </c>
      <c r="N129" s="77">
        <f t="shared" ref="N129:O129" si="489">G129+G130</f>
        <v>13.626971427999999</v>
      </c>
      <c r="O129" s="78">
        <f t="shared" si="489"/>
        <v>-13.627000000000001</v>
      </c>
      <c r="P129" s="77">
        <f t="shared" ref="P129" si="490">N129+O129</f>
        <v>-2.8572000001503284E-5</v>
      </c>
      <c r="Q129" s="79">
        <f t="shared" ref="Q129" si="491">J129+J130</f>
        <v>0</v>
      </c>
      <c r="R129" s="77">
        <f t="shared" ref="R129" si="492">P129-Q129</f>
        <v>-2.8572000001503284E-5</v>
      </c>
      <c r="S129" s="988">
        <f t="shared" ref="S129" si="493">Q129/P129</f>
        <v>0</v>
      </c>
      <c r="T129" s="988">
        <f t="shared" si="484"/>
        <v>1.0000020967241439</v>
      </c>
    </row>
    <row r="130" spans="1:21" ht="15" customHeight="1" thickBot="1">
      <c r="A130" s="54">
        <v>112</v>
      </c>
      <c r="B130" s="125">
        <f t="shared" ref="B130" si="494">+B128+$B$20</f>
        <v>56</v>
      </c>
      <c r="C130" s="367" t="s">
        <v>100</v>
      </c>
      <c r="D130" s="371" t="s">
        <v>96</v>
      </c>
      <c r="E130" s="372" t="s">
        <v>164</v>
      </c>
      <c r="F130" s="372">
        <v>960834</v>
      </c>
      <c r="G130" s="373">
        <v>4.9761857139999996</v>
      </c>
      <c r="H130" s="143"/>
      <c r="I130" s="144">
        <f t="shared" ref="I130" si="495">G130+H130+K129</f>
        <v>-2.8572000001503284E-5</v>
      </c>
      <c r="J130" s="145"/>
      <c r="K130" s="153">
        <f t="shared" si="293"/>
        <v>-2.8572000001503284E-5</v>
      </c>
      <c r="L130" s="155">
        <f t="shared" si="296"/>
        <v>0</v>
      </c>
      <c r="M130" s="429">
        <v>43538</v>
      </c>
      <c r="N130" s="80"/>
      <c r="O130" s="80"/>
      <c r="P130" s="80"/>
      <c r="Q130" s="80"/>
      <c r="R130" s="80"/>
      <c r="S130" s="989"/>
      <c r="T130" s="989"/>
    </row>
    <row r="131" spans="1:21" ht="15" customHeight="1">
      <c r="A131" s="54">
        <v>113</v>
      </c>
      <c r="B131" s="125">
        <f t="shared" ref="B131" si="496">+B129+$B$19</f>
        <v>57</v>
      </c>
      <c r="C131" s="366" t="s">
        <v>100</v>
      </c>
      <c r="D131" s="368" t="s">
        <v>35</v>
      </c>
      <c r="E131" s="369" t="s">
        <v>165</v>
      </c>
      <c r="F131" s="369">
        <v>920083</v>
      </c>
      <c r="G131" s="370">
        <v>8.6507857139999995</v>
      </c>
      <c r="H131" s="344">
        <v>-12</v>
      </c>
      <c r="I131" s="75">
        <f t="shared" ref="I131" si="497">G131+H131</f>
        <v>-3.3492142860000005</v>
      </c>
      <c r="J131" s="76"/>
      <c r="K131" s="152">
        <f t="shared" si="293"/>
        <v>-3.3492142860000005</v>
      </c>
      <c r="L131" s="154">
        <f t="shared" si="296"/>
        <v>0</v>
      </c>
      <c r="M131" s="1369">
        <v>43629</v>
      </c>
      <c r="N131" s="77">
        <f t="shared" ref="N131:O131" si="498">G131+G132</f>
        <v>13.626971427999999</v>
      </c>
      <c r="O131" s="78">
        <f t="shared" si="498"/>
        <v>-12</v>
      </c>
      <c r="P131" s="77">
        <f t="shared" ref="P131" si="499">N131+O131</f>
        <v>1.6269714279999992</v>
      </c>
      <c r="Q131" s="79">
        <f t="shared" ref="Q131" si="500">J131+J132</f>
        <v>0</v>
      </c>
      <c r="R131" s="77">
        <f t="shared" ref="R131" si="501">P131-Q131</f>
        <v>1.6269714279999992</v>
      </c>
      <c r="S131" s="988">
        <f t="shared" ref="S131" si="502">Q131/P131</f>
        <v>0</v>
      </c>
      <c r="T131" s="988">
        <f t="shared" si="484"/>
        <v>0.88060652826665642</v>
      </c>
      <c r="U131" s="1370"/>
    </row>
    <row r="132" spans="1:21" ht="15" customHeight="1" thickBot="1">
      <c r="A132" s="54">
        <v>114</v>
      </c>
      <c r="B132" s="125">
        <f t="shared" ref="B132" si="503">+B130+$B$20</f>
        <v>57</v>
      </c>
      <c r="C132" s="367" t="s">
        <v>100</v>
      </c>
      <c r="D132" s="371" t="s">
        <v>96</v>
      </c>
      <c r="E132" s="372" t="s">
        <v>165</v>
      </c>
      <c r="F132" s="372">
        <v>920083</v>
      </c>
      <c r="G132" s="373">
        <v>4.9761857139999996</v>
      </c>
      <c r="H132" s="143"/>
      <c r="I132" s="144">
        <f t="shared" ref="I132" si="504">G132+H132+K131</f>
        <v>1.6269714279999992</v>
      </c>
      <c r="J132" s="145"/>
      <c r="K132" s="153">
        <f t="shared" si="293"/>
        <v>1.6269714279999992</v>
      </c>
      <c r="L132" s="155">
        <f t="shared" si="296"/>
        <v>0</v>
      </c>
      <c r="M132" s="433" t="s">
        <v>30</v>
      </c>
      <c r="N132" s="80"/>
      <c r="O132" s="80"/>
      <c r="P132" s="80"/>
      <c r="Q132" s="80"/>
      <c r="R132" s="80"/>
      <c r="S132" s="989"/>
      <c r="T132" s="989"/>
    </row>
    <row r="133" spans="1:21" ht="15" customHeight="1">
      <c r="A133" s="54">
        <v>115</v>
      </c>
      <c r="B133" s="125">
        <f t="shared" ref="B133" si="505">+B131+$B$19</f>
        <v>58</v>
      </c>
      <c r="C133" s="366" t="s">
        <v>100</v>
      </c>
      <c r="D133" s="368" t="s">
        <v>35</v>
      </c>
      <c r="E133" s="369" t="s">
        <v>166</v>
      </c>
      <c r="F133" s="369">
        <v>961492</v>
      </c>
      <c r="G133" s="370">
        <v>8.6507857139999995</v>
      </c>
      <c r="H133" s="344">
        <v>-12</v>
      </c>
      <c r="I133" s="75">
        <f t="shared" ref="I133" si="506">G133+H133</f>
        <v>-3.3492142860000005</v>
      </c>
      <c r="J133" s="76"/>
      <c r="K133" s="152">
        <f t="shared" si="293"/>
        <v>-3.3492142860000005</v>
      </c>
      <c r="L133" s="154">
        <f t="shared" si="296"/>
        <v>0</v>
      </c>
      <c r="M133" s="1369">
        <v>43629</v>
      </c>
      <c r="N133" s="77">
        <f t="shared" ref="N133:O133" si="507">G133+G134</f>
        <v>13.626971427999999</v>
      </c>
      <c r="O133" s="78">
        <f t="shared" si="507"/>
        <v>-12</v>
      </c>
      <c r="P133" s="77">
        <f t="shared" ref="P133" si="508">N133+O133</f>
        <v>1.6269714279999992</v>
      </c>
      <c r="Q133" s="79">
        <f t="shared" ref="Q133" si="509">J133+J134</f>
        <v>0</v>
      </c>
      <c r="R133" s="77">
        <f t="shared" ref="R133" si="510">P133-Q133</f>
        <v>1.6269714279999992</v>
      </c>
      <c r="S133" s="988">
        <f t="shared" ref="S133" si="511">Q133/P133</f>
        <v>0</v>
      </c>
      <c r="T133" s="988">
        <f t="shared" si="484"/>
        <v>0.88060652826665642</v>
      </c>
      <c r="U133" s="1370"/>
    </row>
    <row r="134" spans="1:21" ht="15" customHeight="1" thickBot="1">
      <c r="A134" s="54">
        <v>116</v>
      </c>
      <c r="B134" s="125">
        <f t="shared" ref="B134" si="512">+B132+$B$20</f>
        <v>58</v>
      </c>
      <c r="C134" s="367" t="s">
        <v>100</v>
      </c>
      <c r="D134" s="371" t="s">
        <v>96</v>
      </c>
      <c r="E134" s="372" t="s">
        <v>166</v>
      </c>
      <c r="F134" s="372">
        <v>961492</v>
      </c>
      <c r="G134" s="373">
        <v>4.9761857139999996</v>
      </c>
      <c r="H134" s="143"/>
      <c r="I134" s="144">
        <f t="shared" ref="I134" si="513">G134+H134+K133</f>
        <v>1.6269714279999992</v>
      </c>
      <c r="J134" s="145"/>
      <c r="K134" s="153">
        <f t="shared" si="293"/>
        <v>1.6269714279999992</v>
      </c>
      <c r="L134" s="155">
        <f t="shared" si="296"/>
        <v>0</v>
      </c>
      <c r="M134" s="433" t="s">
        <v>30</v>
      </c>
      <c r="N134" s="80"/>
      <c r="O134" s="80"/>
      <c r="P134" s="80"/>
      <c r="Q134" s="80"/>
      <c r="R134" s="80"/>
      <c r="S134" s="989"/>
      <c r="T134" s="989"/>
    </row>
    <row r="135" spans="1:21" ht="15" customHeight="1" thickBot="1">
      <c r="A135" s="54">
        <v>117</v>
      </c>
      <c r="B135" s="125">
        <f t="shared" ref="B135" si="514">+B133+$B$19</f>
        <v>59</v>
      </c>
      <c r="C135" s="366" t="s">
        <v>100</v>
      </c>
      <c r="D135" s="368" t="s">
        <v>35</v>
      </c>
      <c r="E135" s="369" t="s">
        <v>167</v>
      </c>
      <c r="F135" s="369">
        <v>965473</v>
      </c>
      <c r="G135" s="370">
        <v>8.6507857139999995</v>
      </c>
      <c r="H135" s="340">
        <v>-13.627000000000001</v>
      </c>
      <c r="I135" s="75">
        <f t="shared" ref="I135" si="515">G135+H135</f>
        <v>-4.9762142860000012</v>
      </c>
      <c r="J135" s="76"/>
      <c r="K135" s="152">
        <f t="shared" si="293"/>
        <v>-4.9762142860000012</v>
      </c>
      <c r="L135" s="154">
        <f t="shared" si="296"/>
        <v>0</v>
      </c>
      <c r="M135" s="429">
        <v>43538</v>
      </c>
      <c r="N135" s="77">
        <f t="shared" ref="N135:O135" si="516">G135+G136</f>
        <v>13.626971427999999</v>
      </c>
      <c r="O135" s="78">
        <f t="shared" si="516"/>
        <v>-13.627000000000001</v>
      </c>
      <c r="P135" s="77">
        <f t="shared" ref="P135" si="517">N135+O135</f>
        <v>-2.8572000001503284E-5</v>
      </c>
      <c r="Q135" s="79">
        <f t="shared" ref="Q135" si="518">J135+J136</f>
        <v>0</v>
      </c>
      <c r="R135" s="77">
        <f t="shared" ref="R135" si="519">P135-Q135</f>
        <v>-2.8572000001503284E-5</v>
      </c>
      <c r="S135" s="988">
        <f t="shared" ref="S135" si="520">Q135/P135</f>
        <v>0</v>
      </c>
      <c r="T135" s="988">
        <f t="shared" si="484"/>
        <v>1.0000020967241439</v>
      </c>
    </row>
    <row r="136" spans="1:21" ht="15" customHeight="1" thickBot="1">
      <c r="A136" s="54">
        <v>118</v>
      </c>
      <c r="B136" s="125">
        <f t="shared" ref="B136" si="521">+B134+$B$20</f>
        <v>59</v>
      </c>
      <c r="C136" s="367" t="s">
        <v>100</v>
      </c>
      <c r="D136" s="371" t="s">
        <v>96</v>
      </c>
      <c r="E136" s="372" t="s">
        <v>167</v>
      </c>
      <c r="F136" s="372">
        <v>965473</v>
      </c>
      <c r="G136" s="373">
        <v>4.9761857139999996</v>
      </c>
      <c r="H136" s="143"/>
      <c r="I136" s="144">
        <f t="shared" ref="I136" si="522">G136+H136+K135</f>
        <v>-2.8572000001503284E-5</v>
      </c>
      <c r="J136" s="145"/>
      <c r="K136" s="153">
        <f t="shared" si="293"/>
        <v>-2.8572000001503284E-5</v>
      </c>
      <c r="L136" s="155">
        <f t="shared" si="296"/>
        <v>0</v>
      </c>
      <c r="M136" s="429">
        <v>43538</v>
      </c>
      <c r="N136" s="80"/>
      <c r="O136" s="80"/>
      <c r="P136" s="80"/>
      <c r="Q136" s="80"/>
      <c r="R136" s="80"/>
      <c r="S136" s="989"/>
      <c r="T136" s="989"/>
    </row>
    <row r="137" spans="1:21" ht="15" customHeight="1" thickBot="1">
      <c r="A137" s="54">
        <v>119</v>
      </c>
      <c r="B137" s="125">
        <f t="shared" ref="B137" si="523">+B135+$B$19</f>
        <v>60</v>
      </c>
      <c r="C137" s="366" t="s">
        <v>100</v>
      </c>
      <c r="D137" s="368" t="s">
        <v>35</v>
      </c>
      <c r="E137" s="369" t="s">
        <v>168</v>
      </c>
      <c r="F137" s="369">
        <v>37446</v>
      </c>
      <c r="G137" s="370">
        <v>8.6507857139999995</v>
      </c>
      <c r="H137" s="341">
        <v>-13.627000000000001</v>
      </c>
      <c r="I137" s="75">
        <f t="shared" ref="I137" si="524">G137+H137</f>
        <v>-4.9762142860000012</v>
      </c>
      <c r="J137" s="76"/>
      <c r="K137" s="152">
        <f t="shared" si="293"/>
        <v>-4.9762142860000012</v>
      </c>
      <c r="L137" s="154">
        <f t="shared" si="296"/>
        <v>0</v>
      </c>
      <c r="M137" s="431">
        <v>43510</v>
      </c>
      <c r="N137" s="77">
        <f t="shared" ref="N137:O137" si="525">G137+G138</f>
        <v>13.626971427999999</v>
      </c>
      <c r="O137" s="78">
        <f t="shared" si="525"/>
        <v>-13.627000000000001</v>
      </c>
      <c r="P137" s="77">
        <f t="shared" ref="P137" si="526">N137+O137</f>
        <v>-2.8572000001503284E-5</v>
      </c>
      <c r="Q137" s="79">
        <f t="shared" ref="Q137" si="527">J137+J138</f>
        <v>0</v>
      </c>
      <c r="R137" s="77">
        <f t="shared" ref="R137" si="528">P137-Q137</f>
        <v>-2.8572000001503284E-5</v>
      </c>
      <c r="S137" s="988">
        <f t="shared" ref="S137" si="529">Q137/P137</f>
        <v>0</v>
      </c>
      <c r="T137" s="988">
        <f t="shared" si="484"/>
        <v>1.0000020967241439</v>
      </c>
    </row>
    <row r="138" spans="1:21" ht="15" customHeight="1" thickBot="1">
      <c r="A138" s="54">
        <v>120</v>
      </c>
      <c r="B138" s="125">
        <f t="shared" ref="B138" si="530">+B136+$B$20</f>
        <v>60</v>
      </c>
      <c r="C138" s="367" t="s">
        <v>100</v>
      </c>
      <c r="D138" s="371" t="s">
        <v>96</v>
      </c>
      <c r="E138" s="372" t="s">
        <v>168</v>
      </c>
      <c r="F138" s="372">
        <v>37446</v>
      </c>
      <c r="G138" s="373">
        <v>4.9761857139999996</v>
      </c>
      <c r="H138" s="143"/>
      <c r="I138" s="144">
        <f t="shared" ref="I138" si="531">G138+H138+K137</f>
        <v>-2.8572000001503284E-5</v>
      </c>
      <c r="J138" s="145"/>
      <c r="K138" s="153">
        <f t="shared" si="293"/>
        <v>-2.8572000001503284E-5</v>
      </c>
      <c r="L138" s="155">
        <f t="shared" si="296"/>
        <v>0</v>
      </c>
      <c r="M138" s="431">
        <v>43510</v>
      </c>
      <c r="N138" s="80"/>
      <c r="O138" s="80"/>
      <c r="P138" s="80"/>
      <c r="Q138" s="80"/>
      <c r="R138" s="80"/>
      <c r="S138" s="989"/>
      <c r="T138" s="989"/>
    </row>
    <row r="139" spans="1:21" ht="15" customHeight="1" thickBot="1">
      <c r="A139" s="54">
        <v>121</v>
      </c>
      <c r="B139" s="125">
        <f t="shared" ref="B139" si="532">+B137+$B$19</f>
        <v>61</v>
      </c>
      <c r="C139" s="366" t="s">
        <v>100</v>
      </c>
      <c r="D139" s="368" t="s">
        <v>35</v>
      </c>
      <c r="E139" s="369" t="s">
        <v>169</v>
      </c>
      <c r="F139" s="369">
        <v>964007</v>
      </c>
      <c r="G139" s="370">
        <v>8.6507857139999995</v>
      </c>
      <c r="H139" s="340">
        <v>-13.627000000000001</v>
      </c>
      <c r="I139" s="75">
        <f t="shared" ref="I139" si="533">G139+H139</f>
        <v>-4.9762142860000012</v>
      </c>
      <c r="J139" s="76"/>
      <c r="K139" s="152">
        <f t="shared" si="293"/>
        <v>-4.9762142860000012</v>
      </c>
      <c r="L139" s="154">
        <f t="shared" si="296"/>
        <v>0</v>
      </c>
      <c r="M139" s="429">
        <v>43538</v>
      </c>
      <c r="N139" s="77">
        <f t="shared" ref="N139:O139" si="534">G139+G140</f>
        <v>13.626971427999999</v>
      </c>
      <c r="O139" s="78">
        <f t="shared" si="534"/>
        <v>-13.627000000000001</v>
      </c>
      <c r="P139" s="77">
        <f t="shared" ref="P139" si="535">N139+O139</f>
        <v>-2.8572000001503284E-5</v>
      </c>
      <c r="Q139" s="79">
        <f t="shared" ref="Q139" si="536">J139+J140</f>
        <v>0</v>
      </c>
      <c r="R139" s="77">
        <f t="shared" ref="R139" si="537">P139-Q139</f>
        <v>-2.8572000001503284E-5</v>
      </c>
      <c r="S139" s="988">
        <f t="shared" ref="S139" si="538">Q139/P139</f>
        <v>0</v>
      </c>
      <c r="T139" s="988">
        <f t="shared" si="484"/>
        <v>1.0000020967241439</v>
      </c>
    </row>
    <row r="140" spans="1:21" ht="15" customHeight="1" thickBot="1">
      <c r="A140" s="54">
        <v>122</v>
      </c>
      <c r="B140" s="125">
        <f t="shared" ref="B140" si="539">+B138+$B$20</f>
        <v>61</v>
      </c>
      <c r="C140" s="367" t="s">
        <v>100</v>
      </c>
      <c r="D140" s="371" t="s">
        <v>96</v>
      </c>
      <c r="E140" s="372" t="s">
        <v>169</v>
      </c>
      <c r="F140" s="372">
        <v>964007</v>
      </c>
      <c r="G140" s="373">
        <v>4.9761857139999996</v>
      </c>
      <c r="H140" s="143"/>
      <c r="I140" s="144">
        <f t="shared" ref="I140" si="540">G140+H140+K139</f>
        <v>-2.8572000001503284E-5</v>
      </c>
      <c r="J140" s="145"/>
      <c r="K140" s="153">
        <f t="shared" si="293"/>
        <v>-2.8572000001503284E-5</v>
      </c>
      <c r="L140" s="155">
        <f t="shared" si="296"/>
        <v>0</v>
      </c>
      <c r="M140" s="429">
        <v>43538</v>
      </c>
      <c r="N140" s="80"/>
      <c r="O140" s="80"/>
      <c r="P140" s="80"/>
      <c r="Q140" s="80"/>
      <c r="R140" s="80"/>
      <c r="S140" s="989"/>
      <c r="T140" s="989"/>
    </row>
    <row r="141" spans="1:21" ht="15" customHeight="1" thickBot="1">
      <c r="A141" s="54">
        <v>123</v>
      </c>
      <c r="B141" s="125">
        <f t="shared" ref="B141" si="541">+B139+$B$19</f>
        <v>62</v>
      </c>
      <c r="C141" s="366" t="s">
        <v>100</v>
      </c>
      <c r="D141" s="368" t="s">
        <v>35</v>
      </c>
      <c r="E141" s="369" t="s">
        <v>170</v>
      </c>
      <c r="F141" s="369">
        <v>963406</v>
      </c>
      <c r="G141" s="370">
        <v>8.6507857139999995</v>
      </c>
      <c r="H141" s="340">
        <v>-13.627000000000001</v>
      </c>
      <c r="I141" s="75">
        <f t="shared" ref="I141" si="542">G141+H141</f>
        <v>-4.9762142860000012</v>
      </c>
      <c r="J141" s="76"/>
      <c r="K141" s="152">
        <f t="shared" si="293"/>
        <v>-4.9762142860000012</v>
      </c>
      <c r="L141" s="154">
        <f t="shared" si="296"/>
        <v>0</v>
      </c>
      <c r="M141" s="429">
        <v>43538</v>
      </c>
      <c r="N141" s="77">
        <f t="shared" ref="N141:O141" si="543">G141+G142</f>
        <v>13.626971427999999</v>
      </c>
      <c r="O141" s="78">
        <f t="shared" si="543"/>
        <v>-13.627000000000001</v>
      </c>
      <c r="P141" s="77">
        <f t="shared" ref="P141" si="544">N141+O141</f>
        <v>-2.8572000001503284E-5</v>
      </c>
      <c r="Q141" s="79">
        <f t="shared" ref="Q141" si="545">J141+J142</f>
        <v>0</v>
      </c>
      <c r="R141" s="77">
        <f t="shared" ref="R141" si="546">P141-Q141</f>
        <v>-2.8572000001503284E-5</v>
      </c>
      <c r="S141" s="988">
        <f t="shared" ref="S141" si="547">Q141/P141</f>
        <v>0</v>
      </c>
      <c r="T141" s="988">
        <f t="shared" si="484"/>
        <v>1.0000020967241439</v>
      </c>
    </row>
    <row r="142" spans="1:21" ht="15" customHeight="1" thickBot="1">
      <c r="A142" s="54">
        <v>124</v>
      </c>
      <c r="B142" s="125">
        <f t="shared" ref="B142" si="548">+B140+$B$20</f>
        <v>62</v>
      </c>
      <c r="C142" s="367" t="s">
        <v>100</v>
      </c>
      <c r="D142" s="371" t="s">
        <v>96</v>
      </c>
      <c r="E142" s="372" t="s">
        <v>170</v>
      </c>
      <c r="F142" s="372">
        <v>963406</v>
      </c>
      <c r="G142" s="373">
        <v>4.9761857139999996</v>
      </c>
      <c r="H142" s="143"/>
      <c r="I142" s="144">
        <f t="shared" ref="I142" si="549">G142+H142+K141</f>
        <v>-2.8572000001503284E-5</v>
      </c>
      <c r="J142" s="145"/>
      <c r="K142" s="153">
        <f t="shared" si="293"/>
        <v>-2.8572000001503284E-5</v>
      </c>
      <c r="L142" s="155">
        <f t="shared" si="296"/>
        <v>0</v>
      </c>
      <c r="M142" s="429">
        <v>43538</v>
      </c>
      <c r="N142" s="80"/>
      <c r="O142" s="80"/>
      <c r="P142" s="80"/>
      <c r="Q142" s="80"/>
      <c r="R142" s="80"/>
      <c r="S142" s="989"/>
      <c r="T142" s="989"/>
    </row>
    <row r="143" spans="1:21" ht="15" customHeight="1">
      <c r="A143" s="54">
        <v>125</v>
      </c>
      <c r="B143" s="125">
        <f t="shared" ref="B143" si="550">+B141+$B$19</f>
        <v>63</v>
      </c>
      <c r="C143" s="366" t="s">
        <v>100</v>
      </c>
      <c r="D143" s="368" t="s">
        <v>35</v>
      </c>
      <c r="E143" s="369" t="s">
        <v>171</v>
      </c>
      <c r="F143" s="369">
        <v>918726</v>
      </c>
      <c r="G143" s="370">
        <v>8.6507857139999995</v>
      </c>
      <c r="H143" s="340">
        <f>-13.5</f>
        <v>-13.5</v>
      </c>
      <c r="I143" s="75">
        <f t="shared" ref="I143" si="551">G143+H143</f>
        <v>-4.8492142860000005</v>
      </c>
      <c r="J143" s="76"/>
      <c r="K143" s="152">
        <f t="shared" si="293"/>
        <v>-4.8492142860000005</v>
      </c>
      <c r="L143" s="154">
        <f t="shared" si="296"/>
        <v>0</v>
      </c>
      <c r="M143" s="1369">
        <v>43629</v>
      </c>
      <c r="N143" s="77">
        <f t="shared" ref="N143:O143" si="552">G143+G144</f>
        <v>13.626971427999999</v>
      </c>
      <c r="O143" s="78">
        <f t="shared" si="552"/>
        <v>-13.5</v>
      </c>
      <c r="P143" s="77">
        <f t="shared" ref="P143" si="553">N143+O143</f>
        <v>0.12697142799999916</v>
      </c>
      <c r="Q143" s="79">
        <f t="shared" ref="Q143" si="554">J143+J144</f>
        <v>0</v>
      </c>
      <c r="R143" s="77">
        <f t="shared" ref="R143" si="555">P143-Q143</f>
        <v>0.12697142799999916</v>
      </c>
      <c r="S143" s="988">
        <f t="shared" ref="S143" si="556">Q143/P143</f>
        <v>0</v>
      </c>
      <c r="T143" s="988">
        <f t="shared" si="484"/>
        <v>0.99068234429998847</v>
      </c>
      <c r="U143" s="1370"/>
    </row>
    <row r="144" spans="1:21" ht="15" customHeight="1" thickBot="1">
      <c r="A144" s="54">
        <v>126</v>
      </c>
      <c r="B144" s="125">
        <f t="shared" ref="B144" si="557">+B142+$B$20</f>
        <v>63</v>
      </c>
      <c r="C144" s="367" t="s">
        <v>100</v>
      </c>
      <c r="D144" s="371" t="s">
        <v>96</v>
      </c>
      <c r="E144" s="372" t="s">
        <v>171</v>
      </c>
      <c r="F144" s="372">
        <v>918726</v>
      </c>
      <c r="G144" s="373">
        <v>4.9761857139999996</v>
      </c>
      <c r="H144" s="143"/>
      <c r="I144" s="144">
        <f t="shared" ref="I144" si="558">G144+H144+K143</f>
        <v>0.12697142799999916</v>
      </c>
      <c r="J144" s="145"/>
      <c r="K144" s="153">
        <f t="shared" si="293"/>
        <v>0.12697142799999916</v>
      </c>
      <c r="L144" s="155">
        <f t="shared" si="296"/>
        <v>0</v>
      </c>
      <c r="M144" s="433" t="s">
        <v>30</v>
      </c>
      <c r="N144" s="80"/>
      <c r="O144" s="80"/>
      <c r="P144" s="80"/>
      <c r="Q144" s="80"/>
      <c r="R144" s="80"/>
      <c r="S144" s="989"/>
      <c r="T144" s="989"/>
    </row>
    <row r="145" spans="1:20" ht="15" customHeight="1" thickBot="1">
      <c r="A145" s="54">
        <v>127</v>
      </c>
      <c r="B145" s="125">
        <f t="shared" ref="B145" si="559">+B143+$B$19</f>
        <v>64</v>
      </c>
      <c r="C145" s="366" t="s">
        <v>100</v>
      </c>
      <c r="D145" s="368" t="s">
        <v>35</v>
      </c>
      <c r="E145" s="369" t="s">
        <v>172</v>
      </c>
      <c r="F145" s="369">
        <v>913408</v>
      </c>
      <c r="G145" s="370">
        <v>8.6507857139999995</v>
      </c>
      <c r="H145" s="340">
        <v>-13.627000000000001</v>
      </c>
      <c r="I145" s="75">
        <f t="shared" ref="I145" si="560">G145+H145</f>
        <v>-4.9762142860000012</v>
      </c>
      <c r="J145" s="76"/>
      <c r="K145" s="152">
        <f t="shared" si="293"/>
        <v>-4.9762142860000012</v>
      </c>
      <c r="L145" s="154">
        <f t="shared" si="296"/>
        <v>0</v>
      </c>
      <c r="M145" s="429">
        <v>43538</v>
      </c>
      <c r="N145" s="77">
        <f t="shared" ref="N145:O145" si="561">G145+G146</f>
        <v>13.626971427999999</v>
      </c>
      <c r="O145" s="78">
        <f t="shared" si="561"/>
        <v>-13.627000000000001</v>
      </c>
      <c r="P145" s="77">
        <f t="shared" ref="P145" si="562">N145+O145</f>
        <v>-2.8572000001503284E-5</v>
      </c>
      <c r="Q145" s="79">
        <f t="shared" ref="Q145" si="563">J145+J146</f>
        <v>0</v>
      </c>
      <c r="R145" s="77">
        <f t="shared" ref="R145" si="564">P145-Q145</f>
        <v>-2.8572000001503284E-5</v>
      </c>
      <c r="S145" s="988">
        <f t="shared" ref="S145" si="565">Q145/P145</f>
        <v>0</v>
      </c>
      <c r="T145" s="988">
        <f t="shared" si="484"/>
        <v>1.0000020967241439</v>
      </c>
    </row>
    <row r="146" spans="1:20" ht="15" customHeight="1" thickBot="1">
      <c r="A146" s="54">
        <v>128</v>
      </c>
      <c r="B146" s="125">
        <f t="shared" ref="B146" si="566">+B144+$B$20</f>
        <v>64</v>
      </c>
      <c r="C146" s="367" t="s">
        <v>100</v>
      </c>
      <c r="D146" s="371" t="s">
        <v>96</v>
      </c>
      <c r="E146" s="372" t="s">
        <v>172</v>
      </c>
      <c r="F146" s="372">
        <v>913408</v>
      </c>
      <c r="G146" s="373">
        <v>4.9761857139999996</v>
      </c>
      <c r="H146" s="143"/>
      <c r="I146" s="144">
        <f t="shared" ref="I146" si="567">G146+H146+K145</f>
        <v>-2.8572000001503284E-5</v>
      </c>
      <c r="J146" s="145"/>
      <c r="K146" s="153">
        <f t="shared" si="293"/>
        <v>-2.8572000001503284E-5</v>
      </c>
      <c r="L146" s="155">
        <f t="shared" si="296"/>
        <v>0</v>
      </c>
      <c r="M146" s="429">
        <v>43538</v>
      </c>
      <c r="N146" s="80"/>
      <c r="O146" s="80"/>
      <c r="P146" s="80"/>
      <c r="Q146" s="80"/>
      <c r="R146" s="80"/>
      <c r="S146" s="989"/>
      <c r="T146" s="989"/>
    </row>
    <row r="147" spans="1:20" ht="15" customHeight="1" thickBot="1">
      <c r="A147" s="54">
        <v>129</v>
      </c>
      <c r="B147" s="125">
        <f t="shared" ref="B147" si="568">+B145+$B$19</f>
        <v>65</v>
      </c>
      <c r="C147" s="366" t="s">
        <v>100</v>
      </c>
      <c r="D147" s="368" t="s">
        <v>35</v>
      </c>
      <c r="E147" s="369" t="s">
        <v>173</v>
      </c>
      <c r="F147" s="369">
        <v>964169</v>
      </c>
      <c r="G147" s="370">
        <v>8.6507857139999995</v>
      </c>
      <c r="H147" s="340">
        <v>-13.627000000000001</v>
      </c>
      <c r="I147" s="75">
        <f t="shared" ref="I147" si="569">G147+H147</f>
        <v>-4.9762142860000012</v>
      </c>
      <c r="J147" s="76"/>
      <c r="K147" s="152">
        <f t="shared" si="293"/>
        <v>-4.9762142860000012</v>
      </c>
      <c r="L147" s="154">
        <f t="shared" si="296"/>
        <v>0</v>
      </c>
      <c r="M147" s="429">
        <v>43538</v>
      </c>
      <c r="N147" s="77">
        <f t="shared" ref="N147:O147" si="570">G147+G148</f>
        <v>13.626971427999999</v>
      </c>
      <c r="O147" s="78">
        <f t="shared" si="570"/>
        <v>-13.627000000000001</v>
      </c>
      <c r="P147" s="77">
        <f t="shared" ref="P147" si="571">N147+O147</f>
        <v>-2.8572000001503284E-5</v>
      </c>
      <c r="Q147" s="79">
        <f t="shared" ref="Q147" si="572">J147+J148</f>
        <v>0</v>
      </c>
      <c r="R147" s="77">
        <f t="shared" ref="R147" si="573">P147-Q147</f>
        <v>-2.8572000001503284E-5</v>
      </c>
      <c r="S147" s="988">
        <f t="shared" ref="S147" si="574">Q147/P147</f>
        <v>0</v>
      </c>
      <c r="T147" s="988">
        <f t="shared" ref="T147:T209" si="575">((Q147+O147)/N147)*-1</f>
        <v>1.0000020967241439</v>
      </c>
    </row>
    <row r="148" spans="1:20" ht="15" customHeight="1" thickBot="1">
      <c r="A148" s="54">
        <v>130</v>
      </c>
      <c r="B148" s="125">
        <f t="shared" ref="B148" si="576">+B146+$B$20</f>
        <v>65</v>
      </c>
      <c r="C148" s="367" t="s">
        <v>100</v>
      </c>
      <c r="D148" s="371" t="s">
        <v>96</v>
      </c>
      <c r="E148" s="372" t="s">
        <v>173</v>
      </c>
      <c r="F148" s="372">
        <v>964169</v>
      </c>
      <c r="G148" s="373">
        <v>4.9761857139999996</v>
      </c>
      <c r="H148" s="143"/>
      <c r="I148" s="144">
        <f t="shared" ref="I148" si="577">G148+H148+K147</f>
        <v>-2.8572000001503284E-5</v>
      </c>
      <c r="J148" s="145"/>
      <c r="K148" s="153">
        <f t="shared" si="293"/>
        <v>-2.8572000001503284E-5</v>
      </c>
      <c r="L148" s="155">
        <f t="shared" si="296"/>
        <v>0</v>
      </c>
      <c r="M148" s="429">
        <v>43538</v>
      </c>
      <c r="N148" s="80"/>
      <c r="O148" s="80"/>
      <c r="P148" s="80"/>
      <c r="Q148" s="80"/>
      <c r="R148" s="80"/>
      <c r="S148" s="989"/>
      <c r="T148" s="989"/>
    </row>
    <row r="149" spans="1:20" ht="15" customHeight="1" thickBot="1">
      <c r="A149" s="54">
        <v>131</v>
      </c>
      <c r="B149" s="125">
        <f t="shared" ref="B149" si="578">+B147+$B$19</f>
        <v>66</v>
      </c>
      <c r="C149" s="366" t="s">
        <v>100</v>
      </c>
      <c r="D149" s="368" t="s">
        <v>35</v>
      </c>
      <c r="E149" s="369" t="s">
        <v>174</v>
      </c>
      <c r="F149" s="369">
        <v>961964</v>
      </c>
      <c r="G149" s="370">
        <v>8.6507857139999995</v>
      </c>
      <c r="H149" s="340">
        <v>-13.627000000000001</v>
      </c>
      <c r="I149" s="75">
        <f t="shared" ref="I149" si="579">G149+H149</f>
        <v>-4.9762142860000012</v>
      </c>
      <c r="J149" s="76"/>
      <c r="K149" s="152">
        <f t="shared" si="293"/>
        <v>-4.9762142860000012</v>
      </c>
      <c r="L149" s="154">
        <f t="shared" si="296"/>
        <v>0</v>
      </c>
      <c r="M149" s="429">
        <v>43538</v>
      </c>
      <c r="N149" s="77">
        <f t="shared" ref="N149:O149" si="580">G149+G150</f>
        <v>13.626971427999999</v>
      </c>
      <c r="O149" s="78">
        <f t="shared" si="580"/>
        <v>-13.627000000000001</v>
      </c>
      <c r="P149" s="77">
        <f t="shared" ref="P149" si="581">N149+O149</f>
        <v>-2.8572000001503284E-5</v>
      </c>
      <c r="Q149" s="79">
        <f t="shared" ref="Q149" si="582">J149+J150</f>
        <v>0</v>
      </c>
      <c r="R149" s="77">
        <f t="shared" ref="R149" si="583">P149-Q149</f>
        <v>-2.8572000001503284E-5</v>
      </c>
      <c r="S149" s="988">
        <f t="shared" ref="S149" si="584">Q149/P149</f>
        <v>0</v>
      </c>
      <c r="T149" s="988">
        <f t="shared" si="575"/>
        <v>1.0000020967241439</v>
      </c>
    </row>
    <row r="150" spans="1:20" ht="15" customHeight="1" thickBot="1">
      <c r="A150" s="54">
        <v>132</v>
      </c>
      <c r="B150" s="125">
        <f t="shared" ref="B150" si="585">+B148+$B$20</f>
        <v>66</v>
      </c>
      <c r="C150" s="367" t="s">
        <v>100</v>
      </c>
      <c r="D150" s="371" t="s">
        <v>96</v>
      </c>
      <c r="E150" s="372" t="s">
        <v>174</v>
      </c>
      <c r="F150" s="372">
        <v>961964</v>
      </c>
      <c r="G150" s="373">
        <v>4.9761857139999996</v>
      </c>
      <c r="H150" s="143"/>
      <c r="I150" s="144">
        <f t="shared" ref="I150" si="586">G150+H150+K149</f>
        <v>-2.8572000001503284E-5</v>
      </c>
      <c r="J150" s="145"/>
      <c r="K150" s="153">
        <f t="shared" ref="K150:K213" si="587">I150-J150</f>
        <v>-2.8572000001503284E-5</v>
      </c>
      <c r="L150" s="155">
        <f t="shared" si="296"/>
        <v>0</v>
      </c>
      <c r="M150" s="429">
        <v>43538</v>
      </c>
      <c r="N150" s="80"/>
      <c r="O150" s="80"/>
      <c r="P150" s="80"/>
      <c r="Q150" s="80"/>
      <c r="R150" s="80"/>
      <c r="S150" s="989"/>
      <c r="T150" s="989"/>
    </row>
    <row r="151" spans="1:20" ht="15" customHeight="1" thickBot="1">
      <c r="A151" s="54">
        <v>133</v>
      </c>
      <c r="B151" s="125">
        <f t="shared" ref="B151" si="588">+B149+$B$19</f>
        <v>67</v>
      </c>
      <c r="C151" s="366" t="s">
        <v>100</v>
      </c>
      <c r="D151" s="368" t="s">
        <v>35</v>
      </c>
      <c r="E151" s="369" t="s">
        <v>175</v>
      </c>
      <c r="F151" s="369">
        <v>920100</v>
      </c>
      <c r="G151" s="370">
        <v>8.6507857139999995</v>
      </c>
      <c r="H151" s="340">
        <v>-13.627000000000001</v>
      </c>
      <c r="I151" s="75">
        <f t="shared" ref="I151" si="589">G151+H151</f>
        <v>-4.9762142860000012</v>
      </c>
      <c r="J151" s="76"/>
      <c r="K151" s="152">
        <f t="shared" si="587"/>
        <v>-4.9762142860000012</v>
      </c>
      <c r="L151" s="154">
        <f t="shared" ref="L151:L214" si="590">J151/I151</f>
        <v>0</v>
      </c>
      <c r="M151" s="429">
        <v>43538</v>
      </c>
      <c r="N151" s="77">
        <f t="shared" ref="N151:O151" si="591">G151+G152</f>
        <v>13.626971427999999</v>
      </c>
      <c r="O151" s="78">
        <f t="shared" si="591"/>
        <v>-13.627000000000001</v>
      </c>
      <c r="P151" s="77">
        <f t="shared" ref="P151" si="592">N151+O151</f>
        <v>-2.8572000001503284E-5</v>
      </c>
      <c r="Q151" s="79">
        <f t="shared" ref="Q151" si="593">J151+J152</f>
        <v>0</v>
      </c>
      <c r="R151" s="77">
        <f t="shared" ref="R151" si="594">P151-Q151</f>
        <v>-2.8572000001503284E-5</v>
      </c>
      <c r="S151" s="988">
        <f t="shared" ref="S151" si="595">Q151/P151</f>
        <v>0</v>
      </c>
      <c r="T151" s="988">
        <f t="shared" si="575"/>
        <v>1.0000020967241439</v>
      </c>
    </row>
    <row r="152" spans="1:20" ht="15" customHeight="1" thickBot="1">
      <c r="A152" s="54">
        <v>134</v>
      </c>
      <c r="B152" s="125">
        <f t="shared" ref="B152" si="596">+B150+$B$20</f>
        <v>67</v>
      </c>
      <c r="C152" s="367" t="s">
        <v>100</v>
      </c>
      <c r="D152" s="371" t="s">
        <v>96</v>
      </c>
      <c r="E152" s="372" t="s">
        <v>175</v>
      </c>
      <c r="F152" s="372">
        <v>920100</v>
      </c>
      <c r="G152" s="373">
        <v>4.9761857139999996</v>
      </c>
      <c r="H152" s="143"/>
      <c r="I152" s="144">
        <f t="shared" ref="I152" si="597">G152+H152+K151</f>
        <v>-2.8572000001503284E-5</v>
      </c>
      <c r="J152" s="145"/>
      <c r="K152" s="153">
        <f t="shared" si="587"/>
        <v>-2.8572000001503284E-5</v>
      </c>
      <c r="L152" s="155">
        <f t="shared" si="590"/>
        <v>0</v>
      </c>
      <c r="M152" s="429">
        <v>43538</v>
      </c>
      <c r="N152" s="80"/>
      <c r="O152" s="80"/>
      <c r="P152" s="80"/>
      <c r="Q152" s="80"/>
      <c r="R152" s="80"/>
      <c r="S152" s="989"/>
      <c r="T152" s="989"/>
    </row>
    <row r="153" spans="1:20" ht="15" customHeight="1" thickBot="1">
      <c r="A153" s="54">
        <v>135</v>
      </c>
      <c r="B153" s="125">
        <f t="shared" ref="B153" si="598">+B151+$B$19</f>
        <v>68</v>
      </c>
      <c r="C153" s="366" t="s">
        <v>100</v>
      </c>
      <c r="D153" s="368" t="s">
        <v>35</v>
      </c>
      <c r="E153" s="369" t="s">
        <v>176</v>
      </c>
      <c r="F153" s="369">
        <v>923210</v>
      </c>
      <c r="G153" s="370">
        <v>8.6507857139999995</v>
      </c>
      <c r="H153" s="340">
        <v>-13.627000000000001</v>
      </c>
      <c r="I153" s="75">
        <f t="shared" ref="I153" si="599">G153+H153</f>
        <v>-4.9762142860000012</v>
      </c>
      <c r="J153" s="76"/>
      <c r="K153" s="152">
        <f t="shared" si="587"/>
        <v>-4.9762142860000012</v>
      </c>
      <c r="L153" s="154">
        <f t="shared" si="590"/>
        <v>0</v>
      </c>
      <c r="M153" s="429">
        <v>43538</v>
      </c>
      <c r="N153" s="77">
        <f t="shared" ref="N153:O153" si="600">G153+G154</f>
        <v>13.626971427999999</v>
      </c>
      <c r="O153" s="78">
        <f t="shared" si="600"/>
        <v>-13.627000000000001</v>
      </c>
      <c r="P153" s="77">
        <f t="shared" ref="P153" si="601">N153+O153</f>
        <v>-2.8572000001503284E-5</v>
      </c>
      <c r="Q153" s="79">
        <f t="shared" ref="Q153" si="602">J153+J154</f>
        <v>0</v>
      </c>
      <c r="R153" s="77">
        <f t="shared" ref="R153" si="603">P153-Q153</f>
        <v>-2.8572000001503284E-5</v>
      </c>
      <c r="S153" s="988">
        <f t="shared" ref="S153" si="604">Q153/P153</f>
        <v>0</v>
      </c>
      <c r="T153" s="988">
        <f t="shared" si="575"/>
        <v>1.0000020967241439</v>
      </c>
    </row>
    <row r="154" spans="1:20" ht="15" customHeight="1" thickBot="1">
      <c r="A154" s="54">
        <v>136</v>
      </c>
      <c r="B154" s="125">
        <f t="shared" ref="B154" si="605">+B152+$B$20</f>
        <v>68</v>
      </c>
      <c r="C154" s="367" t="s">
        <v>100</v>
      </c>
      <c r="D154" s="371" t="s">
        <v>96</v>
      </c>
      <c r="E154" s="372" t="s">
        <v>176</v>
      </c>
      <c r="F154" s="372">
        <v>923210</v>
      </c>
      <c r="G154" s="373">
        <v>4.9761857139999996</v>
      </c>
      <c r="H154" s="143"/>
      <c r="I154" s="144">
        <f t="shared" ref="I154" si="606">G154+H154+K153</f>
        <v>-2.8572000001503284E-5</v>
      </c>
      <c r="J154" s="145"/>
      <c r="K154" s="153">
        <f t="shared" si="587"/>
        <v>-2.8572000001503284E-5</v>
      </c>
      <c r="L154" s="155">
        <f t="shared" si="590"/>
        <v>0</v>
      </c>
      <c r="M154" s="429">
        <v>43538</v>
      </c>
      <c r="N154" s="80"/>
      <c r="O154" s="80"/>
      <c r="P154" s="80"/>
      <c r="Q154" s="80"/>
      <c r="R154" s="80"/>
      <c r="S154" s="989"/>
      <c r="T154" s="989"/>
    </row>
    <row r="155" spans="1:20" ht="15" customHeight="1" thickBot="1">
      <c r="A155" s="54">
        <v>137</v>
      </c>
      <c r="B155" s="125">
        <f t="shared" ref="B155" si="607">+B153+$B$19</f>
        <v>69</v>
      </c>
      <c r="C155" s="366" t="s">
        <v>100</v>
      </c>
      <c r="D155" s="368" t="s">
        <v>35</v>
      </c>
      <c r="E155" s="369" t="s">
        <v>177</v>
      </c>
      <c r="F155" s="369">
        <v>920409</v>
      </c>
      <c r="G155" s="370">
        <v>8.6507857139999995</v>
      </c>
      <c r="H155" s="340">
        <v>-13.627000000000001</v>
      </c>
      <c r="I155" s="75">
        <f t="shared" ref="I155" si="608">G155+H155</f>
        <v>-4.9762142860000012</v>
      </c>
      <c r="J155" s="76"/>
      <c r="K155" s="152">
        <f t="shared" si="587"/>
        <v>-4.9762142860000012</v>
      </c>
      <c r="L155" s="154">
        <f t="shared" si="590"/>
        <v>0</v>
      </c>
      <c r="M155" s="429">
        <v>43538</v>
      </c>
      <c r="N155" s="77">
        <f t="shared" ref="N155:O155" si="609">G155+G156</f>
        <v>13.626971427999999</v>
      </c>
      <c r="O155" s="78">
        <f t="shared" si="609"/>
        <v>-13.627000000000001</v>
      </c>
      <c r="P155" s="77">
        <f t="shared" ref="P155" si="610">N155+O155</f>
        <v>-2.8572000001503284E-5</v>
      </c>
      <c r="Q155" s="79">
        <f t="shared" ref="Q155" si="611">J155+J156</f>
        <v>0</v>
      </c>
      <c r="R155" s="77">
        <f t="shared" ref="R155" si="612">P155-Q155</f>
        <v>-2.8572000001503284E-5</v>
      </c>
      <c r="S155" s="988">
        <f t="shared" ref="S155" si="613">Q155/P155</f>
        <v>0</v>
      </c>
      <c r="T155" s="988">
        <f t="shared" si="575"/>
        <v>1.0000020967241439</v>
      </c>
    </row>
    <row r="156" spans="1:20" ht="15" customHeight="1" thickBot="1">
      <c r="A156" s="54">
        <v>138</v>
      </c>
      <c r="B156" s="125">
        <f t="shared" ref="B156" si="614">+B154+$B$20</f>
        <v>69</v>
      </c>
      <c r="C156" s="367" t="s">
        <v>100</v>
      </c>
      <c r="D156" s="371" t="s">
        <v>96</v>
      </c>
      <c r="E156" s="372" t="s">
        <v>177</v>
      </c>
      <c r="F156" s="372">
        <v>920409</v>
      </c>
      <c r="G156" s="373">
        <v>4.9761857139999996</v>
      </c>
      <c r="H156" s="143"/>
      <c r="I156" s="144">
        <f t="shared" ref="I156" si="615">G156+H156+K155</f>
        <v>-2.8572000001503284E-5</v>
      </c>
      <c r="J156" s="145"/>
      <c r="K156" s="153">
        <f t="shared" si="587"/>
        <v>-2.8572000001503284E-5</v>
      </c>
      <c r="L156" s="155">
        <f t="shared" si="590"/>
        <v>0</v>
      </c>
      <c r="M156" s="429">
        <v>43538</v>
      </c>
      <c r="N156" s="80"/>
      <c r="O156" s="80"/>
      <c r="P156" s="80"/>
      <c r="Q156" s="80"/>
      <c r="R156" s="80"/>
      <c r="S156" s="989"/>
      <c r="T156" s="989"/>
    </row>
    <row r="157" spans="1:20" ht="15" customHeight="1" thickBot="1">
      <c r="A157" s="54">
        <v>139</v>
      </c>
      <c r="B157" s="125">
        <f t="shared" ref="B157" si="616">+B155+$B$19</f>
        <v>70</v>
      </c>
      <c r="C157" s="366" t="s">
        <v>100</v>
      </c>
      <c r="D157" s="368" t="s">
        <v>35</v>
      </c>
      <c r="E157" s="369" t="s">
        <v>178</v>
      </c>
      <c r="F157" s="369">
        <v>954070</v>
      </c>
      <c r="G157" s="370">
        <v>8.6507857139999995</v>
      </c>
      <c r="H157" s="340">
        <v>-13.627000000000001</v>
      </c>
      <c r="I157" s="75">
        <f t="shared" ref="I157" si="617">G157+H157</f>
        <v>-4.9762142860000012</v>
      </c>
      <c r="J157" s="76"/>
      <c r="K157" s="152">
        <f t="shared" si="587"/>
        <v>-4.9762142860000012</v>
      </c>
      <c r="L157" s="154">
        <f t="shared" si="590"/>
        <v>0</v>
      </c>
      <c r="M157" s="429">
        <v>43538</v>
      </c>
      <c r="N157" s="77">
        <f t="shared" ref="N157:O157" si="618">G157+G158</f>
        <v>13.626971427999999</v>
      </c>
      <c r="O157" s="78">
        <f t="shared" si="618"/>
        <v>-13.627000000000001</v>
      </c>
      <c r="P157" s="77">
        <f t="shared" ref="P157" si="619">N157+O157</f>
        <v>-2.8572000001503284E-5</v>
      </c>
      <c r="Q157" s="79">
        <f t="shared" ref="Q157" si="620">J157+J158</f>
        <v>0</v>
      </c>
      <c r="R157" s="77">
        <f t="shared" ref="R157" si="621">P157-Q157</f>
        <v>-2.8572000001503284E-5</v>
      </c>
      <c r="S157" s="988">
        <f t="shared" ref="S157" si="622">Q157/P157</f>
        <v>0</v>
      </c>
      <c r="T157" s="988">
        <f t="shared" si="575"/>
        <v>1.0000020967241439</v>
      </c>
    </row>
    <row r="158" spans="1:20" ht="15" customHeight="1" thickBot="1">
      <c r="A158" s="54">
        <v>140</v>
      </c>
      <c r="B158" s="125">
        <f t="shared" ref="B158" si="623">+B156+$B$20</f>
        <v>70</v>
      </c>
      <c r="C158" s="367" t="s">
        <v>100</v>
      </c>
      <c r="D158" s="371" t="s">
        <v>96</v>
      </c>
      <c r="E158" s="372" t="s">
        <v>178</v>
      </c>
      <c r="F158" s="372">
        <v>954070</v>
      </c>
      <c r="G158" s="373">
        <v>4.9761857139999996</v>
      </c>
      <c r="H158" s="143"/>
      <c r="I158" s="144">
        <f t="shared" ref="I158" si="624">G158+H158+K157</f>
        <v>-2.8572000001503284E-5</v>
      </c>
      <c r="J158" s="145"/>
      <c r="K158" s="153">
        <f t="shared" si="587"/>
        <v>-2.8572000001503284E-5</v>
      </c>
      <c r="L158" s="155">
        <f t="shared" si="590"/>
        <v>0</v>
      </c>
      <c r="M158" s="429">
        <v>43538</v>
      </c>
      <c r="N158" s="80"/>
      <c r="O158" s="80"/>
      <c r="P158" s="80"/>
      <c r="Q158" s="80"/>
      <c r="R158" s="80"/>
      <c r="S158" s="989"/>
      <c r="T158" s="989"/>
    </row>
    <row r="159" spans="1:20" ht="15" customHeight="1" thickBot="1">
      <c r="A159" s="114">
        <v>141</v>
      </c>
      <c r="B159" s="114">
        <f t="shared" ref="B159" si="625">+B157+$B$19</f>
        <v>71</v>
      </c>
      <c r="C159" s="119" t="s">
        <v>102</v>
      </c>
      <c r="D159" s="120" t="s">
        <v>35</v>
      </c>
      <c r="E159" s="121" t="s">
        <v>179</v>
      </c>
      <c r="F159" s="121">
        <v>34087</v>
      </c>
      <c r="G159" s="126">
        <v>8.6507857139999995</v>
      </c>
      <c r="H159" s="340">
        <v>-13.627000000000001</v>
      </c>
      <c r="I159" s="75">
        <f t="shared" ref="I159" si="626">G159+H159</f>
        <v>-4.9762142860000012</v>
      </c>
      <c r="J159" s="76"/>
      <c r="K159" s="152">
        <f t="shared" si="587"/>
        <v>-4.9762142860000012</v>
      </c>
      <c r="L159" s="154">
        <f t="shared" si="590"/>
        <v>0</v>
      </c>
      <c r="M159" s="429">
        <v>43538</v>
      </c>
      <c r="N159" s="77">
        <f t="shared" ref="N159:O159" si="627">G159+G160</f>
        <v>13.626971427999999</v>
      </c>
      <c r="O159" s="78">
        <f t="shared" si="627"/>
        <v>-13.627000000000001</v>
      </c>
      <c r="P159" s="77">
        <f t="shared" ref="P159" si="628">N159+O159</f>
        <v>-2.8572000001503284E-5</v>
      </c>
      <c r="Q159" s="79">
        <f t="shared" ref="Q159" si="629">J159+J160</f>
        <v>0</v>
      </c>
      <c r="R159" s="77">
        <f t="shared" ref="R159" si="630">P159-Q159</f>
        <v>-2.8572000001503284E-5</v>
      </c>
      <c r="S159" s="988">
        <f t="shared" ref="S159" si="631">Q159/P159</f>
        <v>0</v>
      </c>
      <c r="T159" s="988">
        <f t="shared" si="575"/>
        <v>1.0000020967241439</v>
      </c>
    </row>
    <row r="160" spans="1:20" ht="15" customHeight="1" thickBot="1">
      <c r="A160" s="54">
        <v>142</v>
      </c>
      <c r="B160" s="114">
        <f t="shared" ref="B160" si="632">+B158+$B$20</f>
        <v>71</v>
      </c>
      <c r="C160" s="139" t="s">
        <v>102</v>
      </c>
      <c r="D160" s="140" t="s">
        <v>96</v>
      </c>
      <c r="E160" s="141" t="s">
        <v>179</v>
      </c>
      <c r="F160" s="141">
        <v>34087</v>
      </c>
      <c r="G160" s="142">
        <v>4.9761857139999996</v>
      </c>
      <c r="H160" s="143"/>
      <c r="I160" s="144">
        <f t="shared" ref="I160" si="633">G160+H160+K159</f>
        <v>-2.8572000001503284E-5</v>
      </c>
      <c r="J160" s="145"/>
      <c r="K160" s="153">
        <f t="shared" si="587"/>
        <v>-2.8572000001503284E-5</v>
      </c>
      <c r="L160" s="155">
        <f t="shared" si="590"/>
        <v>0</v>
      </c>
      <c r="M160" s="429">
        <v>43538</v>
      </c>
      <c r="N160" s="80"/>
      <c r="O160" s="80"/>
      <c r="P160" s="80"/>
      <c r="Q160" s="80"/>
      <c r="R160" s="80"/>
      <c r="S160" s="989"/>
      <c r="T160" s="989"/>
    </row>
    <row r="161" spans="1:20" ht="15" customHeight="1" thickBot="1">
      <c r="A161" s="54">
        <v>143</v>
      </c>
      <c r="B161" s="114">
        <f t="shared" ref="B161" si="634">+B159+$B$19</f>
        <v>72</v>
      </c>
      <c r="C161" s="119" t="s">
        <v>102</v>
      </c>
      <c r="D161" s="120" t="s">
        <v>35</v>
      </c>
      <c r="E161" s="121" t="s">
        <v>180</v>
      </c>
      <c r="F161" s="121">
        <v>16115</v>
      </c>
      <c r="G161" s="126">
        <v>8.6507857139999995</v>
      </c>
      <c r="H161" s="340">
        <v>-13.627000000000001</v>
      </c>
      <c r="I161" s="75">
        <f t="shared" ref="I161" si="635">G161+H161</f>
        <v>-4.9762142860000012</v>
      </c>
      <c r="J161" s="76"/>
      <c r="K161" s="152">
        <f t="shared" si="587"/>
        <v>-4.9762142860000012</v>
      </c>
      <c r="L161" s="154">
        <f t="shared" si="590"/>
        <v>0</v>
      </c>
      <c r="M161" s="429">
        <v>43538</v>
      </c>
      <c r="N161" s="77">
        <f t="shared" ref="N161:O161" si="636">G161+G162</f>
        <v>13.626971427999999</v>
      </c>
      <c r="O161" s="78">
        <f t="shared" si="636"/>
        <v>-13.627000000000001</v>
      </c>
      <c r="P161" s="77">
        <f t="shared" ref="P161" si="637">N161+O161</f>
        <v>-2.8572000001503284E-5</v>
      </c>
      <c r="Q161" s="79">
        <f t="shared" ref="Q161" si="638">J161+J162</f>
        <v>0</v>
      </c>
      <c r="R161" s="77">
        <f t="shared" ref="R161" si="639">P161-Q161</f>
        <v>-2.8572000001503284E-5</v>
      </c>
      <c r="S161" s="988">
        <f t="shared" ref="S161" si="640">Q161/P161</f>
        <v>0</v>
      </c>
      <c r="T161" s="988">
        <f t="shared" si="575"/>
        <v>1.0000020967241439</v>
      </c>
    </row>
    <row r="162" spans="1:20" ht="15" customHeight="1" thickBot="1">
      <c r="A162" s="54">
        <v>144</v>
      </c>
      <c r="B162" s="114">
        <f t="shared" ref="B162" si="641">+B160+$B$20</f>
        <v>72</v>
      </c>
      <c r="C162" s="139" t="s">
        <v>102</v>
      </c>
      <c r="D162" s="140" t="s">
        <v>96</v>
      </c>
      <c r="E162" s="141" t="s">
        <v>180</v>
      </c>
      <c r="F162" s="141">
        <v>16115</v>
      </c>
      <c r="G162" s="142">
        <v>4.9761857139999996</v>
      </c>
      <c r="H162" s="143"/>
      <c r="I162" s="144">
        <f t="shared" ref="I162" si="642">G162+H162+K161</f>
        <v>-2.8572000001503284E-5</v>
      </c>
      <c r="J162" s="145"/>
      <c r="K162" s="153">
        <f t="shared" si="587"/>
        <v>-2.8572000001503284E-5</v>
      </c>
      <c r="L162" s="155">
        <f t="shared" si="590"/>
        <v>0</v>
      </c>
      <c r="M162" s="429">
        <v>43538</v>
      </c>
      <c r="N162" s="80"/>
      <c r="O162" s="80"/>
      <c r="P162" s="80"/>
      <c r="Q162" s="80"/>
      <c r="R162" s="80"/>
      <c r="S162" s="989"/>
      <c r="T162" s="989"/>
    </row>
    <row r="163" spans="1:20" ht="15" customHeight="1" thickBot="1">
      <c r="A163" s="54">
        <v>145</v>
      </c>
      <c r="B163" s="114">
        <f t="shared" ref="B163" si="643">+B161+$B$19</f>
        <v>73</v>
      </c>
      <c r="C163" s="119" t="s">
        <v>102</v>
      </c>
      <c r="D163" s="120" t="s">
        <v>35</v>
      </c>
      <c r="E163" s="121" t="s">
        <v>181</v>
      </c>
      <c r="F163" s="121">
        <v>15868</v>
      </c>
      <c r="G163" s="126">
        <v>8.6507857139999995</v>
      </c>
      <c r="H163" s="340">
        <v>-13.627000000000001</v>
      </c>
      <c r="I163" s="75">
        <f t="shared" ref="I163" si="644">G163+H163</f>
        <v>-4.9762142860000012</v>
      </c>
      <c r="J163" s="76"/>
      <c r="K163" s="152">
        <f t="shared" si="587"/>
        <v>-4.9762142860000012</v>
      </c>
      <c r="L163" s="154">
        <f t="shared" si="590"/>
        <v>0</v>
      </c>
      <c r="M163" s="429">
        <v>43538</v>
      </c>
      <c r="N163" s="77">
        <f t="shared" ref="N163:O163" si="645">G163+G164</f>
        <v>13.626971427999999</v>
      </c>
      <c r="O163" s="78">
        <f t="shared" si="645"/>
        <v>-13.627000000000001</v>
      </c>
      <c r="P163" s="77">
        <f t="shared" ref="P163" si="646">N163+O163</f>
        <v>-2.8572000001503284E-5</v>
      </c>
      <c r="Q163" s="79">
        <f t="shared" ref="Q163" si="647">J163+J164</f>
        <v>0</v>
      </c>
      <c r="R163" s="77">
        <f t="shared" ref="R163" si="648">P163-Q163</f>
        <v>-2.8572000001503284E-5</v>
      </c>
      <c r="S163" s="988">
        <f t="shared" ref="S163" si="649">Q163/P163</f>
        <v>0</v>
      </c>
      <c r="T163" s="988">
        <f t="shared" si="575"/>
        <v>1.0000020967241439</v>
      </c>
    </row>
    <row r="164" spans="1:20" ht="15" customHeight="1" thickBot="1">
      <c r="A164" s="54">
        <v>146</v>
      </c>
      <c r="B164" s="114">
        <f t="shared" ref="B164" si="650">+B162+$B$20</f>
        <v>73</v>
      </c>
      <c r="C164" s="139" t="s">
        <v>102</v>
      </c>
      <c r="D164" s="140" t="s">
        <v>96</v>
      </c>
      <c r="E164" s="141" t="s">
        <v>181</v>
      </c>
      <c r="F164" s="141">
        <v>15868</v>
      </c>
      <c r="G164" s="142">
        <v>4.9761857139999996</v>
      </c>
      <c r="H164" s="143"/>
      <c r="I164" s="144">
        <f t="shared" ref="I164" si="651">G164+H164+K163</f>
        <v>-2.8572000001503284E-5</v>
      </c>
      <c r="J164" s="145"/>
      <c r="K164" s="153">
        <f t="shared" si="587"/>
        <v>-2.8572000001503284E-5</v>
      </c>
      <c r="L164" s="155">
        <f t="shared" si="590"/>
        <v>0</v>
      </c>
      <c r="M164" s="429">
        <v>43538</v>
      </c>
      <c r="N164" s="80"/>
      <c r="O164" s="80"/>
      <c r="P164" s="80"/>
      <c r="Q164" s="80"/>
      <c r="R164" s="80"/>
      <c r="S164" s="989"/>
      <c r="T164" s="989"/>
    </row>
    <row r="165" spans="1:20" ht="15" customHeight="1" thickBot="1">
      <c r="A165" s="54">
        <v>147</v>
      </c>
      <c r="B165" s="114">
        <f t="shared" ref="B165" si="652">+B163+$B$19</f>
        <v>74</v>
      </c>
      <c r="C165" s="119" t="s">
        <v>102</v>
      </c>
      <c r="D165" s="120" t="s">
        <v>35</v>
      </c>
      <c r="E165" s="121" t="s">
        <v>182</v>
      </c>
      <c r="F165" s="121">
        <v>15932</v>
      </c>
      <c r="G165" s="126">
        <v>8.6507857139999995</v>
      </c>
      <c r="H165" s="340">
        <v>-13.627000000000001</v>
      </c>
      <c r="I165" s="75">
        <f t="shared" ref="I165" si="653">G165+H165</f>
        <v>-4.9762142860000012</v>
      </c>
      <c r="J165" s="76"/>
      <c r="K165" s="152">
        <f t="shared" si="587"/>
        <v>-4.9762142860000012</v>
      </c>
      <c r="L165" s="154">
        <f t="shared" si="590"/>
        <v>0</v>
      </c>
      <c r="M165" s="429">
        <v>43538</v>
      </c>
      <c r="N165" s="77">
        <f t="shared" ref="N165:O165" si="654">G165+G166</f>
        <v>13.626971427999999</v>
      </c>
      <c r="O165" s="78">
        <f t="shared" si="654"/>
        <v>-13.627000000000001</v>
      </c>
      <c r="P165" s="77">
        <f t="shared" ref="P165" si="655">N165+O165</f>
        <v>-2.8572000001503284E-5</v>
      </c>
      <c r="Q165" s="79">
        <f t="shared" ref="Q165" si="656">J165+J166</f>
        <v>0</v>
      </c>
      <c r="R165" s="77">
        <f t="shared" ref="R165" si="657">P165-Q165</f>
        <v>-2.8572000001503284E-5</v>
      </c>
      <c r="S165" s="988">
        <f t="shared" ref="S165" si="658">Q165/P165</f>
        <v>0</v>
      </c>
      <c r="T165" s="988">
        <f t="shared" si="575"/>
        <v>1.0000020967241439</v>
      </c>
    </row>
    <row r="166" spans="1:20" ht="15" customHeight="1" thickBot="1">
      <c r="A166" s="54">
        <v>148</v>
      </c>
      <c r="B166" s="114">
        <f t="shared" ref="B166" si="659">+B164+$B$20</f>
        <v>74</v>
      </c>
      <c r="C166" s="139" t="s">
        <v>102</v>
      </c>
      <c r="D166" s="140" t="s">
        <v>96</v>
      </c>
      <c r="E166" s="141" t="s">
        <v>182</v>
      </c>
      <c r="F166" s="141">
        <v>15932</v>
      </c>
      <c r="G166" s="142">
        <v>4.9761857139999996</v>
      </c>
      <c r="H166" s="143"/>
      <c r="I166" s="144">
        <f t="shared" ref="I166" si="660">G166+H166+K165</f>
        <v>-2.8572000001503284E-5</v>
      </c>
      <c r="J166" s="145"/>
      <c r="K166" s="153">
        <f t="shared" si="587"/>
        <v>-2.8572000001503284E-5</v>
      </c>
      <c r="L166" s="155">
        <f t="shared" si="590"/>
        <v>0</v>
      </c>
      <c r="M166" s="429">
        <v>43538</v>
      </c>
      <c r="N166" s="80"/>
      <c r="O166" s="80"/>
      <c r="P166" s="80"/>
      <c r="Q166" s="80"/>
      <c r="R166" s="80"/>
      <c r="S166" s="989"/>
      <c r="T166" s="989"/>
    </row>
    <row r="167" spans="1:20" ht="15" customHeight="1" thickBot="1">
      <c r="A167" s="54">
        <v>149</v>
      </c>
      <c r="B167" s="114">
        <f t="shared" ref="B167" si="661">+B165+$B$19</f>
        <v>75</v>
      </c>
      <c r="C167" s="119" t="s">
        <v>102</v>
      </c>
      <c r="D167" s="120" t="s">
        <v>35</v>
      </c>
      <c r="E167" s="121" t="s">
        <v>183</v>
      </c>
      <c r="F167" s="121">
        <v>15862</v>
      </c>
      <c r="G167" s="126">
        <v>8.6507857139999995</v>
      </c>
      <c r="H167" s="340">
        <v>-13.627000000000001</v>
      </c>
      <c r="I167" s="75">
        <f t="shared" ref="I167" si="662">G167+H167</f>
        <v>-4.9762142860000012</v>
      </c>
      <c r="J167" s="76"/>
      <c r="K167" s="152">
        <f t="shared" si="587"/>
        <v>-4.9762142860000012</v>
      </c>
      <c r="L167" s="154">
        <f t="shared" si="590"/>
        <v>0</v>
      </c>
      <c r="M167" s="429">
        <v>43538</v>
      </c>
      <c r="N167" s="77">
        <f t="shared" ref="N167:O167" si="663">G167+G168</f>
        <v>13.626971427999999</v>
      </c>
      <c r="O167" s="78">
        <f t="shared" si="663"/>
        <v>-13.627000000000001</v>
      </c>
      <c r="P167" s="77">
        <f t="shared" ref="P167" si="664">N167+O167</f>
        <v>-2.8572000001503284E-5</v>
      </c>
      <c r="Q167" s="79">
        <f t="shared" ref="Q167" si="665">J167+J168</f>
        <v>0</v>
      </c>
      <c r="R167" s="77">
        <f t="shared" ref="R167" si="666">P167-Q167</f>
        <v>-2.8572000001503284E-5</v>
      </c>
      <c r="S167" s="988">
        <f t="shared" ref="S167" si="667">Q167/P167</f>
        <v>0</v>
      </c>
      <c r="T167" s="988">
        <f t="shared" si="575"/>
        <v>1.0000020967241439</v>
      </c>
    </row>
    <row r="168" spans="1:20" ht="15" customHeight="1" thickBot="1">
      <c r="A168" s="54">
        <v>150</v>
      </c>
      <c r="B168" s="114">
        <f t="shared" ref="B168" si="668">+B166+$B$20</f>
        <v>75</v>
      </c>
      <c r="C168" s="139" t="s">
        <v>102</v>
      </c>
      <c r="D168" s="140" t="s">
        <v>96</v>
      </c>
      <c r="E168" s="141" t="s">
        <v>183</v>
      </c>
      <c r="F168" s="141">
        <v>15862</v>
      </c>
      <c r="G168" s="142">
        <v>4.9761857139999996</v>
      </c>
      <c r="H168" s="143"/>
      <c r="I168" s="144">
        <f t="shared" ref="I168" si="669">G168+H168+K167</f>
        <v>-2.8572000001503284E-5</v>
      </c>
      <c r="J168" s="145"/>
      <c r="K168" s="153">
        <f t="shared" si="587"/>
        <v>-2.8572000001503284E-5</v>
      </c>
      <c r="L168" s="155">
        <f t="shared" si="590"/>
        <v>0</v>
      </c>
      <c r="M168" s="429">
        <v>43538</v>
      </c>
      <c r="N168" s="80"/>
      <c r="O168" s="80"/>
      <c r="P168" s="80"/>
      <c r="Q168" s="80"/>
      <c r="R168" s="80"/>
      <c r="S168" s="989"/>
      <c r="T168" s="989"/>
    </row>
    <row r="169" spans="1:20" ht="15" customHeight="1" thickBot="1">
      <c r="A169" s="54">
        <v>151</v>
      </c>
      <c r="B169" s="114">
        <f t="shared" ref="B169" si="670">+B167+$B$19</f>
        <v>76</v>
      </c>
      <c r="C169" s="119" t="s">
        <v>102</v>
      </c>
      <c r="D169" s="120" t="s">
        <v>35</v>
      </c>
      <c r="E169" s="121" t="s">
        <v>184</v>
      </c>
      <c r="F169" s="121">
        <v>962667</v>
      </c>
      <c r="G169" s="126">
        <v>8.6507857139999995</v>
      </c>
      <c r="H169" s="340">
        <v>-13.627000000000001</v>
      </c>
      <c r="I169" s="75">
        <f t="shared" ref="I169" si="671">G169+H169</f>
        <v>-4.9762142860000012</v>
      </c>
      <c r="J169" s="76"/>
      <c r="K169" s="152">
        <f t="shared" si="587"/>
        <v>-4.9762142860000012</v>
      </c>
      <c r="L169" s="154">
        <f t="shared" si="590"/>
        <v>0</v>
      </c>
      <c r="M169" s="429">
        <v>43538</v>
      </c>
      <c r="N169" s="77">
        <f t="shared" ref="N169:O169" si="672">G169+G170</f>
        <v>13.626971427999999</v>
      </c>
      <c r="O169" s="78">
        <f t="shared" si="672"/>
        <v>-13.627000000000001</v>
      </c>
      <c r="P169" s="77">
        <f t="shared" ref="P169" si="673">N169+O169</f>
        <v>-2.8572000001503284E-5</v>
      </c>
      <c r="Q169" s="79">
        <f t="shared" ref="Q169" si="674">J169+J170</f>
        <v>0</v>
      </c>
      <c r="R169" s="77">
        <f t="shared" ref="R169" si="675">P169-Q169</f>
        <v>-2.8572000001503284E-5</v>
      </c>
      <c r="S169" s="988">
        <f t="shared" ref="S169" si="676">Q169/P169</f>
        <v>0</v>
      </c>
      <c r="T169" s="988">
        <f t="shared" si="575"/>
        <v>1.0000020967241439</v>
      </c>
    </row>
    <row r="170" spans="1:20" ht="15" customHeight="1" thickBot="1">
      <c r="A170" s="54">
        <v>152</v>
      </c>
      <c r="B170" s="114">
        <f t="shared" ref="B170" si="677">+B168+$B$20</f>
        <v>76</v>
      </c>
      <c r="C170" s="139" t="s">
        <v>102</v>
      </c>
      <c r="D170" s="140" t="s">
        <v>96</v>
      </c>
      <c r="E170" s="141" t="s">
        <v>184</v>
      </c>
      <c r="F170" s="141">
        <v>962667</v>
      </c>
      <c r="G170" s="142">
        <v>4.9761857139999996</v>
      </c>
      <c r="H170" s="143"/>
      <c r="I170" s="144">
        <f t="shared" ref="I170" si="678">G170+H170+K169</f>
        <v>-2.8572000001503284E-5</v>
      </c>
      <c r="J170" s="145"/>
      <c r="K170" s="153">
        <f t="shared" si="587"/>
        <v>-2.8572000001503284E-5</v>
      </c>
      <c r="L170" s="155">
        <f t="shared" si="590"/>
        <v>0</v>
      </c>
      <c r="M170" s="429">
        <v>43538</v>
      </c>
      <c r="N170" s="80"/>
      <c r="O170" s="80"/>
      <c r="P170" s="80"/>
      <c r="Q170" s="80"/>
      <c r="R170" s="80"/>
      <c r="S170" s="989"/>
      <c r="T170" s="989"/>
    </row>
    <row r="171" spans="1:20" ht="15" customHeight="1" thickBot="1">
      <c r="A171" s="54">
        <v>153</v>
      </c>
      <c r="B171" s="114">
        <f t="shared" ref="B171" si="679">+B169+$B$19</f>
        <v>77</v>
      </c>
      <c r="C171" s="119" t="s">
        <v>102</v>
      </c>
      <c r="D171" s="120" t="s">
        <v>35</v>
      </c>
      <c r="E171" s="121" t="s">
        <v>185</v>
      </c>
      <c r="F171" s="121">
        <v>963489</v>
      </c>
      <c r="G171" s="126">
        <v>8.6507857139999995</v>
      </c>
      <c r="H171" s="340">
        <v>-13.627000000000001</v>
      </c>
      <c r="I171" s="75">
        <f t="shared" ref="I171" si="680">G171+H171</f>
        <v>-4.9762142860000012</v>
      </c>
      <c r="J171" s="76"/>
      <c r="K171" s="152">
        <f t="shared" si="587"/>
        <v>-4.9762142860000012</v>
      </c>
      <c r="L171" s="154">
        <f t="shared" si="590"/>
        <v>0</v>
      </c>
      <c r="M171" s="429">
        <v>43538</v>
      </c>
      <c r="N171" s="77">
        <f t="shared" ref="N171:O171" si="681">G171+G172</f>
        <v>13.626971427999999</v>
      </c>
      <c r="O171" s="78">
        <f t="shared" si="681"/>
        <v>-13.627000000000001</v>
      </c>
      <c r="P171" s="77">
        <f t="shared" ref="P171" si="682">N171+O171</f>
        <v>-2.8572000001503284E-5</v>
      </c>
      <c r="Q171" s="79">
        <f t="shared" ref="Q171" si="683">J171+J172</f>
        <v>0</v>
      </c>
      <c r="R171" s="77">
        <f t="shared" ref="R171" si="684">P171-Q171</f>
        <v>-2.8572000001503284E-5</v>
      </c>
      <c r="S171" s="988">
        <f t="shared" ref="S171" si="685">Q171/P171</f>
        <v>0</v>
      </c>
      <c r="T171" s="988">
        <f t="shared" si="575"/>
        <v>1.0000020967241439</v>
      </c>
    </row>
    <row r="172" spans="1:20" ht="15" customHeight="1" thickBot="1">
      <c r="A172" s="54">
        <v>154</v>
      </c>
      <c r="B172" s="114">
        <f t="shared" ref="B172" si="686">+B170+$B$20</f>
        <v>77</v>
      </c>
      <c r="C172" s="139" t="s">
        <v>102</v>
      </c>
      <c r="D172" s="140" t="s">
        <v>96</v>
      </c>
      <c r="E172" s="141" t="s">
        <v>185</v>
      </c>
      <c r="F172" s="141">
        <v>963489</v>
      </c>
      <c r="G172" s="142">
        <v>4.9761857139999996</v>
      </c>
      <c r="H172" s="143"/>
      <c r="I172" s="144">
        <f t="shared" ref="I172" si="687">G172+H172+K171</f>
        <v>-2.8572000001503284E-5</v>
      </c>
      <c r="J172" s="145"/>
      <c r="K172" s="153">
        <f t="shared" si="587"/>
        <v>-2.8572000001503284E-5</v>
      </c>
      <c r="L172" s="155">
        <f t="shared" si="590"/>
        <v>0</v>
      </c>
      <c r="M172" s="429">
        <v>43538</v>
      </c>
      <c r="N172" s="80"/>
      <c r="O172" s="80"/>
      <c r="P172" s="80"/>
      <c r="Q172" s="80"/>
      <c r="R172" s="80"/>
      <c r="S172" s="989"/>
      <c r="T172" s="989"/>
    </row>
    <row r="173" spans="1:20" ht="15" customHeight="1" thickBot="1">
      <c r="A173" s="54">
        <v>155</v>
      </c>
      <c r="B173" s="114">
        <f t="shared" ref="B173" si="688">+B171+$B$19</f>
        <v>78</v>
      </c>
      <c r="C173" s="119" t="s">
        <v>102</v>
      </c>
      <c r="D173" s="120" t="s">
        <v>35</v>
      </c>
      <c r="E173" s="121" t="s">
        <v>186</v>
      </c>
      <c r="F173" s="121">
        <v>964164</v>
      </c>
      <c r="G173" s="126">
        <v>8.6507857139999995</v>
      </c>
      <c r="H173" s="340">
        <v>-13.627000000000001</v>
      </c>
      <c r="I173" s="75">
        <f t="shared" ref="I173" si="689">G173+H173</f>
        <v>-4.9762142860000012</v>
      </c>
      <c r="J173" s="76"/>
      <c r="K173" s="152">
        <f t="shared" si="587"/>
        <v>-4.9762142860000012</v>
      </c>
      <c r="L173" s="154">
        <f t="shared" si="590"/>
        <v>0</v>
      </c>
      <c r="M173" s="429">
        <v>43538</v>
      </c>
      <c r="N173" s="77">
        <f t="shared" ref="N173:O173" si="690">G173+G174</f>
        <v>13.626971427999999</v>
      </c>
      <c r="O173" s="78">
        <f t="shared" si="690"/>
        <v>-13.627000000000001</v>
      </c>
      <c r="P173" s="77">
        <f t="shared" ref="P173" si="691">N173+O173</f>
        <v>-2.8572000001503284E-5</v>
      </c>
      <c r="Q173" s="79">
        <f t="shared" ref="Q173" si="692">J173+J174</f>
        <v>0</v>
      </c>
      <c r="R173" s="77">
        <f t="shared" ref="R173" si="693">P173-Q173</f>
        <v>-2.8572000001503284E-5</v>
      </c>
      <c r="S173" s="988">
        <f t="shared" ref="S173" si="694">Q173/P173</f>
        <v>0</v>
      </c>
      <c r="T173" s="988">
        <f t="shared" si="575"/>
        <v>1.0000020967241439</v>
      </c>
    </row>
    <row r="174" spans="1:20" ht="15" customHeight="1" thickBot="1">
      <c r="A174" s="54">
        <v>156</v>
      </c>
      <c r="B174" s="114">
        <f t="shared" ref="B174" si="695">+B172+$B$20</f>
        <v>78</v>
      </c>
      <c r="C174" s="139" t="s">
        <v>102</v>
      </c>
      <c r="D174" s="140" t="s">
        <v>96</v>
      </c>
      <c r="E174" s="141" t="s">
        <v>186</v>
      </c>
      <c r="F174" s="141">
        <v>964164</v>
      </c>
      <c r="G174" s="142">
        <v>4.9761857139999996</v>
      </c>
      <c r="H174" s="143"/>
      <c r="I174" s="144">
        <f t="shared" ref="I174" si="696">G174+H174+K173</f>
        <v>-2.8572000001503284E-5</v>
      </c>
      <c r="J174" s="145"/>
      <c r="K174" s="153">
        <f t="shared" si="587"/>
        <v>-2.8572000001503284E-5</v>
      </c>
      <c r="L174" s="155">
        <f t="shared" si="590"/>
        <v>0</v>
      </c>
      <c r="M174" s="429">
        <v>43538</v>
      </c>
      <c r="N174" s="80"/>
      <c r="O174" s="80"/>
      <c r="P174" s="80"/>
      <c r="Q174" s="80"/>
      <c r="R174" s="80"/>
      <c r="S174" s="989"/>
      <c r="T174" s="989"/>
    </row>
    <row r="175" spans="1:20" ht="15" customHeight="1" thickBot="1">
      <c r="A175" s="54">
        <v>157</v>
      </c>
      <c r="B175" s="114">
        <f t="shared" ref="B175" si="697">+B173+$B$19</f>
        <v>79</v>
      </c>
      <c r="C175" s="119" t="s">
        <v>102</v>
      </c>
      <c r="D175" s="120" t="s">
        <v>35</v>
      </c>
      <c r="E175" s="121" t="s">
        <v>187</v>
      </c>
      <c r="F175" s="121">
        <v>964165</v>
      </c>
      <c r="G175" s="126">
        <v>8.6507857139999995</v>
      </c>
      <c r="H175" s="340">
        <v>-13.627000000000001</v>
      </c>
      <c r="I175" s="75">
        <f t="shared" ref="I175" si="698">G175+H175</f>
        <v>-4.9762142860000012</v>
      </c>
      <c r="J175" s="76"/>
      <c r="K175" s="152">
        <f t="shared" si="587"/>
        <v>-4.9762142860000012</v>
      </c>
      <c r="L175" s="154">
        <f t="shared" si="590"/>
        <v>0</v>
      </c>
      <c r="M175" s="429">
        <v>43538</v>
      </c>
      <c r="N175" s="77">
        <f t="shared" ref="N175:O175" si="699">G175+G176</f>
        <v>13.626971427999999</v>
      </c>
      <c r="O175" s="78">
        <f t="shared" si="699"/>
        <v>-13.627000000000001</v>
      </c>
      <c r="P175" s="77">
        <f t="shared" ref="P175" si="700">N175+O175</f>
        <v>-2.8572000001503284E-5</v>
      </c>
      <c r="Q175" s="79">
        <f t="shared" ref="Q175" si="701">J175+J176</f>
        <v>0</v>
      </c>
      <c r="R175" s="77">
        <f t="shared" ref="R175" si="702">P175-Q175</f>
        <v>-2.8572000001503284E-5</v>
      </c>
      <c r="S175" s="988">
        <f t="shared" ref="S175" si="703">Q175/P175</f>
        <v>0</v>
      </c>
      <c r="T175" s="988">
        <f t="shared" si="575"/>
        <v>1.0000020967241439</v>
      </c>
    </row>
    <row r="176" spans="1:20" ht="15" customHeight="1" thickBot="1">
      <c r="A176" s="54">
        <v>158</v>
      </c>
      <c r="B176" s="114">
        <f t="shared" ref="B176" si="704">+B174+$B$20</f>
        <v>79</v>
      </c>
      <c r="C176" s="139" t="s">
        <v>102</v>
      </c>
      <c r="D176" s="140" t="s">
        <v>96</v>
      </c>
      <c r="E176" s="141" t="s">
        <v>187</v>
      </c>
      <c r="F176" s="141">
        <v>964165</v>
      </c>
      <c r="G176" s="142">
        <v>4.9761857139999996</v>
      </c>
      <c r="H176" s="143"/>
      <c r="I176" s="144">
        <f t="shared" ref="I176" si="705">G176+H176+K175</f>
        <v>-2.8572000001503284E-5</v>
      </c>
      <c r="J176" s="145"/>
      <c r="K176" s="153">
        <f t="shared" si="587"/>
        <v>-2.8572000001503284E-5</v>
      </c>
      <c r="L176" s="155">
        <f t="shared" si="590"/>
        <v>0</v>
      </c>
      <c r="M176" s="429">
        <v>43538</v>
      </c>
      <c r="N176" s="80"/>
      <c r="O176" s="80"/>
      <c r="P176" s="80"/>
      <c r="Q176" s="80"/>
      <c r="R176" s="80"/>
      <c r="S176" s="989"/>
      <c r="T176" s="989"/>
    </row>
    <row r="177" spans="1:21" ht="15" customHeight="1" thickBot="1">
      <c r="A177" s="54">
        <v>159</v>
      </c>
      <c r="B177" s="114">
        <f t="shared" ref="B177" si="706">+B175+$B$19</f>
        <v>80</v>
      </c>
      <c r="C177" s="119" t="s">
        <v>102</v>
      </c>
      <c r="D177" s="120" t="s">
        <v>35</v>
      </c>
      <c r="E177" s="121" t="s">
        <v>188</v>
      </c>
      <c r="F177" s="121">
        <v>16158</v>
      </c>
      <c r="G177" s="126">
        <v>8.6507857139999995</v>
      </c>
      <c r="H177" s="340">
        <v>-13.627000000000001</v>
      </c>
      <c r="I177" s="75">
        <f t="shared" ref="I177" si="707">G177+H177</f>
        <v>-4.9762142860000012</v>
      </c>
      <c r="J177" s="76"/>
      <c r="K177" s="152">
        <f t="shared" si="587"/>
        <v>-4.9762142860000012</v>
      </c>
      <c r="L177" s="154">
        <f t="shared" si="590"/>
        <v>0</v>
      </c>
      <c r="M177" s="429">
        <v>43538</v>
      </c>
      <c r="N177" s="77">
        <f t="shared" ref="N177:O177" si="708">G177+G178</f>
        <v>13.626971427999999</v>
      </c>
      <c r="O177" s="78">
        <f t="shared" si="708"/>
        <v>-13.627000000000001</v>
      </c>
      <c r="P177" s="77">
        <f t="shared" ref="P177" si="709">N177+O177</f>
        <v>-2.8572000001503284E-5</v>
      </c>
      <c r="Q177" s="79">
        <f t="shared" ref="Q177" si="710">J177+J178</f>
        <v>0</v>
      </c>
      <c r="R177" s="77">
        <f t="shared" ref="R177" si="711">P177-Q177</f>
        <v>-2.8572000001503284E-5</v>
      </c>
      <c r="S177" s="988">
        <f t="shared" ref="S177" si="712">Q177/P177</f>
        <v>0</v>
      </c>
      <c r="T177" s="988">
        <f t="shared" si="575"/>
        <v>1.0000020967241439</v>
      </c>
    </row>
    <row r="178" spans="1:21" ht="15" customHeight="1" thickBot="1">
      <c r="A178" s="54">
        <v>160</v>
      </c>
      <c r="B178" s="114">
        <f t="shared" ref="B178" si="713">+B176+$B$20</f>
        <v>80</v>
      </c>
      <c r="C178" s="139" t="s">
        <v>102</v>
      </c>
      <c r="D178" s="140" t="s">
        <v>96</v>
      </c>
      <c r="E178" s="141" t="s">
        <v>188</v>
      </c>
      <c r="F178" s="141">
        <v>16158</v>
      </c>
      <c r="G178" s="142">
        <v>4.9761857139999996</v>
      </c>
      <c r="H178" s="143"/>
      <c r="I178" s="144">
        <f t="shared" ref="I178" si="714">G178+H178+K177</f>
        <v>-2.8572000001503284E-5</v>
      </c>
      <c r="J178" s="145"/>
      <c r="K178" s="153">
        <f t="shared" si="587"/>
        <v>-2.8572000001503284E-5</v>
      </c>
      <c r="L178" s="155">
        <f t="shared" si="590"/>
        <v>0</v>
      </c>
      <c r="M178" s="429">
        <v>43538</v>
      </c>
      <c r="N178" s="80"/>
      <c r="O178" s="80"/>
      <c r="P178" s="80"/>
      <c r="Q178" s="80"/>
      <c r="R178" s="80"/>
      <c r="S178" s="989"/>
      <c r="T178" s="989"/>
    </row>
    <row r="179" spans="1:21" ht="15" customHeight="1" thickBot="1">
      <c r="A179" s="54">
        <v>161</v>
      </c>
      <c r="B179" s="114">
        <f t="shared" ref="B179" si="715">+B177+$B$19</f>
        <v>81</v>
      </c>
      <c r="C179" s="119" t="s">
        <v>102</v>
      </c>
      <c r="D179" s="120" t="s">
        <v>35</v>
      </c>
      <c r="E179" s="121" t="s">
        <v>189</v>
      </c>
      <c r="F179" s="121">
        <v>964675</v>
      </c>
      <c r="G179" s="126">
        <v>8.6507857139999995</v>
      </c>
      <c r="H179" s="340">
        <v>-13.627000000000001</v>
      </c>
      <c r="I179" s="75">
        <f t="shared" ref="I179" si="716">G179+H179</f>
        <v>-4.9762142860000012</v>
      </c>
      <c r="J179" s="76"/>
      <c r="K179" s="152">
        <f t="shared" si="587"/>
        <v>-4.9762142860000012</v>
      </c>
      <c r="L179" s="154">
        <f t="shared" si="590"/>
        <v>0</v>
      </c>
      <c r="M179" s="429">
        <v>43538</v>
      </c>
      <c r="N179" s="77">
        <f t="shared" ref="N179:O179" si="717">G179+G180</f>
        <v>13.626971427999999</v>
      </c>
      <c r="O179" s="78">
        <f t="shared" si="717"/>
        <v>-13.627000000000001</v>
      </c>
      <c r="P179" s="77">
        <f t="shared" ref="P179" si="718">N179+O179</f>
        <v>-2.8572000001503284E-5</v>
      </c>
      <c r="Q179" s="79">
        <f t="shared" ref="Q179" si="719">J179+J180</f>
        <v>0</v>
      </c>
      <c r="R179" s="77">
        <f t="shared" ref="R179" si="720">P179-Q179</f>
        <v>-2.8572000001503284E-5</v>
      </c>
      <c r="S179" s="988">
        <f t="shared" ref="S179" si="721">Q179/P179</f>
        <v>0</v>
      </c>
      <c r="T179" s="988">
        <f t="shared" si="575"/>
        <v>1.0000020967241439</v>
      </c>
    </row>
    <row r="180" spans="1:21" ht="15" customHeight="1" thickBot="1">
      <c r="A180" s="54">
        <v>162</v>
      </c>
      <c r="B180" s="114">
        <f t="shared" ref="B180" si="722">+B178+$B$20</f>
        <v>81</v>
      </c>
      <c r="C180" s="139" t="s">
        <v>102</v>
      </c>
      <c r="D180" s="140" t="s">
        <v>96</v>
      </c>
      <c r="E180" s="141" t="s">
        <v>189</v>
      </c>
      <c r="F180" s="141">
        <v>964675</v>
      </c>
      <c r="G180" s="142">
        <v>4.9761857139999996</v>
      </c>
      <c r="H180" s="143"/>
      <c r="I180" s="144">
        <f t="shared" ref="I180" si="723">G180+H180+K179</f>
        <v>-2.8572000001503284E-5</v>
      </c>
      <c r="J180" s="145"/>
      <c r="K180" s="153">
        <f t="shared" si="587"/>
        <v>-2.8572000001503284E-5</v>
      </c>
      <c r="L180" s="155">
        <f t="shared" si="590"/>
        <v>0</v>
      </c>
      <c r="M180" s="429">
        <v>43538</v>
      </c>
      <c r="N180" s="80"/>
      <c r="O180" s="80"/>
      <c r="P180" s="80"/>
      <c r="Q180" s="80"/>
      <c r="R180" s="80"/>
      <c r="S180" s="989"/>
      <c r="T180" s="989"/>
    </row>
    <row r="181" spans="1:21" ht="15" customHeight="1" thickBot="1">
      <c r="A181" s="54">
        <v>163</v>
      </c>
      <c r="B181" s="114">
        <f t="shared" ref="B181" si="724">+B179+$B$19</f>
        <v>82</v>
      </c>
      <c r="C181" s="119" t="s">
        <v>102</v>
      </c>
      <c r="D181" s="120" t="s">
        <v>35</v>
      </c>
      <c r="E181" s="121" t="s">
        <v>190</v>
      </c>
      <c r="F181" s="121">
        <v>967048</v>
      </c>
      <c r="G181" s="126">
        <v>8.6507857139999995</v>
      </c>
      <c r="H181" s="340">
        <v>-13.627000000000001</v>
      </c>
      <c r="I181" s="75">
        <f t="shared" ref="I181" si="725">G181+H181</f>
        <v>-4.9762142860000012</v>
      </c>
      <c r="J181" s="76"/>
      <c r="K181" s="152">
        <f t="shared" si="587"/>
        <v>-4.9762142860000012</v>
      </c>
      <c r="L181" s="154">
        <f t="shared" si="590"/>
        <v>0</v>
      </c>
      <c r="M181" s="429">
        <v>43538</v>
      </c>
      <c r="N181" s="77">
        <f t="shared" ref="N181:O181" si="726">G181+G182</f>
        <v>13.626971427999999</v>
      </c>
      <c r="O181" s="78">
        <f t="shared" si="726"/>
        <v>-13.627000000000001</v>
      </c>
      <c r="P181" s="77">
        <f t="shared" ref="P181" si="727">N181+O181</f>
        <v>-2.8572000001503284E-5</v>
      </c>
      <c r="Q181" s="79">
        <f t="shared" ref="Q181" si="728">J181+J182</f>
        <v>0</v>
      </c>
      <c r="R181" s="77">
        <f t="shared" ref="R181" si="729">P181-Q181</f>
        <v>-2.8572000001503284E-5</v>
      </c>
      <c r="S181" s="988">
        <f t="shared" ref="S181" si="730">Q181/P181</f>
        <v>0</v>
      </c>
      <c r="T181" s="988">
        <f t="shared" si="575"/>
        <v>1.0000020967241439</v>
      </c>
    </row>
    <row r="182" spans="1:21" ht="15" customHeight="1" thickBot="1">
      <c r="A182" s="54">
        <v>164</v>
      </c>
      <c r="B182" s="114">
        <f t="shared" ref="B182" si="731">+B180+$B$20</f>
        <v>82</v>
      </c>
      <c r="C182" s="139" t="s">
        <v>102</v>
      </c>
      <c r="D182" s="140" t="s">
        <v>96</v>
      </c>
      <c r="E182" s="141" t="s">
        <v>190</v>
      </c>
      <c r="F182" s="141">
        <v>967048</v>
      </c>
      <c r="G182" s="142">
        <v>4.9761857139999996</v>
      </c>
      <c r="H182" s="143"/>
      <c r="I182" s="144">
        <f t="shared" ref="I182" si="732">G182+H182+K181</f>
        <v>-2.8572000001503284E-5</v>
      </c>
      <c r="J182" s="145"/>
      <c r="K182" s="153">
        <f t="shared" si="587"/>
        <v>-2.8572000001503284E-5</v>
      </c>
      <c r="L182" s="155">
        <f t="shared" si="590"/>
        <v>0</v>
      </c>
      <c r="M182" s="429">
        <v>43538</v>
      </c>
      <c r="N182" s="80"/>
      <c r="O182" s="80"/>
      <c r="P182" s="80"/>
      <c r="Q182" s="80"/>
      <c r="R182" s="80"/>
      <c r="S182" s="989"/>
      <c r="T182" s="989"/>
    </row>
    <row r="183" spans="1:21" ht="15" customHeight="1" thickBot="1">
      <c r="A183" s="54">
        <v>165</v>
      </c>
      <c r="B183" s="114">
        <f t="shared" ref="B183" si="733">+B181+$B$19</f>
        <v>83</v>
      </c>
      <c r="C183" s="119" t="s">
        <v>102</v>
      </c>
      <c r="D183" s="120" t="s">
        <v>35</v>
      </c>
      <c r="E183" s="121" t="s">
        <v>191</v>
      </c>
      <c r="F183" s="121">
        <v>963693</v>
      </c>
      <c r="G183" s="126">
        <v>8.6507857139999995</v>
      </c>
      <c r="H183" s="340">
        <v>-13.627000000000001</v>
      </c>
      <c r="I183" s="75">
        <f t="shared" ref="I183" si="734">G183+H183</f>
        <v>-4.9762142860000012</v>
      </c>
      <c r="J183" s="76"/>
      <c r="K183" s="152">
        <f t="shared" si="587"/>
        <v>-4.9762142860000012</v>
      </c>
      <c r="L183" s="154">
        <f t="shared" si="590"/>
        <v>0</v>
      </c>
      <c r="M183" s="429">
        <v>43538</v>
      </c>
      <c r="N183" s="77">
        <f t="shared" ref="N183:O183" si="735">G183+G184</f>
        <v>13.626971427999999</v>
      </c>
      <c r="O183" s="78">
        <f t="shared" si="735"/>
        <v>-13.627000000000001</v>
      </c>
      <c r="P183" s="77">
        <f t="shared" ref="P183" si="736">N183+O183</f>
        <v>-2.8572000001503284E-5</v>
      </c>
      <c r="Q183" s="79">
        <f t="shared" ref="Q183" si="737">J183+J184</f>
        <v>0</v>
      </c>
      <c r="R183" s="77">
        <f t="shared" ref="R183" si="738">P183-Q183</f>
        <v>-2.8572000001503284E-5</v>
      </c>
      <c r="S183" s="988">
        <f t="shared" ref="S183" si="739">Q183/P183</f>
        <v>0</v>
      </c>
      <c r="T183" s="988">
        <f t="shared" si="575"/>
        <v>1.0000020967241439</v>
      </c>
    </row>
    <row r="184" spans="1:21" ht="15" customHeight="1" thickBot="1">
      <c r="A184" s="54">
        <v>166</v>
      </c>
      <c r="B184" s="114">
        <f t="shared" ref="B184" si="740">+B182+$B$20</f>
        <v>83</v>
      </c>
      <c r="C184" s="139" t="s">
        <v>102</v>
      </c>
      <c r="D184" s="140" t="s">
        <v>96</v>
      </c>
      <c r="E184" s="141" t="s">
        <v>191</v>
      </c>
      <c r="F184" s="141">
        <v>963693</v>
      </c>
      <c r="G184" s="142">
        <v>4.9761857139999996</v>
      </c>
      <c r="H184" s="143"/>
      <c r="I184" s="144">
        <f t="shared" ref="I184" si="741">G184+H184+K183</f>
        <v>-2.8572000001503284E-5</v>
      </c>
      <c r="J184" s="145"/>
      <c r="K184" s="153">
        <f t="shared" si="587"/>
        <v>-2.8572000001503284E-5</v>
      </c>
      <c r="L184" s="155">
        <f t="shared" si="590"/>
        <v>0</v>
      </c>
      <c r="M184" s="429">
        <v>43538</v>
      </c>
      <c r="N184" s="80"/>
      <c r="O184" s="80"/>
      <c r="P184" s="80"/>
      <c r="Q184" s="80"/>
      <c r="R184" s="80"/>
      <c r="S184" s="989"/>
      <c r="T184" s="989"/>
    </row>
    <row r="185" spans="1:21" ht="15" customHeight="1" thickBot="1">
      <c r="A185" s="54">
        <v>167</v>
      </c>
      <c r="B185" s="114">
        <f t="shared" ref="B185" si="742">+B183+$B$19</f>
        <v>84</v>
      </c>
      <c r="C185" s="119" t="s">
        <v>102</v>
      </c>
      <c r="D185" s="120" t="s">
        <v>35</v>
      </c>
      <c r="E185" s="121" t="s">
        <v>192</v>
      </c>
      <c r="F185" s="121">
        <v>964163</v>
      </c>
      <c r="G185" s="126">
        <v>8.6507857139999995</v>
      </c>
      <c r="H185" s="340">
        <v>-13.627000000000001</v>
      </c>
      <c r="I185" s="75">
        <f t="shared" ref="I185" si="743">G185+H185</f>
        <v>-4.9762142860000012</v>
      </c>
      <c r="J185" s="76"/>
      <c r="K185" s="152">
        <f t="shared" si="587"/>
        <v>-4.9762142860000012</v>
      </c>
      <c r="L185" s="154">
        <f t="shared" si="590"/>
        <v>0</v>
      </c>
      <c r="M185" s="429">
        <v>43538</v>
      </c>
      <c r="N185" s="77">
        <f t="shared" ref="N185:O185" si="744">G185+G186</f>
        <v>13.626971427999999</v>
      </c>
      <c r="O185" s="78">
        <f t="shared" si="744"/>
        <v>-13.627000000000001</v>
      </c>
      <c r="P185" s="77">
        <f t="shared" ref="P185" si="745">N185+O185</f>
        <v>-2.8572000001503284E-5</v>
      </c>
      <c r="Q185" s="79">
        <f t="shared" ref="Q185" si="746">J185+J186</f>
        <v>0</v>
      </c>
      <c r="R185" s="77">
        <f t="shared" ref="R185" si="747">P185-Q185</f>
        <v>-2.8572000001503284E-5</v>
      </c>
      <c r="S185" s="988">
        <f t="shared" ref="S185" si="748">Q185/P185</f>
        <v>0</v>
      </c>
      <c r="T185" s="988">
        <f t="shared" si="575"/>
        <v>1.0000020967241439</v>
      </c>
    </row>
    <row r="186" spans="1:21" ht="15" customHeight="1" thickBot="1">
      <c r="A186" s="54">
        <v>168</v>
      </c>
      <c r="B186" s="114">
        <f t="shared" ref="B186" si="749">+B184+$B$20</f>
        <v>84</v>
      </c>
      <c r="C186" s="139" t="s">
        <v>102</v>
      </c>
      <c r="D186" s="140" t="s">
        <v>96</v>
      </c>
      <c r="E186" s="141" t="s">
        <v>192</v>
      </c>
      <c r="F186" s="141">
        <v>964163</v>
      </c>
      <c r="G186" s="142">
        <v>4.9761857139999996</v>
      </c>
      <c r="H186" s="143"/>
      <c r="I186" s="144">
        <f t="shared" ref="I186" si="750">G186+H186+K185</f>
        <v>-2.8572000001503284E-5</v>
      </c>
      <c r="J186" s="145"/>
      <c r="K186" s="153">
        <f t="shared" si="587"/>
        <v>-2.8572000001503284E-5</v>
      </c>
      <c r="L186" s="155">
        <f t="shared" si="590"/>
        <v>0</v>
      </c>
      <c r="M186" s="429">
        <v>43538</v>
      </c>
      <c r="N186" s="80"/>
      <c r="O186" s="80"/>
      <c r="P186" s="80"/>
      <c r="Q186" s="80"/>
      <c r="R186" s="80"/>
      <c r="S186" s="989"/>
      <c r="T186" s="989"/>
    </row>
    <row r="187" spans="1:21" ht="15" customHeight="1" thickBot="1">
      <c r="A187" s="54">
        <v>169</v>
      </c>
      <c r="B187" s="114">
        <f t="shared" ref="B187" si="751">+B185+$B$19</f>
        <v>85</v>
      </c>
      <c r="C187" s="119" t="s">
        <v>102</v>
      </c>
      <c r="D187" s="120" t="s">
        <v>35</v>
      </c>
      <c r="E187" s="121" t="s">
        <v>193</v>
      </c>
      <c r="F187" s="121">
        <v>961057</v>
      </c>
      <c r="G187" s="126">
        <v>8.6507857139999995</v>
      </c>
      <c r="H187" s="340">
        <v>-13.627000000000001</v>
      </c>
      <c r="I187" s="75">
        <f t="shared" ref="I187" si="752">G187+H187</f>
        <v>-4.9762142860000012</v>
      </c>
      <c r="J187" s="76"/>
      <c r="K187" s="152">
        <f t="shared" si="587"/>
        <v>-4.9762142860000012</v>
      </c>
      <c r="L187" s="154">
        <f t="shared" si="590"/>
        <v>0</v>
      </c>
      <c r="M187" s="429">
        <v>43538</v>
      </c>
      <c r="N187" s="77">
        <f t="shared" ref="N187:O187" si="753">G187+G188</f>
        <v>13.626971427999999</v>
      </c>
      <c r="O187" s="78">
        <f t="shared" si="753"/>
        <v>-13.627000000000001</v>
      </c>
      <c r="P187" s="77">
        <f t="shared" ref="P187" si="754">N187+O187</f>
        <v>-2.8572000001503284E-5</v>
      </c>
      <c r="Q187" s="79">
        <f t="shared" ref="Q187" si="755">J187+J188</f>
        <v>0</v>
      </c>
      <c r="R187" s="77">
        <f t="shared" ref="R187" si="756">P187-Q187</f>
        <v>-2.8572000001503284E-5</v>
      </c>
      <c r="S187" s="988">
        <f t="shared" ref="S187" si="757">Q187/P187</f>
        <v>0</v>
      </c>
      <c r="T187" s="988">
        <f t="shared" si="575"/>
        <v>1.0000020967241439</v>
      </c>
    </row>
    <row r="188" spans="1:21" ht="15" customHeight="1" thickBot="1">
      <c r="A188" s="54">
        <v>170</v>
      </c>
      <c r="B188" s="114">
        <f t="shared" ref="B188" si="758">+B186+$B$20</f>
        <v>85</v>
      </c>
      <c r="C188" s="139" t="s">
        <v>102</v>
      </c>
      <c r="D188" s="140" t="s">
        <v>96</v>
      </c>
      <c r="E188" s="141" t="s">
        <v>193</v>
      </c>
      <c r="F188" s="141">
        <v>961057</v>
      </c>
      <c r="G188" s="142">
        <v>4.9761857139999996</v>
      </c>
      <c r="H188" s="143"/>
      <c r="I188" s="144">
        <f t="shared" ref="I188" si="759">G188+H188+K187</f>
        <v>-2.8572000001503284E-5</v>
      </c>
      <c r="J188" s="145"/>
      <c r="K188" s="153">
        <f t="shared" si="587"/>
        <v>-2.8572000001503284E-5</v>
      </c>
      <c r="L188" s="155">
        <f t="shared" si="590"/>
        <v>0</v>
      </c>
      <c r="M188" s="429">
        <v>43538</v>
      </c>
      <c r="N188" s="80"/>
      <c r="O188" s="80"/>
      <c r="P188" s="80"/>
      <c r="Q188" s="80"/>
      <c r="R188" s="80"/>
      <c r="S188" s="989"/>
      <c r="T188" s="989"/>
    </row>
    <row r="189" spans="1:21" ht="15" customHeight="1">
      <c r="A189" s="54">
        <v>171</v>
      </c>
      <c r="B189" s="114">
        <f t="shared" ref="B189" si="760">+B187+$B$19</f>
        <v>86</v>
      </c>
      <c r="C189" s="119" t="s">
        <v>102</v>
      </c>
      <c r="D189" s="120" t="s">
        <v>35</v>
      </c>
      <c r="E189" s="121" t="s">
        <v>194</v>
      </c>
      <c r="F189" s="121">
        <v>963230</v>
      </c>
      <c r="G189" s="126">
        <v>8.6507857139999995</v>
      </c>
      <c r="H189" s="383">
        <f>-13.597</f>
        <v>-13.597</v>
      </c>
      <c r="I189" s="75">
        <f t="shared" ref="I189" si="761">G189+H189</f>
        <v>-4.946214286</v>
      </c>
      <c r="J189" s="76"/>
      <c r="K189" s="152">
        <f t="shared" si="587"/>
        <v>-4.946214286</v>
      </c>
      <c r="L189" s="154">
        <f t="shared" si="590"/>
        <v>0</v>
      </c>
      <c r="M189" s="1369">
        <v>43629</v>
      </c>
      <c r="N189" s="77">
        <f t="shared" ref="N189:O189" si="762">G189+G190</f>
        <v>13.626971427999999</v>
      </c>
      <c r="O189" s="78">
        <f t="shared" si="762"/>
        <v>-13.597</v>
      </c>
      <c r="P189" s="77">
        <f t="shared" ref="P189" si="763">N189+O189</f>
        <v>2.9971427999999634E-2</v>
      </c>
      <c r="Q189" s="79">
        <f t="shared" ref="Q189" si="764">J189+J190</f>
        <v>0</v>
      </c>
      <c r="R189" s="77">
        <f t="shared" ref="R189" si="765">P189-Q189</f>
        <v>2.9971427999999634E-2</v>
      </c>
      <c r="S189" s="988">
        <f t="shared" ref="S189" si="766">Q189/P189</f>
        <v>0</v>
      </c>
      <c r="T189" s="988">
        <f t="shared" si="575"/>
        <v>0.99780058040347719</v>
      </c>
      <c r="U189" s="1370"/>
    </row>
    <row r="190" spans="1:21" ht="15" customHeight="1" thickBot="1">
      <c r="A190" s="54">
        <v>172</v>
      </c>
      <c r="B190" s="114">
        <f t="shared" ref="B190" si="767">+B188+$B$20</f>
        <v>86</v>
      </c>
      <c r="C190" s="139" t="s">
        <v>102</v>
      </c>
      <c r="D190" s="140" t="s">
        <v>96</v>
      </c>
      <c r="E190" s="141" t="s">
        <v>194</v>
      </c>
      <c r="F190" s="141">
        <v>963230</v>
      </c>
      <c r="G190" s="142">
        <v>4.9761857139999996</v>
      </c>
      <c r="H190" s="143"/>
      <c r="I190" s="144">
        <f t="shared" ref="I190" si="768">G190+H190+K189</f>
        <v>2.9971427999999634E-2</v>
      </c>
      <c r="J190" s="145"/>
      <c r="K190" s="153">
        <f t="shared" si="587"/>
        <v>2.9971427999999634E-2</v>
      </c>
      <c r="L190" s="155">
        <f t="shared" si="590"/>
        <v>0</v>
      </c>
      <c r="M190" s="437" t="s">
        <v>30</v>
      </c>
      <c r="N190" s="80"/>
      <c r="O190" s="80"/>
      <c r="P190" s="80"/>
      <c r="Q190" s="80"/>
      <c r="R190" s="80"/>
      <c r="S190" s="989"/>
      <c r="T190" s="989"/>
    </row>
    <row r="191" spans="1:21" ht="15" customHeight="1" thickBot="1">
      <c r="A191" s="54">
        <v>173</v>
      </c>
      <c r="B191" s="114">
        <f t="shared" ref="B191" si="769">+B189+$B$19</f>
        <v>87</v>
      </c>
      <c r="C191" s="119" t="s">
        <v>102</v>
      </c>
      <c r="D191" s="120" t="s">
        <v>35</v>
      </c>
      <c r="E191" s="121" t="s">
        <v>195</v>
      </c>
      <c r="F191" s="121">
        <v>966891</v>
      </c>
      <c r="G191" s="126">
        <v>8.6507857139999995</v>
      </c>
      <c r="H191" s="340">
        <v>-13.627000000000001</v>
      </c>
      <c r="I191" s="75">
        <f t="shared" ref="I191" si="770">G191+H191</f>
        <v>-4.9762142860000012</v>
      </c>
      <c r="J191" s="76"/>
      <c r="K191" s="152">
        <f t="shared" si="587"/>
        <v>-4.9762142860000012</v>
      </c>
      <c r="L191" s="154">
        <f t="shared" si="590"/>
        <v>0</v>
      </c>
      <c r="M191" s="429">
        <v>43538</v>
      </c>
      <c r="N191" s="77">
        <f t="shared" ref="N191:O191" si="771">G191+G192</f>
        <v>13.626971427999999</v>
      </c>
      <c r="O191" s="78">
        <f t="shared" si="771"/>
        <v>-13.627000000000001</v>
      </c>
      <c r="P191" s="77">
        <f t="shared" ref="P191" si="772">N191+O191</f>
        <v>-2.8572000001503284E-5</v>
      </c>
      <c r="Q191" s="79">
        <f t="shared" ref="Q191" si="773">J191+J192</f>
        <v>0</v>
      </c>
      <c r="R191" s="77">
        <f t="shared" ref="R191" si="774">P191-Q191</f>
        <v>-2.8572000001503284E-5</v>
      </c>
      <c r="S191" s="988">
        <f t="shared" ref="S191" si="775">Q191/P191</f>
        <v>0</v>
      </c>
      <c r="T191" s="988">
        <f t="shared" si="575"/>
        <v>1.0000020967241439</v>
      </c>
    </row>
    <row r="192" spans="1:21" ht="15" customHeight="1" thickBot="1">
      <c r="A192" s="54">
        <v>174</v>
      </c>
      <c r="B192" s="114">
        <f t="shared" ref="B192" si="776">+B190+$B$20</f>
        <v>87</v>
      </c>
      <c r="C192" s="139" t="s">
        <v>102</v>
      </c>
      <c r="D192" s="140" t="s">
        <v>96</v>
      </c>
      <c r="E192" s="141" t="s">
        <v>195</v>
      </c>
      <c r="F192" s="141">
        <v>966891</v>
      </c>
      <c r="G192" s="142">
        <v>4.9761857139999996</v>
      </c>
      <c r="H192" s="143"/>
      <c r="I192" s="144">
        <f t="shared" ref="I192" si="777">G192+H192+K191</f>
        <v>-2.8572000001503284E-5</v>
      </c>
      <c r="J192" s="145"/>
      <c r="K192" s="153">
        <f t="shared" si="587"/>
        <v>-2.8572000001503284E-5</v>
      </c>
      <c r="L192" s="155">
        <f t="shared" si="590"/>
        <v>0</v>
      </c>
      <c r="M192" s="429">
        <v>43538</v>
      </c>
      <c r="N192" s="80"/>
      <c r="O192" s="80"/>
      <c r="P192" s="80"/>
      <c r="Q192" s="80"/>
      <c r="R192" s="80"/>
      <c r="S192" s="989"/>
      <c r="T192" s="989"/>
    </row>
    <row r="193" spans="1:20" ht="15" customHeight="1" thickBot="1">
      <c r="A193" s="54">
        <v>175</v>
      </c>
      <c r="B193" s="114">
        <f t="shared" ref="B193" si="778">+B191+$B$19</f>
        <v>88</v>
      </c>
      <c r="C193" s="119" t="s">
        <v>102</v>
      </c>
      <c r="D193" s="120" t="s">
        <v>35</v>
      </c>
      <c r="E193" s="121" t="s">
        <v>196</v>
      </c>
      <c r="F193" s="121">
        <v>903768</v>
      </c>
      <c r="G193" s="126">
        <v>8.6507857139999995</v>
      </c>
      <c r="H193" s="382">
        <f>-13.627</f>
        <v>-13.627000000000001</v>
      </c>
      <c r="I193" s="75">
        <f t="shared" ref="I193" si="779">G193+H193</f>
        <v>-4.9762142860000012</v>
      </c>
      <c r="J193" s="76"/>
      <c r="K193" s="152">
        <f t="shared" si="587"/>
        <v>-4.9762142860000012</v>
      </c>
      <c r="L193" s="154">
        <f t="shared" si="590"/>
        <v>0</v>
      </c>
      <c r="M193" s="434">
        <v>43538</v>
      </c>
      <c r="N193" s="77">
        <f t="shared" ref="N193:O193" si="780">G193+G194</f>
        <v>13.626971427999999</v>
      </c>
      <c r="O193" s="78">
        <f t="shared" si="780"/>
        <v>-13.627000000000001</v>
      </c>
      <c r="P193" s="77">
        <f t="shared" ref="P193" si="781">N193+O193</f>
        <v>-2.8572000001503284E-5</v>
      </c>
      <c r="Q193" s="79">
        <f t="shared" ref="Q193" si="782">J193+J194</f>
        <v>0</v>
      </c>
      <c r="R193" s="77">
        <f t="shared" ref="R193" si="783">P193-Q193</f>
        <v>-2.8572000001503284E-5</v>
      </c>
      <c r="S193" s="988">
        <f t="shared" ref="S193" si="784">Q193/P193</f>
        <v>0</v>
      </c>
      <c r="T193" s="988">
        <f t="shared" si="575"/>
        <v>1.0000020967241439</v>
      </c>
    </row>
    <row r="194" spans="1:20" ht="15" customHeight="1" thickBot="1">
      <c r="A194" s="54">
        <v>176</v>
      </c>
      <c r="B194" s="114">
        <f t="shared" ref="B194" si="785">+B192+$B$20</f>
        <v>88</v>
      </c>
      <c r="C194" s="139" t="s">
        <v>102</v>
      </c>
      <c r="D194" s="140" t="s">
        <v>96</v>
      </c>
      <c r="E194" s="141" t="s">
        <v>196</v>
      </c>
      <c r="F194" s="141">
        <v>903768</v>
      </c>
      <c r="G194" s="142">
        <v>4.9761857139999996</v>
      </c>
      <c r="H194" s="143"/>
      <c r="I194" s="144">
        <f t="shared" ref="I194" si="786">G194+H194+K193</f>
        <v>-2.8572000001503284E-5</v>
      </c>
      <c r="J194" s="145"/>
      <c r="K194" s="153">
        <f t="shared" si="587"/>
        <v>-2.8572000001503284E-5</v>
      </c>
      <c r="L194" s="155">
        <f t="shared" si="590"/>
        <v>0</v>
      </c>
      <c r="M194" s="434">
        <v>43538</v>
      </c>
      <c r="N194" s="80"/>
      <c r="O194" s="80"/>
      <c r="P194" s="80"/>
      <c r="Q194" s="80"/>
      <c r="R194" s="80"/>
      <c r="S194" s="989"/>
      <c r="T194" s="989"/>
    </row>
    <row r="195" spans="1:20" ht="15" customHeight="1" thickBot="1">
      <c r="A195" s="54">
        <v>177</v>
      </c>
      <c r="B195" s="114">
        <f t="shared" ref="B195" si="787">+B193+$B$19</f>
        <v>89</v>
      </c>
      <c r="C195" s="119" t="s">
        <v>102</v>
      </c>
      <c r="D195" s="120" t="s">
        <v>35</v>
      </c>
      <c r="E195" s="121" t="s">
        <v>197</v>
      </c>
      <c r="F195" s="121">
        <v>961370</v>
      </c>
      <c r="G195" s="126">
        <v>8.6507857139999995</v>
      </c>
      <c r="H195" s="340">
        <f>-13.627</f>
        <v>-13.627000000000001</v>
      </c>
      <c r="I195" s="75">
        <f t="shared" ref="I195" si="788">G195+H195</f>
        <v>-4.9762142860000012</v>
      </c>
      <c r="J195" s="76"/>
      <c r="K195" s="152">
        <f t="shared" si="587"/>
        <v>-4.9762142860000012</v>
      </c>
      <c r="L195" s="154">
        <f t="shared" si="590"/>
        <v>0</v>
      </c>
      <c r="M195" s="434">
        <v>43538</v>
      </c>
      <c r="N195" s="77">
        <f t="shared" ref="N195:O195" si="789">G195+G196</f>
        <v>13.626971427999999</v>
      </c>
      <c r="O195" s="78">
        <f t="shared" si="789"/>
        <v>-13.627000000000001</v>
      </c>
      <c r="P195" s="77">
        <f t="shared" ref="P195" si="790">N195+O195</f>
        <v>-2.8572000001503284E-5</v>
      </c>
      <c r="Q195" s="79">
        <f t="shared" ref="Q195" si="791">J195+J196</f>
        <v>0</v>
      </c>
      <c r="R195" s="77">
        <f t="shared" ref="R195" si="792">P195-Q195</f>
        <v>-2.8572000001503284E-5</v>
      </c>
      <c r="S195" s="988">
        <f t="shared" ref="S195" si="793">Q195/P195</f>
        <v>0</v>
      </c>
      <c r="T195" s="988">
        <f t="shared" si="575"/>
        <v>1.0000020967241439</v>
      </c>
    </row>
    <row r="196" spans="1:20" ht="15" customHeight="1" thickBot="1">
      <c r="A196" s="54">
        <v>178</v>
      </c>
      <c r="B196" s="114">
        <f t="shared" ref="B196" si="794">+B194+$B$20</f>
        <v>89</v>
      </c>
      <c r="C196" s="139" t="s">
        <v>102</v>
      </c>
      <c r="D196" s="140" t="s">
        <v>96</v>
      </c>
      <c r="E196" s="141" t="s">
        <v>197</v>
      </c>
      <c r="F196" s="141">
        <v>961370</v>
      </c>
      <c r="G196" s="142">
        <v>4.9761857139999996</v>
      </c>
      <c r="H196" s="143"/>
      <c r="I196" s="144">
        <f t="shared" ref="I196" si="795">G196+H196+K195</f>
        <v>-2.8572000001503284E-5</v>
      </c>
      <c r="J196" s="145"/>
      <c r="K196" s="153">
        <f t="shared" si="587"/>
        <v>-2.8572000001503284E-5</v>
      </c>
      <c r="L196" s="155">
        <f t="shared" si="590"/>
        <v>0</v>
      </c>
      <c r="M196" s="434">
        <v>43538</v>
      </c>
      <c r="N196" s="80"/>
      <c r="O196" s="80"/>
      <c r="P196" s="80"/>
      <c r="Q196" s="80"/>
      <c r="R196" s="80"/>
      <c r="S196" s="989"/>
      <c r="T196" s="989"/>
    </row>
    <row r="197" spans="1:20" ht="15" customHeight="1" thickBot="1">
      <c r="A197" s="54">
        <v>179</v>
      </c>
      <c r="B197" s="114">
        <f t="shared" ref="B197" si="796">+B195+$B$19</f>
        <v>90</v>
      </c>
      <c r="C197" s="119" t="s">
        <v>102</v>
      </c>
      <c r="D197" s="120" t="s">
        <v>35</v>
      </c>
      <c r="E197" s="121" t="s">
        <v>198</v>
      </c>
      <c r="F197" s="121">
        <v>960671</v>
      </c>
      <c r="G197" s="126">
        <v>8.6507857139999995</v>
      </c>
      <c r="H197" s="340">
        <v>-13.627000000000001</v>
      </c>
      <c r="I197" s="75">
        <f t="shared" ref="I197" si="797">G197+H197</f>
        <v>-4.9762142860000012</v>
      </c>
      <c r="J197" s="76"/>
      <c r="K197" s="152">
        <f t="shared" si="587"/>
        <v>-4.9762142860000012</v>
      </c>
      <c r="L197" s="154">
        <f t="shared" si="590"/>
        <v>0</v>
      </c>
      <c r="M197" s="429">
        <v>43538</v>
      </c>
      <c r="N197" s="77">
        <f t="shared" ref="N197:O197" si="798">G197+G198</f>
        <v>13.626971427999999</v>
      </c>
      <c r="O197" s="78">
        <f t="shared" si="798"/>
        <v>-13.627000000000001</v>
      </c>
      <c r="P197" s="77">
        <f t="shared" ref="P197" si="799">N197+O197</f>
        <v>-2.8572000001503284E-5</v>
      </c>
      <c r="Q197" s="79">
        <f t="shared" ref="Q197" si="800">J197+J198</f>
        <v>0</v>
      </c>
      <c r="R197" s="77">
        <f t="shared" ref="R197" si="801">P197-Q197</f>
        <v>-2.8572000001503284E-5</v>
      </c>
      <c r="S197" s="988">
        <f t="shared" ref="S197" si="802">Q197/P197</f>
        <v>0</v>
      </c>
      <c r="T197" s="988">
        <f t="shared" si="575"/>
        <v>1.0000020967241439</v>
      </c>
    </row>
    <row r="198" spans="1:20" ht="15" customHeight="1" thickBot="1">
      <c r="A198" s="54">
        <v>180</v>
      </c>
      <c r="B198" s="114">
        <f t="shared" ref="B198" si="803">+B196+$B$20</f>
        <v>90</v>
      </c>
      <c r="C198" s="139" t="s">
        <v>102</v>
      </c>
      <c r="D198" s="140" t="s">
        <v>96</v>
      </c>
      <c r="E198" s="141" t="s">
        <v>198</v>
      </c>
      <c r="F198" s="141">
        <v>960671</v>
      </c>
      <c r="G198" s="142">
        <v>4.9761857139999996</v>
      </c>
      <c r="H198" s="143"/>
      <c r="I198" s="144">
        <f t="shared" ref="I198" si="804">G198+H198+K197</f>
        <v>-2.8572000001503284E-5</v>
      </c>
      <c r="J198" s="145"/>
      <c r="K198" s="153">
        <f t="shared" si="587"/>
        <v>-2.8572000001503284E-5</v>
      </c>
      <c r="L198" s="155">
        <f t="shared" si="590"/>
        <v>0</v>
      </c>
      <c r="M198" s="429">
        <v>43538</v>
      </c>
      <c r="N198" s="80"/>
      <c r="O198" s="80"/>
      <c r="P198" s="80"/>
      <c r="Q198" s="80"/>
      <c r="R198" s="80"/>
      <c r="S198" s="989"/>
      <c r="T198" s="989"/>
    </row>
    <row r="199" spans="1:20" ht="15" customHeight="1" thickBot="1">
      <c r="A199" s="54">
        <v>181</v>
      </c>
      <c r="B199" s="114">
        <f t="shared" ref="B199" si="805">+B197+$B$19</f>
        <v>91</v>
      </c>
      <c r="C199" s="119" t="s">
        <v>102</v>
      </c>
      <c r="D199" s="120" t="s">
        <v>35</v>
      </c>
      <c r="E199" s="121" t="s">
        <v>199</v>
      </c>
      <c r="F199" s="121">
        <v>90876</v>
      </c>
      <c r="G199" s="126">
        <v>8.6507857139999995</v>
      </c>
      <c r="H199" s="340">
        <v>-13.627000000000001</v>
      </c>
      <c r="I199" s="75">
        <f t="shared" ref="I199" si="806">G199+H199</f>
        <v>-4.9762142860000012</v>
      </c>
      <c r="J199" s="76"/>
      <c r="K199" s="152">
        <f t="shared" si="587"/>
        <v>-4.9762142860000012</v>
      </c>
      <c r="L199" s="154">
        <f t="shared" si="590"/>
        <v>0</v>
      </c>
      <c r="M199" s="429">
        <v>43538</v>
      </c>
      <c r="N199" s="77">
        <f t="shared" ref="N199:O199" si="807">G199+G200</f>
        <v>13.626971427999999</v>
      </c>
      <c r="O199" s="78">
        <f t="shared" si="807"/>
        <v>-13.627000000000001</v>
      </c>
      <c r="P199" s="77">
        <f t="shared" ref="P199" si="808">N199+O199</f>
        <v>-2.8572000001503284E-5</v>
      </c>
      <c r="Q199" s="79">
        <f t="shared" ref="Q199" si="809">J199+J200</f>
        <v>0</v>
      </c>
      <c r="R199" s="77">
        <f t="shared" ref="R199" si="810">P199-Q199</f>
        <v>-2.8572000001503284E-5</v>
      </c>
      <c r="S199" s="988">
        <f t="shared" ref="S199" si="811">Q199/P199</f>
        <v>0</v>
      </c>
      <c r="T199" s="988">
        <f t="shared" si="575"/>
        <v>1.0000020967241439</v>
      </c>
    </row>
    <row r="200" spans="1:20" ht="15" customHeight="1" thickBot="1">
      <c r="A200" s="54">
        <v>182</v>
      </c>
      <c r="B200" s="114">
        <f t="shared" ref="B200" si="812">+B198+$B$20</f>
        <v>91</v>
      </c>
      <c r="C200" s="139" t="s">
        <v>102</v>
      </c>
      <c r="D200" s="140" t="s">
        <v>96</v>
      </c>
      <c r="E200" s="141" t="s">
        <v>199</v>
      </c>
      <c r="F200" s="141">
        <v>90876</v>
      </c>
      <c r="G200" s="142">
        <v>4.9761857139999996</v>
      </c>
      <c r="H200" s="143"/>
      <c r="I200" s="144">
        <f t="shared" ref="I200" si="813">G200+H200+K199</f>
        <v>-2.8572000001503284E-5</v>
      </c>
      <c r="J200" s="145"/>
      <c r="K200" s="153">
        <f t="shared" si="587"/>
        <v>-2.8572000001503284E-5</v>
      </c>
      <c r="L200" s="155">
        <f t="shared" si="590"/>
        <v>0</v>
      </c>
      <c r="M200" s="429">
        <v>43538</v>
      </c>
      <c r="N200" s="80"/>
      <c r="O200" s="80"/>
      <c r="P200" s="80"/>
      <c r="Q200" s="80"/>
      <c r="R200" s="80"/>
      <c r="S200" s="989"/>
      <c r="T200" s="989"/>
    </row>
    <row r="201" spans="1:20" ht="15" customHeight="1" thickBot="1">
      <c r="A201" s="54">
        <v>183</v>
      </c>
      <c r="B201" s="114">
        <f t="shared" ref="B201" si="814">+B199+$B$19</f>
        <v>92</v>
      </c>
      <c r="C201" s="119" t="s">
        <v>102</v>
      </c>
      <c r="D201" s="120" t="s">
        <v>35</v>
      </c>
      <c r="E201" s="121" t="s">
        <v>200</v>
      </c>
      <c r="F201" s="121">
        <v>926458</v>
      </c>
      <c r="G201" s="126">
        <v>8.6507857139999995</v>
      </c>
      <c r="H201" s="382">
        <f>-13.627</f>
        <v>-13.627000000000001</v>
      </c>
      <c r="I201" s="75">
        <f t="shared" ref="I201" si="815">G201+H201</f>
        <v>-4.9762142860000012</v>
      </c>
      <c r="J201" s="76"/>
      <c r="K201" s="152">
        <f t="shared" si="587"/>
        <v>-4.9762142860000012</v>
      </c>
      <c r="L201" s="154">
        <f t="shared" si="590"/>
        <v>0</v>
      </c>
      <c r="M201" s="434">
        <v>43538</v>
      </c>
      <c r="N201" s="77">
        <f t="shared" ref="N201:O201" si="816">G201+G202</f>
        <v>13.626971427999999</v>
      </c>
      <c r="O201" s="78">
        <f t="shared" si="816"/>
        <v>-13.627000000000001</v>
      </c>
      <c r="P201" s="77">
        <f t="shared" ref="P201" si="817">N201+O201</f>
        <v>-2.8572000001503284E-5</v>
      </c>
      <c r="Q201" s="79">
        <f t="shared" ref="Q201" si="818">J201+J202</f>
        <v>0</v>
      </c>
      <c r="R201" s="77">
        <f t="shared" ref="R201" si="819">P201-Q201</f>
        <v>-2.8572000001503284E-5</v>
      </c>
      <c r="S201" s="988">
        <f t="shared" ref="S201" si="820">Q201/P201</f>
        <v>0</v>
      </c>
      <c r="T201" s="988">
        <f t="shared" si="575"/>
        <v>1.0000020967241439</v>
      </c>
    </row>
    <row r="202" spans="1:20" ht="15" customHeight="1" thickBot="1">
      <c r="A202" s="54">
        <v>184</v>
      </c>
      <c r="B202" s="114">
        <f t="shared" ref="B202" si="821">+B200+$B$20</f>
        <v>92</v>
      </c>
      <c r="C202" s="139" t="s">
        <v>102</v>
      </c>
      <c r="D202" s="140" t="s">
        <v>96</v>
      </c>
      <c r="E202" s="141" t="s">
        <v>200</v>
      </c>
      <c r="F202" s="141">
        <v>926458</v>
      </c>
      <c r="G202" s="142">
        <v>4.9761857139999996</v>
      </c>
      <c r="H202" s="143"/>
      <c r="I202" s="144">
        <f t="shared" ref="I202" si="822">G202+H202+K201</f>
        <v>-2.8572000001503284E-5</v>
      </c>
      <c r="J202" s="145"/>
      <c r="K202" s="153">
        <f t="shared" si="587"/>
        <v>-2.8572000001503284E-5</v>
      </c>
      <c r="L202" s="155">
        <f t="shared" si="590"/>
        <v>0</v>
      </c>
      <c r="M202" s="434">
        <v>43538</v>
      </c>
      <c r="N202" s="80"/>
      <c r="O202" s="80"/>
      <c r="P202" s="80"/>
      <c r="Q202" s="80"/>
      <c r="R202" s="80"/>
      <c r="S202" s="989"/>
      <c r="T202" s="989"/>
    </row>
    <row r="203" spans="1:20" ht="15" customHeight="1" thickBot="1">
      <c r="A203" s="54">
        <v>185</v>
      </c>
      <c r="B203" s="114">
        <f t="shared" ref="B203" si="823">+B201+$B$19</f>
        <v>93</v>
      </c>
      <c r="C203" s="119" t="s">
        <v>102</v>
      </c>
      <c r="D203" s="120" t="s">
        <v>35</v>
      </c>
      <c r="E203" s="121" t="s">
        <v>201</v>
      </c>
      <c r="F203" s="121">
        <v>950318</v>
      </c>
      <c r="G203" s="126">
        <v>8.6507857139999995</v>
      </c>
      <c r="H203" s="382">
        <f>-13.627</f>
        <v>-13.627000000000001</v>
      </c>
      <c r="I203" s="75">
        <f t="shared" ref="I203" si="824">G203+H203</f>
        <v>-4.9762142860000012</v>
      </c>
      <c r="J203" s="76"/>
      <c r="K203" s="152">
        <f t="shared" si="587"/>
        <v>-4.9762142860000012</v>
      </c>
      <c r="L203" s="154">
        <f t="shared" si="590"/>
        <v>0</v>
      </c>
      <c r="M203" s="434">
        <v>43538</v>
      </c>
      <c r="N203" s="77">
        <f t="shared" ref="N203:O203" si="825">G203+G204</f>
        <v>13.626971427999999</v>
      </c>
      <c r="O203" s="78">
        <f t="shared" si="825"/>
        <v>-13.627000000000001</v>
      </c>
      <c r="P203" s="77">
        <f t="shared" ref="P203" si="826">N203+O203</f>
        <v>-2.8572000001503284E-5</v>
      </c>
      <c r="Q203" s="79">
        <f t="shared" ref="Q203" si="827">J203+J204</f>
        <v>0</v>
      </c>
      <c r="R203" s="77">
        <f t="shared" ref="R203" si="828">P203-Q203</f>
        <v>-2.8572000001503284E-5</v>
      </c>
      <c r="S203" s="988">
        <f t="shared" ref="S203" si="829">Q203/P203</f>
        <v>0</v>
      </c>
      <c r="T203" s="988">
        <f t="shared" si="575"/>
        <v>1.0000020967241439</v>
      </c>
    </row>
    <row r="204" spans="1:20" ht="15" customHeight="1" thickBot="1">
      <c r="A204" s="54">
        <v>186</v>
      </c>
      <c r="B204" s="114">
        <f t="shared" ref="B204" si="830">+B202+$B$20</f>
        <v>93</v>
      </c>
      <c r="C204" s="139" t="s">
        <v>102</v>
      </c>
      <c r="D204" s="140" t="s">
        <v>96</v>
      </c>
      <c r="E204" s="141" t="s">
        <v>201</v>
      </c>
      <c r="F204" s="141">
        <v>950318</v>
      </c>
      <c r="G204" s="142">
        <v>4.9761857139999996</v>
      </c>
      <c r="H204" s="143"/>
      <c r="I204" s="144">
        <f t="shared" ref="I204" si="831">G204+H204+K203</f>
        <v>-2.8572000001503284E-5</v>
      </c>
      <c r="J204" s="145"/>
      <c r="K204" s="153">
        <f t="shared" si="587"/>
        <v>-2.8572000001503284E-5</v>
      </c>
      <c r="L204" s="155">
        <f t="shared" si="590"/>
        <v>0</v>
      </c>
      <c r="M204" s="434">
        <v>43538</v>
      </c>
      <c r="N204" s="80"/>
      <c r="O204" s="80"/>
      <c r="P204" s="80"/>
      <c r="Q204" s="80"/>
      <c r="R204" s="80"/>
      <c r="S204" s="989"/>
      <c r="T204" s="989"/>
    </row>
    <row r="205" spans="1:20" ht="15" customHeight="1" thickBot="1">
      <c r="A205" s="54">
        <v>187</v>
      </c>
      <c r="B205" s="114">
        <f t="shared" ref="B205" si="832">+B203+$B$19</f>
        <v>94</v>
      </c>
      <c r="C205" s="119" t="s">
        <v>102</v>
      </c>
      <c r="D205" s="120" t="s">
        <v>35</v>
      </c>
      <c r="E205" s="121" t="s">
        <v>152</v>
      </c>
      <c r="F205" s="121">
        <v>918732</v>
      </c>
      <c r="G205" s="126">
        <v>8.6507857139999995</v>
      </c>
      <c r="H205" s="340">
        <v>-13.627000000000001</v>
      </c>
      <c r="I205" s="75">
        <f t="shared" ref="I205" si="833">G205+H205</f>
        <v>-4.9762142860000012</v>
      </c>
      <c r="J205" s="76"/>
      <c r="K205" s="152">
        <f t="shared" si="587"/>
        <v>-4.9762142860000012</v>
      </c>
      <c r="L205" s="154">
        <f t="shared" si="590"/>
        <v>0</v>
      </c>
      <c r="M205" s="429">
        <v>43538</v>
      </c>
      <c r="N205" s="77">
        <f t="shared" ref="N205:O205" si="834">G205+G206</f>
        <v>13.626971427999999</v>
      </c>
      <c r="O205" s="78">
        <f t="shared" si="834"/>
        <v>-13.627000000000001</v>
      </c>
      <c r="P205" s="77">
        <f t="shared" ref="P205" si="835">N205+O205</f>
        <v>-2.8572000001503284E-5</v>
      </c>
      <c r="Q205" s="79">
        <f t="shared" ref="Q205" si="836">J205+J206</f>
        <v>0</v>
      </c>
      <c r="R205" s="77">
        <f t="shared" ref="R205" si="837">P205-Q205</f>
        <v>-2.8572000001503284E-5</v>
      </c>
      <c r="S205" s="988">
        <f t="shared" ref="S205" si="838">Q205/P205</f>
        <v>0</v>
      </c>
      <c r="T205" s="988">
        <f t="shared" si="575"/>
        <v>1.0000020967241439</v>
      </c>
    </row>
    <row r="206" spans="1:20" ht="15" customHeight="1" thickBot="1">
      <c r="A206" s="54">
        <v>188</v>
      </c>
      <c r="B206" s="114">
        <f t="shared" ref="B206" si="839">+B204+$B$20</f>
        <v>94</v>
      </c>
      <c r="C206" s="139" t="s">
        <v>102</v>
      </c>
      <c r="D206" s="140" t="s">
        <v>96</v>
      </c>
      <c r="E206" s="141" t="s">
        <v>152</v>
      </c>
      <c r="F206" s="141">
        <v>918732</v>
      </c>
      <c r="G206" s="142">
        <v>4.9761857139999996</v>
      </c>
      <c r="H206" s="143"/>
      <c r="I206" s="144">
        <f t="shared" ref="I206" si="840">G206+H206+K205</f>
        <v>-2.8572000001503284E-5</v>
      </c>
      <c r="J206" s="145"/>
      <c r="K206" s="153">
        <f t="shared" si="587"/>
        <v>-2.8572000001503284E-5</v>
      </c>
      <c r="L206" s="155">
        <f t="shared" si="590"/>
        <v>0</v>
      </c>
      <c r="M206" s="429">
        <v>43538</v>
      </c>
      <c r="N206" s="80"/>
      <c r="O206" s="80"/>
      <c r="P206" s="80"/>
      <c r="Q206" s="80"/>
      <c r="R206" s="80"/>
      <c r="S206" s="989"/>
      <c r="T206" s="989"/>
    </row>
    <row r="207" spans="1:20" ht="15" customHeight="1" thickBot="1">
      <c r="A207" s="54">
        <v>189</v>
      </c>
      <c r="B207" s="114">
        <f t="shared" ref="B207" si="841">+B205+$B$19</f>
        <v>95</v>
      </c>
      <c r="C207" s="119" t="s">
        <v>102</v>
      </c>
      <c r="D207" s="120" t="s">
        <v>35</v>
      </c>
      <c r="E207" s="121" t="s">
        <v>202</v>
      </c>
      <c r="F207" s="121">
        <v>954192</v>
      </c>
      <c r="G207" s="126">
        <v>8.6507857139999995</v>
      </c>
      <c r="H207" s="340">
        <v>-13.627000000000001</v>
      </c>
      <c r="I207" s="75">
        <f t="shared" ref="I207" si="842">G207+H207</f>
        <v>-4.9762142860000012</v>
      </c>
      <c r="J207" s="76"/>
      <c r="K207" s="152">
        <f t="shared" si="587"/>
        <v>-4.9762142860000012</v>
      </c>
      <c r="L207" s="154">
        <f t="shared" si="590"/>
        <v>0</v>
      </c>
      <c r="M207" s="429">
        <v>43538</v>
      </c>
      <c r="N207" s="77">
        <f t="shared" ref="N207:O207" si="843">G207+G208</f>
        <v>13.626971427999999</v>
      </c>
      <c r="O207" s="78">
        <f t="shared" si="843"/>
        <v>-13.627000000000001</v>
      </c>
      <c r="P207" s="77">
        <f t="shared" ref="P207" si="844">N207+O207</f>
        <v>-2.8572000001503284E-5</v>
      </c>
      <c r="Q207" s="79">
        <f t="shared" ref="Q207" si="845">J207+J208</f>
        <v>0</v>
      </c>
      <c r="R207" s="77">
        <f t="shared" ref="R207" si="846">P207-Q207</f>
        <v>-2.8572000001503284E-5</v>
      </c>
      <c r="S207" s="988">
        <f t="shared" ref="S207" si="847">Q207/P207</f>
        <v>0</v>
      </c>
      <c r="T207" s="988">
        <f t="shared" si="575"/>
        <v>1.0000020967241439</v>
      </c>
    </row>
    <row r="208" spans="1:20" ht="15" customHeight="1" thickBot="1">
      <c r="A208" s="54">
        <v>190</v>
      </c>
      <c r="B208" s="114">
        <f t="shared" ref="B208" si="848">+B206+$B$20</f>
        <v>95</v>
      </c>
      <c r="C208" s="139" t="s">
        <v>102</v>
      </c>
      <c r="D208" s="140" t="s">
        <v>96</v>
      </c>
      <c r="E208" s="141" t="s">
        <v>202</v>
      </c>
      <c r="F208" s="141">
        <v>954192</v>
      </c>
      <c r="G208" s="142">
        <v>4.9761857139999996</v>
      </c>
      <c r="H208" s="143"/>
      <c r="I208" s="144">
        <f t="shared" ref="I208" si="849">G208+H208+K207</f>
        <v>-2.8572000001503284E-5</v>
      </c>
      <c r="J208" s="145"/>
      <c r="K208" s="153">
        <f t="shared" si="587"/>
        <v>-2.8572000001503284E-5</v>
      </c>
      <c r="L208" s="155">
        <f t="shared" si="590"/>
        <v>0</v>
      </c>
      <c r="M208" s="429">
        <v>43538</v>
      </c>
      <c r="N208" s="80"/>
      <c r="O208" s="80"/>
      <c r="P208" s="80"/>
      <c r="Q208" s="80"/>
      <c r="R208" s="80"/>
      <c r="S208" s="989"/>
      <c r="T208" s="989"/>
    </row>
    <row r="209" spans="1:21" ht="15" customHeight="1" thickBot="1">
      <c r="A209" s="54">
        <v>191</v>
      </c>
      <c r="B209" s="114">
        <f t="shared" ref="B209" si="850">+B207+$B$19</f>
        <v>96</v>
      </c>
      <c r="C209" s="119" t="s">
        <v>102</v>
      </c>
      <c r="D209" s="120" t="s">
        <v>35</v>
      </c>
      <c r="E209" s="121" t="s">
        <v>203</v>
      </c>
      <c r="F209" s="121">
        <v>903901</v>
      </c>
      <c r="G209" s="126">
        <v>8.6507857139999995</v>
      </c>
      <c r="H209" s="340">
        <v>-13.627000000000001</v>
      </c>
      <c r="I209" s="75">
        <f t="shared" ref="I209" si="851">G209+H209</f>
        <v>-4.9762142860000012</v>
      </c>
      <c r="J209" s="76"/>
      <c r="K209" s="152">
        <f t="shared" si="587"/>
        <v>-4.9762142860000012</v>
      </c>
      <c r="L209" s="154">
        <f t="shared" si="590"/>
        <v>0</v>
      </c>
      <c r="M209" s="429">
        <v>43538</v>
      </c>
      <c r="N209" s="77">
        <f t="shared" ref="N209:O209" si="852">G209+G210</f>
        <v>13.626971427999999</v>
      </c>
      <c r="O209" s="78">
        <f t="shared" si="852"/>
        <v>-13.627000000000001</v>
      </c>
      <c r="P209" s="77">
        <f t="shared" ref="P209" si="853">N209+O209</f>
        <v>-2.8572000001503284E-5</v>
      </c>
      <c r="Q209" s="79">
        <f t="shared" ref="Q209" si="854">J209+J210</f>
        <v>0</v>
      </c>
      <c r="R209" s="77">
        <f t="shared" ref="R209" si="855">P209-Q209</f>
        <v>-2.8572000001503284E-5</v>
      </c>
      <c r="S209" s="988">
        <f t="shared" ref="S209" si="856">Q209/P209</f>
        <v>0</v>
      </c>
      <c r="T209" s="988">
        <f t="shared" si="575"/>
        <v>1.0000020967241439</v>
      </c>
    </row>
    <row r="210" spans="1:21" ht="15" customHeight="1" thickBot="1">
      <c r="A210" s="54">
        <v>192</v>
      </c>
      <c r="B210" s="114">
        <f t="shared" ref="B210" si="857">+B208+$B$20</f>
        <v>96</v>
      </c>
      <c r="C210" s="139" t="s">
        <v>102</v>
      </c>
      <c r="D210" s="140" t="s">
        <v>96</v>
      </c>
      <c r="E210" s="141" t="s">
        <v>203</v>
      </c>
      <c r="F210" s="141">
        <v>903901</v>
      </c>
      <c r="G210" s="142">
        <v>4.9761857139999996</v>
      </c>
      <c r="H210" s="143"/>
      <c r="I210" s="144">
        <f t="shared" ref="I210" si="858">G210+H210+K209</f>
        <v>-2.8572000001503284E-5</v>
      </c>
      <c r="J210" s="145"/>
      <c r="K210" s="153">
        <f t="shared" si="587"/>
        <v>-2.8572000001503284E-5</v>
      </c>
      <c r="L210" s="155">
        <f t="shared" si="590"/>
        <v>0</v>
      </c>
      <c r="M210" s="429">
        <v>43538</v>
      </c>
      <c r="N210" s="80"/>
      <c r="O210" s="80"/>
      <c r="P210" s="80"/>
      <c r="Q210" s="80"/>
      <c r="R210" s="80"/>
      <c r="S210" s="989"/>
      <c r="T210" s="989"/>
    </row>
    <row r="211" spans="1:21" ht="15" customHeight="1" thickBot="1">
      <c r="A211" s="54">
        <v>193</v>
      </c>
      <c r="B211" s="114">
        <f t="shared" ref="B211" si="859">+B209+$B$19</f>
        <v>97</v>
      </c>
      <c r="C211" s="119" t="s">
        <v>102</v>
      </c>
      <c r="D211" s="120" t="s">
        <v>35</v>
      </c>
      <c r="E211" s="121" t="s">
        <v>204</v>
      </c>
      <c r="F211" s="121">
        <v>961535</v>
      </c>
      <c r="G211" s="126">
        <v>8.6507857139999995</v>
      </c>
      <c r="H211" s="340">
        <v>-13.627000000000001</v>
      </c>
      <c r="I211" s="75">
        <f t="shared" ref="I211" si="860">G211+H211</f>
        <v>-4.9762142860000012</v>
      </c>
      <c r="J211" s="76"/>
      <c r="K211" s="152">
        <f t="shared" si="587"/>
        <v>-4.9762142860000012</v>
      </c>
      <c r="L211" s="154">
        <f t="shared" si="590"/>
        <v>0</v>
      </c>
      <c r="M211" s="429">
        <v>43538</v>
      </c>
      <c r="N211" s="77">
        <f t="shared" ref="N211:O211" si="861">G211+G212</f>
        <v>13.626971427999999</v>
      </c>
      <c r="O211" s="78">
        <f t="shared" si="861"/>
        <v>-13.627000000000001</v>
      </c>
      <c r="P211" s="77">
        <f t="shared" ref="P211" si="862">N211+O211</f>
        <v>-2.8572000001503284E-5</v>
      </c>
      <c r="Q211" s="79">
        <f t="shared" ref="Q211" si="863">J211+J212</f>
        <v>0</v>
      </c>
      <c r="R211" s="77">
        <f t="shared" ref="R211" si="864">P211-Q211</f>
        <v>-2.8572000001503284E-5</v>
      </c>
      <c r="S211" s="988">
        <f t="shared" ref="S211" si="865">Q211/P211</f>
        <v>0</v>
      </c>
      <c r="T211" s="988">
        <f t="shared" ref="T211:T213" si="866">((Q211+O211)/N211)*-1</f>
        <v>1.0000020967241439</v>
      </c>
    </row>
    <row r="212" spans="1:21" ht="15" customHeight="1" thickBot="1">
      <c r="A212" s="54">
        <v>194</v>
      </c>
      <c r="B212" s="114">
        <f t="shared" ref="B212" si="867">+B210+$B$20</f>
        <v>97</v>
      </c>
      <c r="C212" s="139" t="s">
        <v>102</v>
      </c>
      <c r="D212" s="140" t="s">
        <v>96</v>
      </c>
      <c r="E212" s="141" t="s">
        <v>204</v>
      </c>
      <c r="F212" s="141">
        <v>961535</v>
      </c>
      <c r="G212" s="142">
        <v>4.9761857139999996</v>
      </c>
      <c r="H212" s="143"/>
      <c r="I212" s="144">
        <f t="shared" ref="I212" si="868">G212+H212+K211</f>
        <v>-2.8572000001503284E-5</v>
      </c>
      <c r="J212" s="145"/>
      <c r="K212" s="153">
        <f t="shared" si="587"/>
        <v>-2.8572000001503284E-5</v>
      </c>
      <c r="L212" s="155">
        <f t="shared" si="590"/>
        <v>0</v>
      </c>
      <c r="M212" s="429">
        <v>43538</v>
      </c>
      <c r="N212" s="80"/>
      <c r="O212" s="80"/>
      <c r="P212" s="80"/>
      <c r="Q212" s="80"/>
      <c r="R212" s="80"/>
      <c r="S212" s="989"/>
      <c r="T212" s="989"/>
    </row>
    <row r="213" spans="1:21" ht="15" customHeight="1">
      <c r="A213" s="54">
        <v>195</v>
      </c>
      <c r="B213" s="114">
        <f t="shared" ref="B213" si="869">+B211+$B$19</f>
        <v>98</v>
      </c>
      <c r="C213" s="119" t="s">
        <v>102</v>
      </c>
      <c r="D213" s="120" t="s">
        <v>35</v>
      </c>
      <c r="E213" s="121" t="s">
        <v>205</v>
      </c>
      <c r="F213" s="121">
        <v>961104</v>
      </c>
      <c r="G213" s="126">
        <v>8.6507857139999995</v>
      </c>
      <c r="H213" s="383">
        <f>-11.627</f>
        <v>-11.627000000000001</v>
      </c>
      <c r="I213" s="75">
        <f t="shared" ref="I213" si="870">G213+H213</f>
        <v>-2.9762142860000012</v>
      </c>
      <c r="J213" s="76"/>
      <c r="K213" s="152">
        <f t="shared" si="587"/>
        <v>-2.9762142860000012</v>
      </c>
      <c r="L213" s="154">
        <f t="shared" si="590"/>
        <v>0</v>
      </c>
      <c r="M213" s="1369">
        <v>43629</v>
      </c>
      <c r="N213" s="77">
        <f t="shared" ref="N213:O213" si="871">G213+G214</f>
        <v>13.626971427999999</v>
      </c>
      <c r="O213" s="78">
        <f t="shared" si="871"/>
        <v>-11.627000000000001</v>
      </c>
      <c r="P213" s="77">
        <f t="shared" ref="P213" si="872">N213+O213</f>
        <v>1.9999714279999985</v>
      </c>
      <c r="Q213" s="79">
        <f t="shared" ref="Q213" si="873">J213+J214</f>
        <v>0</v>
      </c>
      <c r="R213" s="77">
        <f t="shared" ref="R213" si="874">P213-Q213</f>
        <v>1.9999714279999985</v>
      </c>
      <c r="S213" s="988">
        <f t="shared" ref="S213" si="875">Q213/P213</f>
        <v>0</v>
      </c>
      <c r="T213" s="988">
        <f t="shared" si="866"/>
        <v>0.8532343420130345</v>
      </c>
      <c r="U213" s="1370"/>
    </row>
    <row r="214" spans="1:21" ht="15" customHeight="1" thickBot="1">
      <c r="A214" s="54">
        <v>196</v>
      </c>
      <c r="B214" s="114">
        <f t="shared" ref="B214" si="876">+B212+$B$20</f>
        <v>98</v>
      </c>
      <c r="C214" s="139" t="s">
        <v>102</v>
      </c>
      <c r="D214" s="140" t="s">
        <v>96</v>
      </c>
      <c r="E214" s="141" t="s">
        <v>205</v>
      </c>
      <c r="F214" s="141">
        <v>961104</v>
      </c>
      <c r="G214" s="142">
        <v>4.9761857139999996</v>
      </c>
      <c r="H214" s="143"/>
      <c r="I214" s="144">
        <f t="shared" ref="I214" si="877">G214+H214+K213</f>
        <v>1.9999714279999985</v>
      </c>
      <c r="J214" s="145"/>
      <c r="K214" s="153">
        <f t="shared" ref="K214:K272" si="878">I214-J214</f>
        <v>1.9999714279999985</v>
      </c>
      <c r="L214" s="155">
        <f t="shared" si="590"/>
        <v>0</v>
      </c>
      <c r="M214" s="430" t="s">
        <v>30</v>
      </c>
      <c r="N214" s="80"/>
      <c r="O214" s="80"/>
      <c r="P214" s="80"/>
      <c r="Q214" s="80"/>
      <c r="R214" s="80"/>
      <c r="S214" s="989"/>
      <c r="T214" s="989"/>
    </row>
    <row r="215" spans="1:21" ht="15" customHeight="1" thickBot="1">
      <c r="A215" s="54">
        <v>197</v>
      </c>
      <c r="B215" s="114">
        <f t="shared" ref="B215" si="879">+B213+$B$19</f>
        <v>99</v>
      </c>
      <c r="C215" s="119" t="s">
        <v>102</v>
      </c>
      <c r="D215" s="120" t="s">
        <v>35</v>
      </c>
      <c r="E215" s="121" t="s">
        <v>206</v>
      </c>
      <c r="F215" s="121">
        <v>918660</v>
      </c>
      <c r="G215" s="126">
        <v>8.6507857139999995</v>
      </c>
      <c r="H215" s="340">
        <v>-13.627000000000001</v>
      </c>
      <c r="I215" s="75">
        <f t="shared" ref="I215" si="880">G215+H215</f>
        <v>-4.9762142860000012</v>
      </c>
      <c r="J215" s="76"/>
      <c r="K215" s="152">
        <f t="shared" si="878"/>
        <v>-4.9762142860000012</v>
      </c>
      <c r="L215" s="154">
        <f t="shared" ref="L215:L272" si="881">J215/I215</f>
        <v>0</v>
      </c>
      <c r="M215" s="429">
        <v>43538</v>
      </c>
      <c r="N215" s="77">
        <f t="shared" ref="N215:O215" si="882">G215+G216</f>
        <v>13.626971427999999</v>
      </c>
      <c r="O215" s="78">
        <f t="shared" si="882"/>
        <v>-13.627000000000001</v>
      </c>
      <c r="P215" s="77">
        <f t="shared" ref="P215" si="883">N215+O215</f>
        <v>-2.8572000001503284E-5</v>
      </c>
      <c r="Q215" s="79">
        <f t="shared" ref="Q215" si="884">J215+J216</f>
        <v>0</v>
      </c>
      <c r="R215" s="77">
        <f t="shared" ref="R215" si="885">P215-Q215</f>
        <v>-2.8572000001503284E-5</v>
      </c>
      <c r="S215" s="988">
        <f t="shared" ref="S215" si="886">Q215/P215</f>
        <v>0</v>
      </c>
      <c r="T215" s="988">
        <f t="shared" ref="T215:T269" si="887">((Q215+O215)/N215)*-1</f>
        <v>1.0000020967241439</v>
      </c>
    </row>
    <row r="216" spans="1:21" ht="15" customHeight="1" thickBot="1">
      <c r="A216" s="54">
        <v>198</v>
      </c>
      <c r="B216" s="114">
        <f t="shared" ref="B216" si="888">+B214+$B$20</f>
        <v>99</v>
      </c>
      <c r="C216" s="139" t="s">
        <v>102</v>
      </c>
      <c r="D216" s="140" t="s">
        <v>96</v>
      </c>
      <c r="E216" s="141" t="s">
        <v>206</v>
      </c>
      <c r="F216" s="141">
        <v>918660</v>
      </c>
      <c r="G216" s="142">
        <v>4.9761857139999996</v>
      </c>
      <c r="H216" s="143"/>
      <c r="I216" s="144">
        <f t="shared" ref="I216" si="889">G216+H216+K215</f>
        <v>-2.8572000001503284E-5</v>
      </c>
      <c r="J216" s="145"/>
      <c r="K216" s="153">
        <f t="shared" si="878"/>
        <v>-2.8572000001503284E-5</v>
      </c>
      <c r="L216" s="155">
        <f t="shared" si="881"/>
        <v>0</v>
      </c>
      <c r="M216" s="429">
        <v>43538</v>
      </c>
      <c r="N216" s="80"/>
      <c r="O216" s="80"/>
      <c r="P216" s="80"/>
      <c r="Q216" s="80"/>
      <c r="R216" s="80"/>
      <c r="S216" s="989"/>
      <c r="T216" s="989"/>
    </row>
    <row r="217" spans="1:21" ht="15" customHeight="1">
      <c r="A217" s="54">
        <v>199</v>
      </c>
      <c r="B217" s="114">
        <f t="shared" ref="B217" si="890">+B215+$B$19</f>
        <v>100</v>
      </c>
      <c r="C217" s="119" t="s">
        <v>102</v>
      </c>
      <c r="D217" s="120" t="s">
        <v>35</v>
      </c>
      <c r="E217" s="121" t="s">
        <v>207</v>
      </c>
      <c r="F217" s="121">
        <v>15714</v>
      </c>
      <c r="G217" s="126">
        <v>8.6507857139999995</v>
      </c>
      <c r="H217" s="383">
        <f>-11.627</f>
        <v>-11.627000000000001</v>
      </c>
      <c r="I217" s="75">
        <f t="shared" ref="I217" si="891">G217+H217</f>
        <v>-2.9762142860000012</v>
      </c>
      <c r="J217" s="76"/>
      <c r="K217" s="152">
        <f t="shared" si="878"/>
        <v>-2.9762142860000012</v>
      </c>
      <c r="L217" s="154">
        <f t="shared" si="881"/>
        <v>0</v>
      </c>
      <c r="M217" s="1369">
        <v>43629</v>
      </c>
      <c r="N217" s="77">
        <f t="shared" ref="N217:O217" si="892">G217+G218</f>
        <v>13.626971427999999</v>
      </c>
      <c r="O217" s="78">
        <f t="shared" si="892"/>
        <v>-11.627000000000001</v>
      </c>
      <c r="P217" s="77">
        <f t="shared" ref="P217" si="893">N217+O217</f>
        <v>1.9999714279999985</v>
      </c>
      <c r="Q217" s="79">
        <f t="shared" ref="Q217" si="894">J217+J218</f>
        <v>0</v>
      </c>
      <c r="R217" s="77">
        <f t="shared" ref="R217" si="895">P217-Q217</f>
        <v>1.9999714279999985</v>
      </c>
      <c r="S217" s="988">
        <f t="shared" ref="S217" si="896">Q217/P217</f>
        <v>0</v>
      </c>
      <c r="T217" s="988">
        <f t="shared" si="887"/>
        <v>0.8532343420130345</v>
      </c>
      <c r="U217" s="1370"/>
    </row>
    <row r="218" spans="1:21" ht="15" customHeight="1" thickBot="1">
      <c r="A218" s="54">
        <v>200</v>
      </c>
      <c r="B218" s="114">
        <f t="shared" ref="B218" si="897">+B216+$B$20</f>
        <v>100</v>
      </c>
      <c r="C218" s="139" t="s">
        <v>102</v>
      </c>
      <c r="D218" s="140" t="s">
        <v>96</v>
      </c>
      <c r="E218" s="141" t="s">
        <v>207</v>
      </c>
      <c r="F218" s="141">
        <v>15714</v>
      </c>
      <c r="G218" s="142">
        <v>4.9761857139999996</v>
      </c>
      <c r="H218" s="143"/>
      <c r="I218" s="144">
        <f t="shared" ref="I218" si="898">G218+H218+K217</f>
        <v>1.9999714279999985</v>
      </c>
      <c r="J218" s="145"/>
      <c r="K218" s="153">
        <f t="shared" si="878"/>
        <v>1.9999714279999985</v>
      </c>
      <c r="L218" s="155">
        <f t="shared" si="881"/>
        <v>0</v>
      </c>
      <c r="M218" s="430" t="s">
        <v>30</v>
      </c>
      <c r="N218" s="80"/>
      <c r="O218" s="80"/>
      <c r="P218" s="80"/>
      <c r="Q218" s="80"/>
      <c r="R218" s="80"/>
      <c r="S218" s="989"/>
      <c r="T218" s="989"/>
    </row>
    <row r="219" spans="1:21" ht="15" customHeight="1" thickBot="1">
      <c r="A219" s="54">
        <v>201</v>
      </c>
      <c r="B219" s="114">
        <f t="shared" ref="B219" si="899">+B217+$B$19</f>
        <v>101</v>
      </c>
      <c r="C219" s="119" t="s">
        <v>102</v>
      </c>
      <c r="D219" s="120" t="s">
        <v>35</v>
      </c>
      <c r="E219" s="121" t="s">
        <v>208</v>
      </c>
      <c r="F219" s="121">
        <v>963667</v>
      </c>
      <c r="G219" s="126">
        <v>8.6507857139999995</v>
      </c>
      <c r="H219" s="340">
        <v>-13.627000000000001</v>
      </c>
      <c r="I219" s="75">
        <f t="shared" ref="I219" si="900">G219+H219</f>
        <v>-4.9762142860000012</v>
      </c>
      <c r="J219" s="76"/>
      <c r="K219" s="152">
        <f t="shared" si="878"/>
        <v>-4.9762142860000012</v>
      </c>
      <c r="L219" s="154">
        <f t="shared" si="881"/>
        <v>0</v>
      </c>
      <c r="M219" s="429">
        <v>43538</v>
      </c>
      <c r="N219" s="77">
        <f t="shared" ref="N219:O219" si="901">G219+G220</f>
        <v>13.626971427999999</v>
      </c>
      <c r="O219" s="78">
        <f t="shared" si="901"/>
        <v>-13.627000000000001</v>
      </c>
      <c r="P219" s="77">
        <f t="shared" ref="P219" si="902">N219+O219</f>
        <v>-2.8572000001503284E-5</v>
      </c>
      <c r="Q219" s="79">
        <f t="shared" ref="Q219" si="903">J219+J220</f>
        <v>0</v>
      </c>
      <c r="R219" s="77">
        <f t="shared" ref="R219" si="904">P219-Q219</f>
        <v>-2.8572000001503284E-5</v>
      </c>
      <c r="S219" s="988">
        <f t="shared" ref="S219" si="905">Q219/P219</f>
        <v>0</v>
      </c>
      <c r="T219" s="988">
        <f t="shared" si="887"/>
        <v>1.0000020967241439</v>
      </c>
    </row>
    <row r="220" spans="1:21" ht="15" customHeight="1" thickBot="1">
      <c r="A220" s="54">
        <v>202</v>
      </c>
      <c r="B220" s="114">
        <f t="shared" ref="B220" si="906">+B218+$B$20</f>
        <v>101</v>
      </c>
      <c r="C220" s="139" t="s">
        <v>102</v>
      </c>
      <c r="D220" s="140" t="s">
        <v>96</v>
      </c>
      <c r="E220" s="141" t="s">
        <v>208</v>
      </c>
      <c r="F220" s="141">
        <v>963667</v>
      </c>
      <c r="G220" s="142">
        <v>4.9761857139999996</v>
      </c>
      <c r="H220" s="143"/>
      <c r="I220" s="144">
        <f t="shared" ref="I220" si="907">G220+H220+K219</f>
        <v>-2.8572000001503284E-5</v>
      </c>
      <c r="J220" s="145"/>
      <c r="K220" s="153">
        <f t="shared" si="878"/>
        <v>-2.8572000001503284E-5</v>
      </c>
      <c r="L220" s="155">
        <f t="shared" si="881"/>
        <v>0</v>
      </c>
      <c r="M220" s="429">
        <v>43538</v>
      </c>
      <c r="N220" s="80"/>
      <c r="O220" s="80"/>
      <c r="P220" s="80"/>
      <c r="Q220" s="80"/>
      <c r="R220" s="80"/>
      <c r="S220" s="989"/>
      <c r="T220" s="989"/>
    </row>
    <row r="221" spans="1:21" ht="15" customHeight="1">
      <c r="A221" s="54">
        <v>203</v>
      </c>
      <c r="B221" s="114">
        <f t="shared" ref="B221" si="908">+B219+$B$19</f>
        <v>102</v>
      </c>
      <c r="C221" s="119" t="s">
        <v>102</v>
      </c>
      <c r="D221" s="120" t="s">
        <v>35</v>
      </c>
      <c r="E221" s="121" t="s">
        <v>209</v>
      </c>
      <c r="F221" s="121">
        <v>926661</v>
      </c>
      <c r="G221" s="126">
        <v>8.6507857139999995</v>
      </c>
      <c r="H221" s="340">
        <f>-13.5</f>
        <v>-13.5</v>
      </c>
      <c r="I221" s="75">
        <f t="shared" ref="I221" si="909">G221+H221</f>
        <v>-4.8492142860000005</v>
      </c>
      <c r="J221" s="76"/>
      <c r="K221" s="152">
        <f t="shared" si="878"/>
        <v>-4.8492142860000005</v>
      </c>
      <c r="L221" s="154">
        <f t="shared" si="881"/>
        <v>0</v>
      </c>
      <c r="M221" s="1369">
        <v>43629</v>
      </c>
      <c r="N221" s="77">
        <f t="shared" ref="N221:O221" si="910">G221+G222</f>
        <v>13.626971427999999</v>
      </c>
      <c r="O221" s="78">
        <f t="shared" si="910"/>
        <v>-13.5</v>
      </c>
      <c r="P221" s="77">
        <f t="shared" ref="P221" si="911">N221+O221</f>
        <v>0.12697142799999916</v>
      </c>
      <c r="Q221" s="79">
        <f t="shared" ref="Q221" si="912">J221+J222</f>
        <v>0</v>
      </c>
      <c r="R221" s="77">
        <f t="shared" ref="R221" si="913">P221-Q221</f>
        <v>0.12697142799999916</v>
      </c>
      <c r="S221" s="988">
        <f t="shared" ref="S221" si="914">Q221/P221</f>
        <v>0</v>
      </c>
      <c r="T221" s="988">
        <f t="shared" si="887"/>
        <v>0.99068234429998847</v>
      </c>
      <c r="U221" s="1370"/>
    </row>
    <row r="222" spans="1:21" ht="15" customHeight="1" thickBot="1">
      <c r="A222" s="54">
        <v>204</v>
      </c>
      <c r="B222" s="114">
        <f t="shared" ref="B222" si="915">+B220+$B$20</f>
        <v>102</v>
      </c>
      <c r="C222" s="139" t="s">
        <v>102</v>
      </c>
      <c r="D222" s="140" t="s">
        <v>96</v>
      </c>
      <c r="E222" s="141" t="s">
        <v>209</v>
      </c>
      <c r="F222" s="141">
        <v>926661</v>
      </c>
      <c r="G222" s="142">
        <v>4.9761857139999996</v>
      </c>
      <c r="H222" s="143"/>
      <c r="I222" s="144">
        <f t="shared" ref="I222" si="916">G222+H222+K221</f>
        <v>0.12697142799999916</v>
      </c>
      <c r="J222" s="145"/>
      <c r="K222" s="153">
        <f t="shared" si="878"/>
        <v>0.12697142799999916</v>
      </c>
      <c r="L222" s="155">
        <f t="shared" si="881"/>
        <v>0</v>
      </c>
      <c r="M222" s="748" t="s">
        <v>30</v>
      </c>
      <c r="N222" s="80"/>
      <c r="O222" s="80"/>
      <c r="P222" s="80"/>
      <c r="Q222" s="80"/>
      <c r="R222" s="80"/>
      <c r="S222" s="989"/>
      <c r="T222" s="989"/>
    </row>
    <row r="223" spans="1:21" ht="15" customHeight="1" thickBot="1">
      <c r="A223" s="54">
        <v>205</v>
      </c>
      <c r="B223" s="114">
        <f t="shared" ref="B223" si="917">+B221+$B$19</f>
        <v>103</v>
      </c>
      <c r="C223" s="119" t="s">
        <v>102</v>
      </c>
      <c r="D223" s="120" t="s">
        <v>35</v>
      </c>
      <c r="E223" s="121" t="s">
        <v>210</v>
      </c>
      <c r="F223" s="121">
        <v>966277</v>
      </c>
      <c r="G223" s="126">
        <v>8.6507857139999995</v>
      </c>
      <c r="H223" s="340">
        <v>-13.627000000000001</v>
      </c>
      <c r="I223" s="75">
        <f t="shared" ref="I223" si="918">G223+H223</f>
        <v>-4.9762142860000012</v>
      </c>
      <c r="J223" s="76"/>
      <c r="K223" s="152">
        <f t="shared" si="878"/>
        <v>-4.9762142860000012</v>
      </c>
      <c r="L223" s="154">
        <f t="shared" si="881"/>
        <v>0</v>
      </c>
      <c r="M223" s="429">
        <v>43538</v>
      </c>
      <c r="N223" s="77">
        <f t="shared" ref="N223:O223" si="919">G223+G224</f>
        <v>13.626971427999999</v>
      </c>
      <c r="O223" s="78">
        <f t="shared" si="919"/>
        <v>-13.627000000000001</v>
      </c>
      <c r="P223" s="77">
        <f t="shared" ref="P223" si="920">N223+O223</f>
        <v>-2.8572000001503284E-5</v>
      </c>
      <c r="Q223" s="79">
        <f t="shared" ref="Q223" si="921">J223+J224</f>
        <v>0</v>
      </c>
      <c r="R223" s="77">
        <f t="shared" ref="R223" si="922">P223-Q223</f>
        <v>-2.8572000001503284E-5</v>
      </c>
      <c r="S223" s="988">
        <f t="shared" ref="S223" si="923">Q223/P223</f>
        <v>0</v>
      </c>
      <c r="T223" s="988">
        <f t="shared" si="887"/>
        <v>1.0000020967241439</v>
      </c>
    </row>
    <row r="224" spans="1:21" ht="15" customHeight="1" thickBot="1">
      <c r="A224" s="54">
        <v>206</v>
      </c>
      <c r="B224" s="114">
        <f t="shared" ref="B224" si="924">+B222+$B$20</f>
        <v>103</v>
      </c>
      <c r="C224" s="139" t="s">
        <v>102</v>
      </c>
      <c r="D224" s="140" t="s">
        <v>96</v>
      </c>
      <c r="E224" s="141" t="s">
        <v>210</v>
      </c>
      <c r="F224" s="141">
        <v>966277</v>
      </c>
      <c r="G224" s="142">
        <v>4.9761857139999996</v>
      </c>
      <c r="H224" s="143"/>
      <c r="I224" s="144">
        <f t="shared" ref="I224" si="925">G224+H224+K223</f>
        <v>-2.8572000001503284E-5</v>
      </c>
      <c r="J224" s="145"/>
      <c r="K224" s="153">
        <f t="shared" si="878"/>
        <v>-2.8572000001503284E-5</v>
      </c>
      <c r="L224" s="155">
        <f t="shared" si="881"/>
        <v>0</v>
      </c>
      <c r="M224" s="429">
        <v>43538</v>
      </c>
      <c r="N224" s="80"/>
      <c r="O224" s="80"/>
      <c r="P224" s="80"/>
      <c r="Q224" s="80"/>
      <c r="R224" s="80"/>
      <c r="S224" s="989"/>
      <c r="T224" s="989"/>
    </row>
    <row r="225" spans="1:21" ht="15" customHeight="1">
      <c r="A225" s="54">
        <v>207</v>
      </c>
      <c r="B225" s="114">
        <f t="shared" ref="B225" si="926">+B223+$B$19</f>
        <v>104</v>
      </c>
      <c r="C225" s="119" t="s">
        <v>102</v>
      </c>
      <c r="D225" s="120" t="s">
        <v>35</v>
      </c>
      <c r="E225" s="674" t="s">
        <v>211</v>
      </c>
      <c r="F225" s="121">
        <v>961111</v>
      </c>
      <c r="G225" s="126">
        <v>8.6507857139999995</v>
      </c>
      <c r="H225" s="675">
        <v>-12.5</v>
      </c>
      <c r="I225" s="75">
        <f t="shared" ref="I225" si="927">G225+H225</f>
        <v>-3.8492142860000005</v>
      </c>
      <c r="J225" s="418">
        <v>0.83</v>
      </c>
      <c r="K225" s="152">
        <f t="shared" si="878"/>
        <v>-4.6792142860000006</v>
      </c>
      <c r="L225" s="154">
        <f t="shared" si="881"/>
        <v>-0.21562842136869276</v>
      </c>
      <c r="M225" s="1369">
        <v>43629</v>
      </c>
      <c r="N225" s="77">
        <f t="shared" ref="N225:O225" si="928">G225+G226</f>
        <v>13.626971427999999</v>
      </c>
      <c r="O225" s="78">
        <f t="shared" si="928"/>
        <v>-12.5</v>
      </c>
      <c r="P225" s="77">
        <f t="shared" ref="P225" si="929">N225+O225</f>
        <v>1.1269714279999992</v>
      </c>
      <c r="Q225" s="79">
        <f t="shared" ref="Q225" si="930">J225+J226</f>
        <v>0.83</v>
      </c>
      <c r="R225" s="77">
        <f t="shared" ref="R225" si="931">P225-Q225</f>
        <v>0.2969714279999992</v>
      </c>
      <c r="S225" s="988">
        <f t="shared" ref="S225" si="932">Q225/P225</f>
        <v>0.73648717205987635</v>
      </c>
      <c r="T225" s="988">
        <f>((Q225+O225)/N225)*1</f>
        <v>-0.85638984873932333</v>
      </c>
      <c r="U225" s="1370"/>
    </row>
    <row r="226" spans="1:21" ht="15" customHeight="1" thickBot="1">
      <c r="A226" s="54">
        <v>208</v>
      </c>
      <c r="B226" s="114">
        <f t="shared" ref="B226" si="933">+B224+$B$20</f>
        <v>104</v>
      </c>
      <c r="C226" s="139" t="s">
        <v>102</v>
      </c>
      <c r="D226" s="140" t="s">
        <v>96</v>
      </c>
      <c r="E226" s="141" t="s">
        <v>211</v>
      </c>
      <c r="F226" s="141">
        <v>961111</v>
      </c>
      <c r="G226" s="142">
        <v>4.9761857139999996</v>
      </c>
      <c r="H226" s="143"/>
      <c r="I226" s="144">
        <f t="shared" ref="I226" si="934">G226+H226+K225</f>
        <v>0.29697142799999909</v>
      </c>
      <c r="J226" s="145"/>
      <c r="K226" s="153">
        <f t="shared" si="878"/>
        <v>0.29697142799999909</v>
      </c>
      <c r="L226" s="155">
        <f t="shared" si="881"/>
        <v>0</v>
      </c>
      <c r="M226" s="748" t="s">
        <v>30</v>
      </c>
      <c r="N226" s="80"/>
      <c r="O226" s="80"/>
      <c r="P226" s="80"/>
      <c r="Q226" s="80"/>
      <c r="R226" s="80"/>
      <c r="S226" s="989"/>
      <c r="T226" s="989"/>
    </row>
    <row r="227" spans="1:21" ht="15" customHeight="1" thickBot="1">
      <c r="A227" s="54">
        <v>209</v>
      </c>
      <c r="B227" s="114">
        <f t="shared" ref="B227" si="935">+B225+$B$19</f>
        <v>105</v>
      </c>
      <c r="C227" s="119" t="s">
        <v>102</v>
      </c>
      <c r="D227" s="120" t="s">
        <v>35</v>
      </c>
      <c r="E227" s="121" t="s">
        <v>212</v>
      </c>
      <c r="F227" s="121">
        <v>964393</v>
      </c>
      <c r="G227" s="126">
        <v>8.6507857139999995</v>
      </c>
      <c r="H227" s="340">
        <v>-13.627000000000001</v>
      </c>
      <c r="I227" s="75">
        <f t="shared" ref="I227" si="936">G227+H227</f>
        <v>-4.9762142860000012</v>
      </c>
      <c r="J227" s="76"/>
      <c r="K227" s="152">
        <f t="shared" si="878"/>
        <v>-4.9762142860000012</v>
      </c>
      <c r="L227" s="154">
        <f t="shared" si="881"/>
        <v>0</v>
      </c>
      <c r="M227" s="429">
        <v>43538</v>
      </c>
      <c r="N227" s="77">
        <f t="shared" ref="N227:O227" si="937">G227+G228</f>
        <v>13.626971427999999</v>
      </c>
      <c r="O227" s="78">
        <f t="shared" si="937"/>
        <v>-13.627000000000001</v>
      </c>
      <c r="P227" s="77">
        <f t="shared" ref="P227" si="938">N227+O227</f>
        <v>-2.8572000001503284E-5</v>
      </c>
      <c r="Q227" s="79">
        <f t="shared" ref="Q227" si="939">J227+J228</f>
        <v>0</v>
      </c>
      <c r="R227" s="77">
        <f t="shared" ref="R227" si="940">P227-Q227</f>
        <v>-2.8572000001503284E-5</v>
      </c>
      <c r="S227" s="988">
        <f t="shared" ref="S227" si="941">Q227/P227</f>
        <v>0</v>
      </c>
      <c r="T227" s="988">
        <f t="shared" si="887"/>
        <v>1.0000020967241439</v>
      </c>
    </row>
    <row r="228" spans="1:21" ht="15" customHeight="1" thickBot="1">
      <c r="A228" s="54">
        <v>210</v>
      </c>
      <c r="B228" s="114">
        <f t="shared" ref="B228" si="942">+B226+$B$20</f>
        <v>105</v>
      </c>
      <c r="C228" s="139" t="s">
        <v>102</v>
      </c>
      <c r="D228" s="140" t="s">
        <v>96</v>
      </c>
      <c r="E228" s="141" t="s">
        <v>212</v>
      </c>
      <c r="F228" s="141">
        <v>964393</v>
      </c>
      <c r="G228" s="142">
        <v>4.9761857139999996</v>
      </c>
      <c r="H228" s="143"/>
      <c r="I228" s="144">
        <f t="shared" ref="I228" si="943">G228+H228+K227</f>
        <v>-2.8572000001503284E-5</v>
      </c>
      <c r="J228" s="145"/>
      <c r="K228" s="153">
        <f t="shared" si="878"/>
        <v>-2.8572000001503284E-5</v>
      </c>
      <c r="L228" s="155">
        <f t="shared" si="881"/>
        <v>0</v>
      </c>
      <c r="M228" s="429">
        <v>43538</v>
      </c>
      <c r="N228" s="80"/>
      <c r="O228" s="80"/>
      <c r="P228" s="80"/>
      <c r="Q228" s="80"/>
      <c r="R228" s="80"/>
      <c r="S228" s="989"/>
      <c r="T228" s="989"/>
    </row>
    <row r="229" spans="1:21" ht="15" customHeight="1" thickBot="1">
      <c r="A229" s="54">
        <v>211</v>
      </c>
      <c r="B229" s="114">
        <f t="shared" ref="B229" si="944">+B227+$B$19</f>
        <v>106</v>
      </c>
      <c r="C229" s="119" t="s">
        <v>102</v>
      </c>
      <c r="D229" s="120" t="s">
        <v>35</v>
      </c>
      <c r="E229" s="121" t="s">
        <v>213</v>
      </c>
      <c r="F229" s="121">
        <v>965956</v>
      </c>
      <c r="G229" s="126">
        <v>8.6507857139999995</v>
      </c>
      <c r="H229" s="344">
        <f>-13.627</f>
        <v>-13.627000000000001</v>
      </c>
      <c r="I229" s="75">
        <f t="shared" ref="I229" si="945">G229+H229</f>
        <v>-4.9762142860000012</v>
      </c>
      <c r="J229" s="76"/>
      <c r="K229" s="152">
        <f t="shared" si="878"/>
        <v>-4.9762142860000012</v>
      </c>
      <c r="L229" s="154">
        <f t="shared" si="881"/>
        <v>0</v>
      </c>
      <c r="M229" s="434">
        <v>43538</v>
      </c>
      <c r="N229" s="77">
        <f t="shared" ref="N229:O229" si="946">G229+G230</f>
        <v>13.626971427999999</v>
      </c>
      <c r="O229" s="78">
        <f t="shared" si="946"/>
        <v>-13.627000000000001</v>
      </c>
      <c r="P229" s="77">
        <f t="shared" ref="P229" si="947">N229+O229</f>
        <v>-2.8572000001503284E-5</v>
      </c>
      <c r="Q229" s="79">
        <f t="shared" ref="Q229" si="948">J229+J230</f>
        <v>0</v>
      </c>
      <c r="R229" s="77">
        <f t="shared" ref="R229" si="949">P229-Q229</f>
        <v>-2.8572000001503284E-5</v>
      </c>
      <c r="S229" s="988">
        <f t="shared" ref="S229" si="950">Q229/P229</f>
        <v>0</v>
      </c>
      <c r="T229" s="988">
        <f t="shared" si="887"/>
        <v>1.0000020967241439</v>
      </c>
    </row>
    <row r="230" spans="1:21" ht="15" customHeight="1" thickBot="1">
      <c r="A230" s="54">
        <v>212</v>
      </c>
      <c r="B230" s="114">
        <f t="shared" ref="B230" si="951">+B228+$B$20</f>
        <v>106</v>
      </c>
      <c r="C230" s="139" t="s">
        <v>102</v>
      </c>
      <c r="D230" s="140" t="s">
        <v>96</v>
      </c>
      <c r="E230" s="141" t="s">
        <v>213</v>
      </c>
      <c r="F230" s="141">
        <v>965956</v>
      </c>
      <c r="G230" s="142">
        <v>4.9761857139999996</v>
      </c>
      <c r="H230" s="143"/>
      <c r="I230" s="144">
        <f t="shared" ref="I230" si="952">G230+H230+K229</f>
        <v>-2.8572000001503284E-5</v>
      </c>
      <c r="J230" s="145"/>
      <c r="K230" s="153">
        <f t="shared" si="878"/>
        <v>-2.8572000001503284E-5</v>
      </c>
      <c r="L230" s="155">
        <f t="shared" si="881"/>
        <v>0</v>
      </c>
      <c r="M230" s="434">
        <v>43538</v>
      </c>
      <c r="N230" s="80"/>
      <c r="O230" s="80"/>
      <c r="P230" s="80"/>
      <c r="Q230" s="80"/>
      <c r="R230" s="80"/>
      <c r="S230" s="989"/>
      <c r="T230" s="989"/>
    </row>
    <row r="231" spans="1:21" ht="15" customHeight="1">
      <c r="A231" s="54">
        <v>213</v>
      </c>
      <c r="B231" s="114">
        <f t="shared" ref="B231" si="953">+B229+$B$19</f>
        <v>107</v>
      </c>
      <c r="C231" s="119" t="s">
        <v>102</v>
      </c>
      <c r="D231" s="120" t="s">
        <v>35</v>
      </c>
      <c r="E231" s="121" t="s">
        <v>214</v>
      </c>
      <c r="F231" s="121">
        <v>924069</v>
      </c>
      <c r="G231" s="126">
        <v>8.6507857139999995</v>
      </c>
      <c r="H231" s="383">
        <f>-13.377</f>
        <v>-13.377000000000001</v>
      </c>
      <c r="I231" s="75">
        <f t="shared" ref="I231" si="954">G231+H231</f>
        <v>-4.7262142860000012</v>
      </c>
      <c r="J231" s="76"/>
      <c r="K231" s="152">
        <f t="shared" si="878"/>
        <v>-4.7262142860000012</v>
      </c>
      <c r="L231" s="154">
        <f t="shared" si="881"/>
        <v>0</v>
      </c>
      <c r="M231" s="1369">
        <v>43629</v>
      </c>
      <c r="N231" s="77">
        <f t="shared" ref="N231:O231" si="955">G231+G232</f>
        <v>13.626971427999999</v>
      </c>
      <c r="O231" s="78">
        <f t="shared" si="955"/>
        <v>-13.377000000000001</v>
      </c>
      <c r="P231" s="77">
        <f t="shared" ref="P231" si="956">N231+O231</f>
        <v>0.2499714279999985</v>
      </c>
      <c r="Q231" s="79">
        <f t="shared" ref="Q231" si="957">J231+J232</f>
        <v>0</v>
      </c>
      <c r="R231" s="77">
        <f t="shared" ref="R231" si="958">P231-Q231</f>
        <v>0.2499714279999985</v>
      </c>
      <c r="S231" s="988">
        <f t="shared" ref="S231" si="959">Q231/P231</f>
        <v>0</v>
      </c>
      <c r="T231" s="988">
        <f t="shared" si="887"/>
        <v>0.98165612738525521</v>
      </c>
      <c r="U231" s="1370"/>
    </row>
    <row r="232" spans="1:21" ht="15" customHeight="1" thickBot="1">
      <c r="A232" s="54">
        <v>214</v>
      </c>
      <c r="B232" s="114">
        <f t="shared" ref="B232" si="960">+B230+$B$20</f>
        <v>107</v>
      </c>
      <c r="C232" s="139" t="s">
        <v>102</v>
      </c>
      <c r="D232" s="140" t="s">
        <v>96</v>
      </c>
      <c r="E232" s="141" t="s">
        <v>214</v>
      </c>
      <c r="F232" s="141">
        <v>924069</v>
      </c>
      <c r="G232" s="142">
        <v>4.9761857139999996</v>
      </c>
      <c r="H232" s="143"/>
      <c r="I232" s="144">
        <f t="shared" ref="I232" si="961">G232+H232+K231</f>
        <v>0.2499714279999985</v>
      </c>
      <c r="J232" s="145"/>
      <c r="K232" s="153">
        <f t="shared" si="878"/>
        <v>0.2499714279999985</v>
      </c>
      <c r="L232" s="155">
        <f t="shared" si="881"/>
        <v>0</v>
      </c>
      <c r="M232" s="748" t="s">
        <v>30</v>
      </c>
      <c r="N232" s="80"/>
      <c r="O232" s="80"/>
      <c r="P232" s="80"/>
      <c r="Q232" s="80"/>
      <c r="R232" s="80"/>
      <c r="S232" s="989"/>
      <c r="T232" s="989"/>
    </row>
    <row r="233" spans="1:21" ht="15" customHeight="1" thickBot="1">
      <c r="A233" s="54">
        <v>215</v>
      </c>
      <c r="B233" s="114">
        <f t="shared" ref="B233" si="962">+B231+$B$19</f>
        <v>108</v>
      </c>
      <c r="C233" s="119" t="s">
        <v>102</v>
      </c>
      <c r="D233" s="120" t="s">
        <v>35</v>
      </c>
      <c r="E233" s="121" t="s">
        <v>215</v>
      </c>
      <c r="F233" s="121">
        <v>961509</v>
      </c>
      <c r="G233" s="126">
        <v>8.6507857139999995</v>
      </c>
      <c r="H233" s="383">
        <f>-13.627</f>
        <v>-13.627000000000001</v>
      </c>
      <c r="I233" s="75">
        <f t="shared" ref="I233" si="963">G233+H233</f>
        <v>-4.9762142860000012</v>
      </c>
      <c r="J233" s="76"/>
      <c r="K233" s="152">
        <f t="shared" si="878"/>
        <v>-4.9762142860000012</v>
      </c>
      <c r="L233" s="154">
        <f t="shared" si="881"/>
        <v>0</v>
      </c>
      <c r="M233" s="434">
        <v>43538</v>
      </c>
      <c r="N233" s="77">
        <f t="shared" ref="N233:O233" si="964">G233+G234</f>
        <v>13.626971427999999</v>
      </c>
      <c r="O233" s="78">
        <f t="shared" si="964"/>
        <v>-13.627000000000001</v>
      </c>
      <c r="P233" s="77">
        <f t="shared" ref="P233" si="965">N233+O233</f>
        <v>-2.8572000001503284E-5</v>
      </c>
      <c r="Q233" s="79">
        <f t="shared" ref="Q233" si="966">J233+J234</f>
        <v>0</v>
      </c>
      <c r="R233" s="77">
        <f t="shared" ref="R233" si="967">P233-Q233</f>
        <v>-2.8572000001503284E-5</v>
      </c>
      <c r="S233" s="988">
        <f t="shared" ref="S233" si="968">Q233/P233</f>
        <v>0</v>
      </c>
      <c r="T233" s="988">
        <f t="shared" si="887"/>
        <v>1.0000020967241439</v>
      </c>
    </row>
    <row r="234" spans="1:21" ht="15" customHeight="1" thickBot="1">
      <c r="A234" s="54">
        <v>216</v>
      </c>
      <c r="B234" s="114">
        <f t="shared" ref="B234" si="969">+B232+$B$20</f>
        <v>108</v>
      </c>
      <c r="C234" s="139" t="s">
        <v>102</v>
      </c>
      <c r="D234" s="140" t="s">
        <v>96</v>
      </c>
      <c r="E234" s="141" t="s">
        <v>215</v>
      </c>
      <c r="F234" s="141">
        <v>961509</v>
      </c>
      <c r="G234" s="142">
        <v>4.9761857139999996</v>
      </c>
      <c r="H234" s="143"/>
      <c r="I234" s="144">
        <f t="shared" ref="I234" si="970">G234+H234+K233</f>
        <v>-2.8572000001503284E-5</v>
      </c>
      <c r="J234" s="145"/>
      <c r="K234" s="153">
        <f t="shared" si="878"/>
        <v>-2.8572000001503284E-5</v>
      </c>
      <c r="L234" s="155">
        <f t="shared" si="881"/>
        <v>0</v>
      </c>
      <c r="M234" s="434">
        <v>43538</v>
      </c>
      <c r="N234" s="80"/>
      <c r="O234" s="80"/>
      <c r="P234" s="80"/>
      <c r="Q234" s="80"/>
      <c r="R234" s="80"/>
      <c r="S234" s="989"/>
      <c r="T234" s="989"/>
    </row>
    <row r="235" spans="1:21" ht="15" customHeight="1" thickBot="1">
      <c r="A235" s="54">
        <v>217</v>
      </c>
      <c r="B235" s="114">
        <f t="shared" ref="B235" si="971">+B233+$B$19</f>
        <v>109</v>
      </c>
      <c r="C235" s="119" t="s">
        <v>102</v>
      </c>
      <c r="D235" s="120" t="s">
        <v>35</v>
      </c>
      <c r="E235" s="121" t="s">
        <v>216</v>
      </c>
      <c r="F235" s="121">
        <v>965507</v>
      </c>
      <c r="G235" s="126">
        <v>8.6507857139999995</v>
      </c>
      <c r="H235" s="383">
        <f>-13.627</f>
        <v>-13.627000000000001</v>
      </c>
      <c r="I235" s="75">
        <f t="shared" ref="I235" si="972">G235+H235</f>
        <v>-4.9762142860000012</v>
      </c>
      <c r="J235" s="76"/>
      <c r="K235" s="152">
        <f t="shared" si="878"/>
        <v>-4.9762142860000012</v>
      </c>
      <c r="L235" s="154">
        <f t="shared" si="881"/>
        <v>0</v>
      </c>
      <c r="M235" s="434">
        <v>43538</v>
      </c>
      <c r="N235" s="77">
        <f t="shared" ref="N235:O235" si="973">G235+G236</f>
        <v>13.626971427999999</v>
      </c>
      <c r="O235" s="78">
        <f t="shared" si="973"/>
        <v>-13.627000000000001</v>
      </c>
      <c r="P235" s="77">
        <f t="shared" ref="P235" si="974">N235+O235</f>
        <v>-2.8572000001503284E-5</v>
      </c>
      <c r="Q235" s="79">
        <f t="shared" ref="Q235" si="975">J235+J236</f>
        <v>0</v>
      </c>
      <c r="R235" s="77">
        <f t="shared" ref="R235" si="976">P235-Q235</f>
        <v>-2.8572000001503284E-5</v>
      </c>
      <c r="S235" s="988">
        <f t="shared" ref="S235" si="977">Q235/P235</f>
        <v>0</v>
      </c>
      <c r="T235" s="988">
        <f t="shared" si="887"/>
        <v>1.0000020967241439</v>
      </c>
    </row>
    <row r="236" spans="1:21" ht="15" customHeight="1" thickBot="1">
      <c r="A236" s="54">
        <v>218</v>
      </c>
      <c r="B236" s="114">
        <f t="shared" ref="B236" si="978">+B234+$B$20</f>
        <v>109</v>
      </c>
      <c r="C236" s="139" t="s">
        <v>102</v>
      </c>
      <c r="D236" s="140" t="s">
        <v>96</v>
      </c>
      <c r="E236" s="141" t="s">
        <v>216</v>
      </c>
      <c r="F236" s="141">
        <v>965507</v>
      </c>
      <c r="G236" s="142">
        <v>4.9761857139999996</v>
      </c>
      <c r="H236" s="143"/>
      <c r="I236" s="144">
        <f t="shared" ref="I236" si="979">G236+H236+K235</f>
        <v>-2.8572000001503284E-5</v>
      </c>
      <c r="J236" s="145"/>
      <c r="K236" s="153">
        <f t="shared" si="878"/>
        <v>-2.8572000001503284E-5</v>
      </c>
      <c r="L236" s="155">
        <f t="shared" si="881"/>
        <v>0</v>
      </c>
      <c r="M236" s="434">
        <v>43538</v>
      </c>
      <c r="N236" s="80"/>
      <c r="O236" s="80"/>
      <c r="P236" s="80"/>
      <c r="Q236" s="80"/>
      <c r="R236" s="80"/>
      <c r="S236" s="989"/>
      <c r="T236" s="989"/>
    </row>
    <row r="237" spans="1:21" ht="15" customHeight="1" thickBot="1">
      <c r="A237" s="54">
        <v>219</v>
      </c>
      <c r="B237" s="114">
        <f t="shared" ref="B237" si="980">+B235+$B$19</f>
        <v>110</v>
      </c>
      <c r="C237" s="119" t="s">
        <v>102</v>
      </c>
      <c r="D237" s="120" t="s">
        <v>35</v>
      </c>
      <c r="E237" s="121" t="s">
        <v>217</v>
      </c>
      <c r="F237" s="121">
        <v>965508</v>
      </c>
      <c r="G237" s="126">
        <v>8.6507857139999995</v>
      </c>
      <c r="H237" s="383">
        <f>-13.627</f>
        <v>-13.627000000000001</v>
      </c>
      <c r="I237" s="75">
        <f t="shared" ref="I237" si="981">G237+H237</f>
        <v>-4.9762142860000012</v>
      </c>
      <c r="J237" s="76"/>
      <c r="K237" s="152">
        <f t="shared" si="878"/>
        <v>-4.9762142860000012</v>
      </c>
      <c r="L237" s="154">
        <f t="shared" si="881"/>
        <v>0</v>
      </c>
      <c r="M237" s="434">
        <v>43538</v>
      </c>
      <c r="N237" s="77">
        <f t="shared" ref="N237:O237" si="982">G237+G238</f>
        <v>13.626971427999999</v>
      </c>
      <c r="O237" s="78">
        <f t="shared" si="982"/>
        <v>-13.627000000000001</v>
      </c>
      <c r="P237" s="77">
        <f t="shared" ref="P237" si="983">N237+O237</f>
        <v>-2.8572000001503284E-5</v>
      </c>
      <c r="Q237" s="79">
        <f t="shared" ref="Q237" si="984">J237+J238</f>
        <v>0</v>
      </c>
      <c r="R237" s="77">
        <f t="shared" ref="R237" si="985">P237-Q237</f>
        <v>-2.8572000001503284E-5</v>
      </c>
      <c r="S237" s="988">
        <f t="shared" ref="S237" si="986">Q237/P237</f>
        <v>0</v>
      </c>
      <c r="T237" s="988">
        <f t="shared" si="887"/>
        <v>1.0000020967241439</v>
      </c>
    </row>
    <row r="238" spans="1:21" ht="15" customHeight="1" thickBot="1">
      <c r="A238" s="54">
        <v>220</v>
      </c>
      <c r="B238" s="114">
        <f t="shared" ref="B238" si="987">+B236+$B$20</f>
        <v>110</v>
      </c>
      <c r="C238" s="139" t="s">
        <v>102</v>
      </c>
      <c r="D238" s="140" t="s">
        <v>96</v>
      </c>
      <c r="E238" s="141" t="s">
        <v>217</v>
      </c>
      <c r="F238" s="141">
        <v>965508</v>
      </c>
      <c r="G238" s="142">
        <v>4.9761857139999996</v>
      </c>
      <c r="H238" s="143"/>
      <c r="I238" s="144">
        <f t="shared" ref="I238" si="988">G238+H238+K237</f>
        <v>-2.8572000001503284E-5</v>
      </c>
      <c r="J238" s="145"/>
      <c r="K238" s="153">
        <f t="shared" si="878"/>
        <v>-2.8572000001503284E-5</v>
      </c>
      <c r="L238" s="155">
        <f t="shared" si="881"/>
        <v>0</v>
      </c>
      <c r="M238" s="434">
        <v>43538</v>
      </c>
      <c r="N238" s="80"/>
      <c r="O238" s="80"/>
      <c r="P238" s="80"/>
      <c r="Q238" s="80"/>
      <c r="R238" s="80"/>
      <c r="S238" s="989"/>
      <c r="T238" s="989"/>
    </row>
    <row r="239" spans="1:21" ht="15" customHeight="1" thickBot="1">
      <c r="A239" s="54">
        <v>221</v>
      </c>
      <c r="B239" s="114">
        <f t="shared" ref="B239" si="989">+B237+$B$19</f>
        <v>111</v>
      </c>
      <c r="C239" s="119" t="s">
        <v>102</v>
      </c>
      <c r="D239" s="120" t="s">
        <v>35</v>
      </c>
      <c r="E239" s="121" t="s">
        <v>218</v>
      </c>
      <c r="F239" s="121">
        <v>922445</v>
      </c>
      <c r="G239" s="126">
        <v>8.6507857139999995</v>
      </c>
      <c r="H239" s="383">
        <f>-13.627</f>
        <v>-13.627000000000001</v>
      </c>
      <c r="I239" s="75">
        <f t="shared" ref="I239" si="990">G239+H239</f>
        <v>-4.9762142860000012</v>
      </c>
      <c r="J239" s="76"/>
      <c r="K239" s="152">
        <f t="shared" si="878"/>
        <v>-4.9762142860000012</v>
      </c>
      <c r="L239" s="154">
        <f t="shared" si="881"/>
        <v>0</v>
      </c>
      <c r="M239" s="434">
        <v>43538</v>
      </c>
      <c r="N239" s="77">
        <f t="shared" ref="N239:O239" si="991">G239+G240</f>
        <v>13.626971427999999</v>
      </c>
      <c r="O239" s="78">
        <f t="shared" si="991"/>
        <v>-13.627000000000001</v>
      </c>
      <c r="P239" s="77">
        <f t="shared" ref="P239" si="992">N239+O239</f>
        <v>-2.8572000001503284E-5</v>
      </c>
      <c r="Q239" s="79">
        <f t="shared" ref="Q239" si="993">J239+J240</f>
        <v>0</v>
      </c>
      <c r="R239" s="77">
        <f t="shared" ref="R239" si="994">P239-Q239</f>
        <v>-2.8572000001503284E-5</v>
      </c>
      <c r="S239" s="988">
        <f t="shared" ref="S239" si="995">Q239/P239</f>
        <v>0</v>
      </c>
      <c r="T239" s="988">
        <f t="shared" si="887"/>
        <v>1.0000020967241439</v>
      </c>
    </row>
    <row r="240" spans="1:21" ht="15" customHeight="1" thickBot="1">
      <c r="A240" s="54">
        <v>222</v>
      </c>
      <c r="B240" s="114">
        <f t="shared" ref="B240" si="996">+B238+$B$20</f>
        <v>111</v>
      </c>
      <c r="C240" s="139" t="s">
        <v>102</v>
      </c>
      <c r="D240" s="140" t="s">
        <v>96</v>
      </c>
      <c r="E240" s="141" t="s">
        <v>218</v>
      </c>
      <c r="F240" s="141">
        <v>922445</v>
      </c>
      <c r="G240" s="142">
        <v>4.9761857139999996</v>
      </c>
      <c r="H240" s="143"/>
      <c r="I240" s="144">
        <f t="shared" ref="I240" si="997">G240+H240+K239</f>
        <v>-2.8572000001503284E-5</v>
      </c>
      <c r="J240" s="145"/>
      <c r="K240" s="153">
        <f t="shared" si="878"/>
        <v>-2.8572000001503284E-5</v>
      </c>
      <c r="L240" s="155">
        <f t="shared" si="881"/>
        <v>0</v>
      </c>
      <c r="M240" s="434">
        <v>43538</v>
      </c>
      <c r="N240" s="80"/>
      <c r="O240" s="80"/>
      <c r="P240" s="80"/>
      <c r="Q240" s="80"/>
      <c r="R240" s="80"/>
      <c r="S240" s="989"/>
      <c r="T240" s="989"/>
    </row>
    <row r="241" spans="1:21" ht="15" customHeight="1">
      <c r="A241" s="54">
        <v>223</v>
      </c>
      <c r="B241" s="114">
        <f t="shared" ref="B241" si="998">+B239+$B$19</f>
        <v>112</v>
      </c>
      <c r="C241" s="119" t="s">
        <v>102</v>
      </c>
      <c r="D241" s="120" t="s">
        <v>35</v>
      </c>
      <c r="E241" s="121" t="s">
        <v>219</v>
      </c>
      <c r="F241" s="121">
        <v>967340</v>
      </c>
      <c r="G241" s="126">
        <v>8.6507857139999995</v>
      </c>
      <c r="H241" s="383">
        <f>-13.377</f>
        <v>-13.377000000000001</v>
      </c>
      <c r="I241" s="75">
        <f t="shared" ref="I241" si="999">G241+H241</f>
        <v>-4.7262142860000012</v>
      </c>
      <c r="J241" s="418">
        <v>4.4400000000000002E-2</v>
      </c>
      <c r="K241" s="152">
        <f t="shared" si="878"/>
        <v>-4.7706142860000016</v>
      </c>
      <c r="L241" s="154">
        <f t="shared" si="881"/>
        <v>-9.394411110711114E-3</v>
      </c>
      <c r="M241" s="1369">
        <v>43629</v>
      </c>
      <c r="N241" s="77">
        <f t="shared" ref="N241:O241" si="1000">G241+G242</f>
        <v>13.626971427999999</v>
      </c>
      <c r="O241" s="78">
        <f t="shared" si="1000"/>
        <v>-13.377000000000001</v>
      </c>
      <c r="P241" s="77">
        <f t="shared" ref="P241" si="1001">N241+O241</f>
        <v>0.2499714279999985</v>
      </c>
      <c r="Q241" s="79">
        <f t="shared" ref="Q241" si="1002">J241+J242</f>
        <v>4.4400000000000002E-2</v>
      </c>
      <c r="R241" s="77">
        <f t="shared" ref="R241" si="1003">P241-Q241</f>
        <v>0.2055714279999985</v>
      </c>
      <c r="S241" s="988">
        <f t="shared" ref="S241" si="1004">Q241/P241</f>
        <v>0.17762029986883249</v>
      </c>
      <c r="T241" s="988">
        <f t="shared" si="887"/>
        <v>0.97839788323066867</v>
      </c>
      <c r="U241" s="1370"/>
    </row>
    <row r="242" spans="1:21" ht="15" customHeight="1" thickBot="1">
      <c r="A242" s="54">
        <v>224</v>
      </c>
      <c r="B242" s="114">
        <f t="shared" ref="B242" si="1005">+B240+$B$20</f>
        <v>112</v>
      </c>
      <c r="C242" s="139" t="s">
        <v>102</v>
      </c>
      <c r="D242" s="140" t="s">
        <v>96</v>
      </c>
      <c r="E242" s="141" t="s">
        <v>219</v>
      </c>
      <c r="F242" s="141">
        <v>967340</v>
      </c>
      <c r="G242" s="142">
        <v>4.9761857139999996</v>
      </c>
      <c r="H242" s="143"/>
      <c r="I242" s="144">
        <f t="shared" ref="I242" si="1006">G242+H242+K241</f>
        <v>0.20557142799999806</v>
      </c>
      <c r="J242" s="145"/>
      <c r="K242" s="153">
        <f t="shared" si="878"/>
        <v>0.20557142799999806</v>
      </c>
      <c r="L242" s="155">
        <f t="shared" si="881"/>
        <v>0</v>
      </c>
      <c r="M242" s="748" t="s">
        <v>30</v>
      </c>
      <c r="N242" s="80"/>
      <c r="O242" s="80"/>
      <c r="P242" s="80"/>
      <c r="Q242" s="80"/>
      <c r="R242" s="80"/>
      <c r="S242" s="989"/>
      <c r="T242" s="989"/>
    </row>
    <row r="243" spans="1:21" ht="15" customHeight="1">
      <c r="A243" s="54">
        <v>225</v>
      </c>
      <c r="B243" s="114">
        <f t="shared" ref="B243" si="1007">+B241+$B$19</f>
        <v>113</v>
      </c>
      <c r="C243" s="119" t="s">
        <v>102</v>
      </c>
      <c r="D243" s="120" t="s">
        <v>35</v>
      </c>
      <c r="E243" s="121" t="s">
        <v>220</v>
      </c>
      <c r="F243" s="121">
        <v>903694</v>
      </c>
      <c r="G243" s="126">
        <v>8.6507857139999995</v>
      </c>
      <c r="H243" s="383">
        <f>-13.5</f>
        <v>-13.5</v>
      </c>
      <c r="I243" s="75">
        <f t="shared" ref="I243" si="1008">G243+H243</f>
        <v>-4.8492142860000005</v>
      </c>
      <c r="J243" s="76"/>
      <c r="K243" s="152">
        <f t="shared" si="878"/>
        <v>-4.8492142860000005</v>
      </c>
      <c r="L243" s="154">
        <f t="shared" si="881"/>
        <v>0</v>
      </c>
      <c r="M243" s="1369">
        <v>43629</v>
      </c>
      <c r="N243" s="77">
        <f t="shared" ref="N243:O243" si="1009">G243+G244</f>
        <v>13.626971427999999</v>
      </c>
      <c r="O243" s="78">
        <f t="shared" si="1009"/>
        <v>-13.5</v>
      </c>
      <c r="P243" s="77">
        <f t="shared" ref="P243" si="1010">N243+O243</f>
        <v>0.12697142799999916</v>
      </c>
      <c r="Q243" s="79">
        <f t="shared" ref="Q243" si="1011">J243+J244</f>
        <v>0</v>
      </c>
      <c r="R243" s="77">
        <f t="shared" ref="R243" si="1012">P243-Q243</f>
        <v>0.12697142799999916</v>
      </c>
      <c r="S243" s="988">
        <f t="shared" ref="S243" si="1013">Q243/P243</f>
        <v>0</v>
      </c>
      <c r="T243" s="988">
        <f t="shared" si="887"/>
        <v>0.99068234429998847</v>
      </c>
      <c r="U243" s="1370"/>
    </row>
    <row r="244" spans="1:21" ht="15" customHeight="1" thickBot="1">
      <c r="A244" s="54">
        <v>226</v>
      </c>
      <c r="B244" s="114">
        <f t="shared" ref="B244" si="1014">+B242+$B$20</f>
        <v>113</v>
      </c>
      <c r="C244" s="139" t="s">
        <v>102</v>
      </c>
      <c r="D244" s="140" t="s">
        <v>96</v>
      </c>
      <c r="E244" s="141" t="s">
        <v>220</v>
      </c>
      <c r="F244" s="141">
        <v>903694</v>
      </c>
      <c r="G244" s="142">
        <v>4.9761857139999996</v>
      </c>
      <c r="H244" s="143"/>
      <c r="I244" s="144">
        <f t="shared" ref="I244" si="1015">G244+H244+K243</f>
        <v>0.12697142799999916</v>
      </c>
      <c r="J244" s="145"/>
      <c r="K244" s="153">
        <f t="shared" si="878"/>
        <v>0.12697142799999916</v>
      </c>
      <c r="L244" s="155">
        <f t="shared" si="881"/>
        <v>0</v>
      </c>
      <c r="M244" s="748" t="s">
        <v>30</v>
      </c>
      <c r="N244" s="80"/>
      <c r="O244" s="80"/>
      <c r="P244" s="80"/>
      <c r="Q244" s="80"/>
      <c r="R244" s="80"/>
      <c r="S244" s="989"/>
      <c r="T244" s="989"/>
    </row>
    <row r="245" spans="1:21" ht="15" customHeight="1" thickBot="1">
      <c r="A245" s="54">
        <v>227</v>
      </c>
      <c r="B245" s="114">
        <f t="shared" ref="B245" si="1016">+B243+$B$19</f>
        <v>114</v>
      </c>
      <c r="C245" s="119" t="s">
        <v>102</v>
      </c>
      <c r="D245" s="120" t="s">
        <v>35</v>
      </c>
      <c r="E245" s="121" t="s">
        <v>221</v>
      </c>
      <c r="F245" s="121">
        <v>926653</v>
      </c>
      <c r="G245" s="126">
        <v>8.6507857139999995</v>
      </c>
      <c r="H245" s="340">
        <v>-13.627000000000001</v>
      </c>
      <c r="I245" s="75">
        <f t="shared" ref="I245" si="1017">G245+H245</f>
        <v>-4.9762142860000012</v>
      </c>
      <c r="J245" s="76"/>
      <c r="K245" s="152">
        <f t="shared" si="878"/>
        <v>-4.9762142860000012</v>
      </c>
      <c r="L245" s="154">
        <f t="shared" si="881"/>
        <v>0</v>
      </c>
      <c r="M245" s="429">
        <v>43538</v>
      </c>
      <c r="N245" s="77">
        <f t="shared" ref="N245:O245" si="1018">G245+G246</f>
        <v>13.626971427999999</v>
      </c>
      <c r="O245" s="78">
        <f t="shared" si="1018"/>
        <v>-13.627000000000001</v>
      </c>
      <c r="P245" s="77">
        <f t="shared" ref="P245" si="1019">N245+O245</f>
        <v>-2.8572000001503284E-5</v>
      </c>
      <c r="Q245" s="79">
        <f t="shared" ref="Q245" si="1020">J245+J246</f>
        <v>0</v>
      </c>
      <c r="R245" s="77">
        <f t="shared" ref="R245" si="1021">P245-Q245</f>
        <v>-2.8572000001503284E-5</v>
      </c>
      <c r="S245" s="988">
        <f t="shared" ref="S245" si="1022">Q245/P245</f>
        <v>0</v>
      </c>
      <c r="T245" s="988">
        <f t="shared" si="887"/>
        <v>1.0000020967241439</v>
      </c>
    </row>
    <row r="246" spans="1:21" ht="15" customHeight="1" thickBot="1">
      <c r="A246" s="54">
        <v>228</v>
      </c>
      <c r="B246" s="114">
        <f t="shared" ref="B246" si="1023">+B244+$B$20</f>
        <v>114</v>
      </c>
      <c r="C246" s="139" t="s">
        <v>102</v>
      </c>
      <c r="D246" s="140" t="s">
        <v>96</v>
      </c>
      <c r="E246" s="141" t="s">
        <v>221</v>
      </c>
      <c r="F246" s="141">
        <v>926653</v>
      </c>
      <c r="G246" s="142">
        <v>4.9761857139999996</v>
      </c>
      <c r="H246" s="143"/>
      <c r="I246" s="144">
        <f t="shared" ref="I246" si="1024">G246+H246+K245</f>
        <v>-2.8572000001503284E-5</v>
      </c>
      <c r="J246" s="145"/>
      <c r="K246" s="153">
        <f t="shared" si="878"/>
        <v>-2.8572000001503284E-5</v>
      </c>
      <c r="L246" s="155">
        <f t="shared" si="881"/>
        <v>0</v>
      </c>
      <c r="M246" s="429">
        <v>43538</v>
      </c>
      <c r="N246" s="80"/>
      <c r="O246" s="80"/>
      <c r="P246" s="80"/>
      <c r="Q246" s="80"/>
      <c r="R246" s="80"/>
      <c r="S246" s="989"/>
      <c r="T246" s="989"/>
    </row>
    <row r="247" spans="1:21" ht="15" customHeight="1" thickBot="1">
      <c r="A247" s="54">
        <v>229</v>
      </c>
      <c r="B247" s="114">
        <f t="shared" ref="B247" si="1025">+B245+$B$19</f>
        <v>115</v>
      </c>
      <c r="C247" s="119" t="s">
        <v>102</v>
      </c>
      <c r="D247" s="120" t="s">
        <v>35</v>
      </c>
      <c r="E247" s="121" t="s">
        <v>222</v>
      </c>
      <c r="F247" s="121">
        <v>952559</v>
      </c>
      <c r="G247" s="126">
        <v>8.6507857139999995</v>
      </c>
      <c r="H247" s="340">
        <v>-13.627000000000001</v>
      </c>
      <c r="I247" s="75">
        <f t="shared" ref="I247" si="1026">G247+H247</f>
        <v>-4.9762142860000012</v>
      </c>
      <c r="J247" s="76"/>
      <c r="K247" s="152">
        <f t="shared" si="878"/>
        <v>-4.9762142860000012</v>
      </c>
      <c r="L247" s="154">
        <f t="shared" si="881"/>
        <v>0</v>
      </c>
      <c r="M247" s="429">
        <v>43538</v>
      </c>
      <c r="N247" s="77">
        <f t="shared" ref="N247:O247" si="1027">G247+G248</f>
        <v>13.626971427999999</v>
      </c>
      <c r="O247" s="78">
        <f t="shared" si="1027"/>
        <v>-13.627000000000001</v>
      </c>
      <c r="P247" s="77">
        <f t="shared" ref="P247" si="1028">N247+O247</f>
        <v>-2.8572000001503284E-5</v>
      </c>
      <c r="Q247" s="79">
        <f t="shared" ref="Q247" si="1029">J247+J248</f>
        <v>0</v>
      </c>
      <c r="R247" s="77">
        <f t="shared" ref="R247" si="1030">P247-Q247</f>
        <v>-2.8572000001503284E-5</v>
      </c>
      <c r="S247" s="988">
        <f t="shared" ref="S247" si="1031">Q247/P247</f>
        <v>0</v>
      </c>
      <c r="T247" s="988">
        <f t="shared" si="887"/>
        <v>1.0000020967241439</v>
      </c>
    </row>
    <row r="248" spans="1:21" ht="15" customHeight="1" thickBot="1">
      <c r="A248" s="54">
        <v>230</v>
      </c>
      <c r="B248" s="114">
        <f t="shared" ref="B248" si="1032">+B246+$B$20</f>
        <v>115</v>
      </c>
      <c r="C248" s="139" t="s">
        <v>102</v>
      </c>
      <c r="D248" s="140" t="s">
        <v>96</v>
      </c>
      <c r="E248" s="141" t="s">
        <v>222</v>
      </c>
      <c r="F248" s="141">
        <v>952559</v>
      </c>
      <c r="G248" s="142">
        <v>4.9761857139999996</v>
      </c>
      <c r="H248" s="143"/>
      <c r="I248" s="144">
        <f t="shared" ref="I248" si="1033">G248+H248+K247</f>
        <v>-2.8572000001503284E-5</v>
      </c>
      <c r="J248" s="145"/>
      <c r="K248" s="153">
        <f t="shared" si="878"/>
        <v>-2.8572000001503284E-5</v>
      </c>
      <c r="L248" s="155">
        <f t="shared" si="881"/>
        <v>0</v>
      </c>
      <c r="M248" s="429">
        <v>43538</v>
      </c>
      <c r="N248" s="80"/>
      <c r="O248" s="80"/>
      <c r="P248" s="80"/>
      <c r="Q248" s="80"/>
      <c r="R248" s="80"/>
      <c r="S248" s="989"/>
      <c r="T248" s="989"/>
    </row>
    <row r="249" spans="1:21" ht="15" customHeight="1" thickBot="1">
      <c r="A249" s="54">
        <v>231</v>
      </c>
      <c r="B249" s="114">
        <f t="shared" ref="B249" si="1034">+B247+$B$19</f>
        <v>116</v>
      </c>
      <c r="C249" s="119" t="s">
        <v>102</v>
      </c>
      <c r="D249" s="120" t="s">
        <v>35</v>
      </c>
      <c r="E249" s="121" t="s">
        <v>223</v>
      </c>
      <c r="F249" s="121">
        <v>954115</v>
      </c>
      <c r="G249" s="126">
        <v>8.6507857139999995</v>
      </c>
      <c r="H249" s="340">
        <v>-13.627000000000001</v>
      </c>
      <c r="I249" s="75">
        <f t="shared" ref="I249" si="1035">G249+H249</f>
        <v>-4.9762142860000012</v>
      </c>
      <c r="J249" s="76"/>
      <c r="K249" s="152">
        <f t="shared" si="878"/>
        <v>-4.9762142860000012</v>
      </c>
      <c r="L249" s="154">
        <f t="shared" si="881"/>
        <v>0</v>
      </c>
      <c r="M249" s="429">
        <v>43538</v>
      </c>
      <c r="N249" s="77">
        <f t="shared" ref="N249:O249" si="1036">G249+G250</f>
        <v>13.626971427999999</v>
      </c>
      <c r="O249" s="78">
        <f t="shared" si="1036"/>
        <v>-13.627000000000001</v>
      </c>
      <c r="P249" s="77">
        <f t="shared" ref="P249" si="1037">N249+O249</f>
        <v>-2.8572000001503284E-5</v>
      </c>
      <c r="Q249" s="79">
        <f t="shared" ref="Q249" si="1038">J249+J250</f>
        <v>0</v>
      </c>
      <c r="R249" s="77">
        <f t="shared" ref="R249" si="1039">P249-Q249</f>
        <v>-2.8572000001503284E-5</v>
      </c>
      <c r="S249" s="988">
        <f t="shared" ref="S249" si="1040">Q249/P249</f>
        <v>0</v>
      </c>
      <c r="T249" s="988">
        <f t="shared" si="887"/>
        <v>1.0000020967241439</v>
      </c>
    </row>
    <row r="250" spans="1:21" ht="15" customHeight="1" thickBot="1">
      <c r="A250" s="54">
        <v>232</v>
      </c>
      <c r="B250" s="114">
        <f t="shared" ref="B250" si="1041">+B248+$B$20</f>
        <v>116</v>
      </c>
      <c r="C250" s="139" t="s">
        <v>102</v>
      </c>
      <c r="D250" s="140" t="s">
        <v>96</v>
      </c>
      <c r="E250" s="141" t="s">
        <v>223</v>
      </c>
      <c r="F250" s="141">
        <v>954115</v>
      </c>
      <c r="G250" s="142">
        <v>4.9761857139999996</v>
      </c>
      <c r="H250" s="143"/>
      <c r="I250" s="144">
        <f t="shared" ref="I250" si="1042">G250+H250+K249</f>
        <v>-2.8572000001503284E-5</v>
      </c>
      <c r="J250" s="145"/>
      <c r="K250" s="153">
        <f t="shared" si="878"/>
        <v>-2.8572000001503284E-5</v>
      </c>
      <c r="L250" s="155">
        <f t="shared" si="881"/>
        <v>0</v>
      </c>
      <c r="M250" s="429">
        <v>43538</v>
      </c>
      <c r="N250" s="80"/>
      <c r="O250" s="80"/>
      <c r="P250" s="80"/>
      <c r="Q250" s="80"/>
      <c r="R250" s="80"/>
      <c r="S250" s="989"/>
      <c r="T250" s="989"/>
    </row>
    <row r="251" spans="1:21" ht="15" customHeight="1" thickBot="1">
      <c r="A251" s="54">
        <v>233</v>
      </c>
      <c r="B251" s="114">
        <f t="shared" ref="B251" si="1043">+B249+$B$19</f>
        <v>117</v>
      </c>
      <c r="C251" s="119" t="s">
        <v>102</v>
      </c>
      <c r="D251" s="120" t="s">
        <v>35</v>
      </c>
      <c r="E251" s="121" t="s">
        <v>224</v>
      </c>
      <c r="F251" s="121">
        <v>965998</v>
      </c>
      <c r="G251" s="126">
        <v>8.6507857139999995</v>
      </c>
      <c r="H251" s="340">
        <v>-13.627000000000001</v>
      </c>
      <c r="I251" s="75">
        <f t="shared" ref="I251" si="1044">G251+H251</f>
        <v>-4.9762142860000012</v>
      </c>
      <c r="J251" s="76"/>
      <c r="K251" s="152">
        <f t="shared" si="878"/>
        <v>-4.9762142860000012</v>
      </c>
      <c r="L251" s="154">
        <f t="shared" si="881"/>
        <v>0</v>
      </c>
      <c r="M251" s="429">
        <v>43538</v>
      </c>
      <c r="N251" s="77">
        <f t="shared" ref="N251:O251" si="1045">G251+G252</f>
        <v>13.626971427999999</v>
      </c>
      <c r="O251" s="78">
        <f t="shared" si="1045"/>
        <v>-13.627000000000001</v>
      </c>
      <c r="P251" s="77">
        <f t="shared" ref="P251" si="1046">N251+O251</f>
        <v>-2.8572000001503284E-5</v>
      </c>
      <c r="Q251" s="79">
        <f t="shared" ref="Q251" si="1047">J251+J252</f>
        <v>0</v>
      </c>
      <c r="R251" s="77">
        <f t="shared" ref="R251" si="1048">P251-Q251</f>
        <v>-2.8572000001503284E-5</v>
      </c>
      <c r="S251" s="988">
        <f t="shared" ref="S251" si="1049">Q251/P251</f>
        <v>0</v>
      </c>
      <c r="T251" s="988">
        <f t="shared" si="887"/>
        <v>1.0000020967241439</v>
      </c>
    </row>
    <row r="252" spans="1:21" ht="15" customHeight="1" thickBot="1">
      <c r="A252" s="54">
        <v>234</v>
      </c>
      <c r="B252" s="114">
        <f t="shared" ref="B252" si="1050">+B250+$B$20</f>
        <v>117</v>
      </c>
      <c r="C252" s="139" t="s">
        <v>102</v>
      </c>
      <c r="D252" s="140" t="s">
        <v>96</v>
      </c>
      <c r="E252" s="141" t="s">
        <v>224</v>
      </c>
      <c r="F252" s="141">
        <v>965998</v>
      </c>
      <c r="G252" s="142">
        <v>4.9761857139999996</v>
      </c>
      <c r="H252" s="143"/>
      <c r="I252" s="144">
        <f t="shared" ref="I252" si="1051">G252+H252+K251</f>
        <v>-2.8572000001503284E-5</v>
      </c>
      <c r="J252" s="145"/>
      <c r="K252" s="153">
        <f t="shared" si="878"/>
        <v>-2.8572000001503284E-5</v>
      </c>
      <c r="L252" s="155">
        <f t="shared" si="881"/>
        <v>0</v>
      </c>
      <c r="M252" s="429">
        <v>43538</v>
      </c>
      <c r="N252" s="80"/>
      <c r="O252" s="80"/>
      <c r="P252" s="80"/>
      <c r="Q252" s="80"/>
      <c r="R252" s="80"/>
      <c r="S252" s="989"/>
      <c r="T252" s="989"/>
    </row>
    <row r="253" spans="1:21" ht="15" customHeight="1" thickBot="1">
      <c r="A253" s="54">
        <v>235</v>
      </c>
      <c r="B253" s="114">
        <f t="shared" ref="B253" si="1052">+B251+$B$19</f>
        <v>118</v>
      </c>
      <c r="C253" s="119" t="s">
        <v>102</v>
      </c>
      <c r="D253" s="120" t="s">
        <v>35</v>
      </c>
      <c r="E253" s="121" t="s">
        <v>225</v>
      </c>
      <c r="F253" s="121">
        <v>903728</v>
      </c>
      <c r="G253" s="126">
        <v>8.6507857139999995</v>
      </c>
      <c r="H253" s="340">
        <v>-13.627000000000001</v>
      </c>
      <c r="I253" s="75">
        <f t="shared" ref="I253" si="1053">G253+H253</f>
        <v>-4.9762142860000012</v>
      </c>
      <c r="J253" s="76"/>
      <c r="K253" s="152">
        <f t="shared" si="878"/>
        <v>-4.9762142860000012</v>
      </c>
      <c r="L253" s="154">
        <f t="shared" si="881"/>
        <v>0</v>
      </c>
      <c r="M253" s="429">
        <v>43538</v>
      </c>
      <c r="N253" s="77">
        <f t="shared" ref="N253:O253" si="1054">G253+G254</f>
        <v>13.626971427999999</v>
      </c>
      <c r="O253" s="78">
        <f t="shared" si="1054"/>
        <v>-13.627000000000001</v>
      </c>
      <c r="P253" s="77">
        <f t="shared" ref="P253" si="1055">N253+O253</f>
        <v>-2.8572000001503284E-5</v>
      </c>
      <c r="Q253" s="79">
        <f t="shared" ref="Q253" si="1056">J253+J254</f>
        <v>0</v>
      </c>
      <c r="R253" s="77">
        <f t="shared" ref="R253" si="1057">P253-Q253</f>
        <v>-2.8572000001503284E-5</v>
      </c>
      <c r="S253" s="988">
        <f t="shared" ref="S253" si="1058">Q253/P253</f>
        <v>0</v>
      </c>
      <c r="T253" s="988">
        <f t="shared" si="887"/>
        <v>1.0000020967241439</v>
      </c>
    </row>
    <row r="254" spans="1:21" ht="15" customHeight="1" thickBot="1">
      <c r="A254" s="54">
        <v>236</v>
      </c>
      <c r="B254" s="114">
        <f t="shared" ref="B254" si="1059">+B252+$B$20</f>
        <v>118</v>
      </c>
      <c r="C254" s="139" t="s">
        <v>102</v>
      </c>
      <c r="D254" s="140" t="s">
        <v>96</v>
      </c>
      <c r="E254" s="141" t="s">
        <v>225</v>
      </c>
      <c r="F254" s="141">
        <v>903728</v>
      </c>
      <c r="G254" s="142">
        <v>4.9761857139999996</v>
      </c>
      <c r="H254" s="143"/>
      <c r="I254" s="144">
        <f t="shared" ref="I254" si="1060">G254+H254+K253</f>
        <v>-2.8572000001503284E-5</v>
      </c>
      <c r="J254" s="145"/>
      <c r="K254" s="153">
        <f t="shared" si="878"/>
        <v>-2.8572000001503284E-5</v>
      </c>
      <c r="L254" s="155">
        <f t="shared" si="881"/>
        <v>0</v>
      </c>
      <c r="M254" s="429">
        <v>43538</v>
      </c>
      <c r="N254" s="80"/>
      <c r="O254" s="80"/>
      <c r="P254" s="80"/>
      <c r="Q254" s="80"/>
      <c r="R254" s="80"/>
      <c r="S254" s="989"/>
      <c r="T254" s="989"/>
    </row>
    <row r="255" spans="1:21" ht="15" customHeight="1">
      <c r="A255" s="54">
        <v>237</v>
      </c>
      <c r="B255" s="114">
        <f t="shared" ref="B255" si="1061">+B253+$B$19</f>
        <v>119</v>
      </c>
      <c r="C255" s="119" t="s">
        <v>102</v>
      </c>
      <c r="D255" s="120" t="s">
        <v>35</v>
      </c>
      <c r="E255" s="121" t="s">
        <v>226</v>
      </c>
      <c r="F255" s="121">
        <v>964820</v>
      </c>
      <c r="G255" s="126">
        <v>8.6507857139999995</v>
      </c>
      <c r="H255" s="340">
        <v>-13.627000000000001</v>
      </c>
      <c r="I255" s="75">
        <f t="shared" ref="I255" si="1062">G255+H255</f>
        <v>-4.9762142860000012</v>
      </c>
      <c r="J255" s="76"/>
      <c r="K255" s="152">
        <f t="shared" si="878"/>
        <v>-4.9762142860000012</v>
      </c>
      <c r="L255" s="154">
        <f t="shared" si="881"/>
        <v>0</v>
      </c>
      <c r="M255" s="435">
        <v>43558</v>
      </c>
      <c r="N255" s="77">
        <f t="shared" ref="N255:O255" si="1063">G255+G256</f>
        <v>13.626971427999999</v>
      </c>
      <c r="O255" s="78">
        <f t="shared" si="1063"/>
        <v>-13.627000000000001</v>
      </c>
      <c r="P255" s="77">
        <f t="shared" ref="P255" si="1064">N255+O255</f>
        <v>-2.8572000001503284E-5</v>
      </c>
      <c r="Q255" s="79">
        <f t="shared" ref="Q255" si="1065">J255+J256</f>
        <v>0</v>
      </c>
      <c r="R255" s="77">
        <f t="shared" ref="R255" si="1066">P255-Q255</f>
        <v>-2.8572000001503284E-5</v>
      </c>
      <c r="S255" s="988">
        <f t="shared" ref="S255" si="1067">Q255/P255</f>
        <v>0</v>
      </c>
      <c r="T255" s="988">
        <f t="shared" si="887"/>
        <v>1.0000020967241439</v>
      </c>
    </row>
    <row r="256" spans="1:21" ht="15" customHeight="1" thickBot="1">
      <c r="A256" s="54">
        <v>238</v>
      </c>
      <c r="B256" s="114">
        <f t="shared" ref="B256" si="1068">+B254+$B$20</f>
        <v>119</v>
      </c>
      <c r="C256" s="139" t="s">
        <v>102</v>
      </c>
      <c r="D256" s="140" t="s">
        <v>96</v>
      </c>
      <c r="E256" s="141" t="s">
        <v>226</v>
      </c>
      <c r="F256" s="141">
        <v>964820</v>
      </c>
      <c r="G256" s="142">
        <v>4.9761857139999996</v>
      </c>
      <c r="H256" s="143"/>
      <c r="I256" s="144">
        <f t="shared" ref="I256" si="1069">G256+H256+K255</f>
        <v>-2.8572000001503284E-5</v>
      </c>
      <c r="J256" s="145"/>
      <c r="K256" s="153">
        <f t="shared" si="878"/>
        <v>-2.8572000001503284E-5</v>
      </c>
      <c r="L256" s="155">
        <f t="shared" si="881"/>
        <v>0</v>
      </c>
      <c r="M256" s="436">
        <v>43558</v>
      </c>
      <c r="N256" s="80"/>
      <c r="O256" s="80"/>
      <c r="P256" s="80"/>
      <c r="Q256" s="80"/>
      <c r="R256" s="80"/>
      <c r="S256" s="989"/>
      <c r="T256" s="989"/>
    </row>
    <row r="257" spans="1:21" ht="15" customHeight="1">
      <c r="A257" s="54">
        <v>239</v>
      </c>
      <c r="B257" s="114">
        <f t="shared" ref="B257" si="1070">+B255+$B$19</f>
        <v>120</v>
      </c>
      <c r="C257" s="119" t="s">
        <v>102</v>
      </c>
      <c r="D257" s="120" t="s">
        <v>35</v>
      </c>
      <c r="E257" s="121" t="s">
        <v>227</v>
      </c>
      <c r="F257" s="121">
        <v>951906</v>
      </c>
      <c r="G257" s="126">
        <v>8.6507857139999995</v>
      </c>
      <c r="H257" s="344">
        <v>-13.5</v>
      </c>
      <c r="I257" s="75">
        <f t="shared" ref="I257" si="1071">G257+H257</f>
        <v>-4.8492142860000005</v>
      </c>
      <c r="J257" s="76"/>
      <c r="K257" s="152">
        <f t="shared" si="878"/>
        <v>-4.8492142860000005</v>
      </c>
      <c r="L257" s="154">
        <f t="shared" si="881"/>
        <v>0</v>
      </c>
      <c r="M257" s="1369">
        <v>43629</v>
      </c>
      <c r="N257" s="77">
        <f t="shared" ref="N257:O257" si="1072">G257+G258</f>
        <v>13.626971427999999</v>
      </c>
      <c r="O257" s="78">
        <f t="shared" si="1072"/>
        <v>-13.5</v>
      </c>
      <c r="P257" s="77">
        <f t="shared" ref="P257" si="1073">N257+O257</f>
        <v>0.12697142799999916</v>
      </c>
      <c r="Q257" s="79">
        <f t="shared" ref="Q257" si="1074">J257+J258</f>
        <v>0</v>
      </c>
      <c r="R257" s="77">
        <f t="shared" ref="R257" si="1075">P257-Q257</f>
        <v>0.12697142799999916</v>
      </c>
      <c r="S257" s="988">
        <f t="shared" ref="S257" si="1076">Q257/P257</f>
        <v>0</v>
      </c>
      <c r="T257" s="988">
        <f t="shared" si="887"/>
        <v>0.99068234429998847</v>
      </c>
      <c r="U257" s="1370"/>
    </row>
    <row r="258" spans="1:21" ht="15" customHeight="1" thickBot="1">
      <c r="A258" s="54">
        <v>240</v>
      </c>
      <c r="B258" s="114">
        <f t="shared" ref="B258" si="1077">+B256+$B$20</f>
        <v>120</v>
      </c>
      <c r="C258" s="139" t="s">
        <v>102</v>
      </c>
      <c r="D258" s="140" t="s">
        <v>96</v>
      </c>
      <c r="E258" s="141" t="s">
        <v>227</v>
      </c>
      <c r="F258" s="141">
        <v>951906</v>
      </c>
      <c r="G258" s="142">
        <v>4.9761857139999996</v>
      </c>
      <c r="H258" s="143"/>
      <c r="I258" s="144">
        <f t="shared" ref="I258" si="1078">G258+H258+K257</f>
        <v>0.12697142799999916</v>
      </c>
      <c r="J258" s="145"/>
      <c r="K258" s="153">
        <f t="shared" si="878"/>
        <v>0.12697142799999916</v>
      </c>
      <c r="L258" s="155">
        <f t="shared" si="881"/>
        <v>0</v>
      </c>
      <c r="N258" s="80"/>
      <c r="O258" s="80"/>
      <c r="P258" s="80"/>
      <c r="Q258" s="80"/>
      <c r="R258" s="80"/>
      <c r="S258" s="989"/>
      <c r="T258" s="989"/>
    </row>
    <row r="259" spans="1:21" ht="15" customHeight="1" thickBot="1">
      <c r="A259" s="54">
        <v>241</v>
      </c>
      <c r="B259" s="114">
        <f t="shared" ref="B259" si="1079">+B257+$B$19</f>
        <v>121</v>
      </c>
      <c r="C259" s="119" t="s">
        <v>102</v>
      </c>
      <c r="D259" s="120" t="s">
        <v>35</v>
      </c>
      <c r="E259" s="121" t="s">
        <v>228</v>
      </c>
      <c r="F259" s="121">
        <v>951069</v>
      </c>
      <c r="G259" s="126">
        <v>8.6507857139999995</v>
      </c>
      <c r="H259" s="340">
        <v>-13.627000000000001</v>
      </c>
      <c r="I259" s="75">
        <f t="shared" ref="I259" si="1080">G259+H259</f>
        <v>-4.9762142860000012</v>
      </c>
      <c r="J259" s="76"/>
      <c r="K259" s="152">
        <f t="shared" si="878"/>
        <v>-4.9762142860000012</v>
      </c>
      <c r="L259" s="154">
        <f t="shared" si="881"/>
        <v>0</v>
      </c>
      <c r="M259" s="429">
        <v>43538</v>
      </c>
      <c r="N259" s="77">
        <f t="shared" ref="N259:O259" si="1081">G259+G260</f>
        <v>13.626971427999999</v>
      </c>
      <c r="O259" s="78">
        <f t="shared" si="1081"/>
        <v>-13.627000000000001</v>
      </c>
      <c r="P259" s="77">
        <f t="shared" ref="P259" si="1082">N259+O259</f>
        <v>-2.8572000001503284E-5</v>
      </c>
      <c r="Q259" s="79">
        <f t="shared" ref="Q259" si="1083">J259+J260</f>
        <v>0</v>
      </c>
      <c r="R259" s="77">
        <f t="shared" ref="R259" si="1084">P259-Q259</f>
        <v>-2.8572000001503284E-5</v>
      </c>
      <c r="S259" s="988">
        <f t="shared" ref="S259" si="1085">Q259/P259</f>
        <v>0</v>
      </c>
      <c r="T259" s="988">
        <f t="shared" si="887"/>
        <v>1.0000020967241439</v>
      </c>
    </row>
    <row r="260" spans="1:21" ht="15" customHeight="1" thickBot="1">
      <c r="A260" s="54">
        <v>242</v>
      </c>
      <c r="B260" s="114">
        <f t="shared" ref="B260" si="1086">+B258+$B$20</f>
        <v>121</v>
      </c>
      <c r="C260" s="139" t="s">
        <v>102</v>
      </c>
      <c r="D260" s="140" t="s">
        <v>96</v>
      </c>
      <c r="E260" s="141" t="s">
        <v>228</v>
      </c>
      <c r="F260" s="141">
        <v>951069</v>
      </c>
      <c r="G260" s="142">
        <v>4.9761857139999996</v>
      </c>
      <c r="H260" s="143"/>
      <c r="I260" s="144">
        <f t="shared" ref="I260" si="1087">G260+H260+K259</f>
        <v>-2.8572000001503284E-5</v>
      </c>
      <c r="J260" s="145"/>
      <c r="K260" s="153">
        <f t="shared" si="878"/>
        <v>-2.8572000001503284E-5</v>
      </c>
      <c r="L260" s="155">
        <f t="shared" si="881"/>
        <v>0</v>
      </c>
      <c r="M260" s="429">
        <v>43538</v>
      </c>
      <c r="N260" s="80"/>
      <c r="O260" s="80"/>
      <c r="P260" s="80"/>
      <c r="Q260" s="80"/>
      <c r="R260" s="80"/>
      <c r="S260" s="989"/>
      <c r="T260" s="989"/>
    </row>
    <row r="261" spans="1:21" ht="15" customHeight="1" thickBot="1">
      <c r="A261" s="54">
        <v>243</v>
      </c>
      <c r="B261" s="114">
        <f t="shared" ref="B261" si="1088">+B259+$B$19</f>
        <v>122</v>
      </c>
      <c r="C261" s="119" t="s">
        <v>102</v>
      </c>
      <c r="D261" s="120" t="s">
        <v>35</v>
      </c>
      <c r="E261" s="121" t="s">
        <v>229</v>
      </c>
      <c r="F261" s="121">
        <v>965847</v>
      </c>
      <c r="G261" s="126">
        <v>8.6507857139999995</v>
      </c>
      <c r="H261" s="340">
        <v>-13.627000000000001</v>
      </c>
      <c r="I261" s="75">
        <f t="shared" ref="I261" si="1089">G261+H261</f>
        <v>-4.9762142860000012</v>
      </c>
      <c r="J261" s="76"/>
      <c r="K261" s="152">
        <f t="shared" si="878"/>
        <v>-4.9762142860000012</v>
      </c>
      <c r="L261" s="154">
        <f t="shared" si="881"/>
        <v>0</v>
      </c>
      <c r="M261" s="429">
        <v>43538</v>
      </c>
      <c r="N261" s="77">
        <f t="shared" ref="N261:O261" si="1090">G261+G262</f>
        <v>13.626971427999999</v>
      </c>
      <c r="O261" s="78">
        <f t="shared" si="1090"/>
        <v>-13.627000000000001</v>
      </c>
      <c r="P261" s="77">
        <f t="shared" ref="P261" si="1091">N261+O261</f>
        <v>-2.8572000001503284E-5</v>
      </c>
      <c r="Q261" s="79">
        <f t="shared" ref="Q261" si="1092">J261+J262</f>
        <v>0</v>
      </c>
      <c r="R261" s="77">
        <f t="shared" ref="R261" si="1093">P261-Q261</f>
        <v>-2.8572000001503284E-5</v>
      </c>
      <c r="S261" s="988">
        <f t="shared" ref="S261" si="1094">Q261/P261</f>
        <v>0</v>
      </c>
      <c r="T261" s="988">
        <f t="shared" si="887"/>
        <v>1.0000020967241439</v>
      </c>
    </row>
    <row r="262" spans="1:21" ht="15" customHeight="1" thickBot="1">
      <c r="A262" s="54">
        <v>244</v>
      </c>
      <c r="B262" s="114">
        <f t="shared" ref="B262" si="1095">+B260+$B$20</f>
        <v>122</v>
      </c>
      <c r="C262" s="139" t="s">
        <v>102</v>
      </c>
      <c r="D262" s="140" t="s">
        <v>96</v>
      </c>
      <c r="E262" s="141" t="s">
        <v>229</v>
      </c>
      <c r="F262" s="141">
        <v>965847</v>
      </c>
      <c r="G262" s="142">
        <v>4.9761857139999996</v>
      </c>
      <c r="H262" s="143"/>
      <c r="I262" s="144">
        <f t="shared" ref="I262" si="1096">G262+H262+K261</f>
        <v>-2.8572000001503284E-5</v>
      </c>
      <c r="J262" s="145"/>
      <c r="K262" s="153">
        <f t="shared" si="878"/>
        <v>-2.8572000001503284E-5</v>
      </c>
      <c r="L262" s="155">
        <f t="shared" si="881"/>
        <v>0</v>
      </c>
      <c r="M262" s="429">
        <v>43538</v>
      </c>
      <c r="N262" s="80"/>
      <c r="O262" s="80"/>
      <c r="P262" s="80"/>
      <c r="Q262" s="80"/>
      <c r="R262" s="80"/>
      <c r="S262" s="989"/>
      <c r="T262" s="989"/>
    </row>
    <row r="263" spans="1:21" ht="15" customHeight="1" thickBot="1">
      <c r="A263" s="54">
        <v>245</v>
      </c>
      <c r="B263" s="114">
        <f t="shared" ref="B263" si="1097">+B261+$B$19</f>
        <v>123</v>
      </c>
      <c r="C263" s="119" t="s">
        <v>102</v>
      </c>
      <c r="D263" s="120" t="s">
        <v>35</v>
      </c>
      <c r="E263" s="121" t="s">
        <v>230</v>
      </c>
      <c r="F263" s="121">
        <v>900780</v>
      </c>
      <c r="G263" s="126">
        <v>8.6507857139999995</v>
      </c>
      <c r="H263" s="340">
        <v>-13.627000000000001</v>
      </c>
      <c r="I263" s="75">
        <f t="shared" ref="I263" si="1098">G263+H263</f>
        <v>-4.9762142860000012</v>
      </c>
      <c r="J263" s="76"/>
      <c r="K263" s="152">
        <f t="shared" si="878"/>
        <v>-4.9762142860000012</v>
      </c>
      <c r="L263" s="154">
        <f t="shared" si="881"/>
        <v>0</v>
      </c>
      <c r="M263" s="429">
        <v>43538</v>
      </c>
      <c r="N263" s="77">
        <f t="shared" ref="N263:O263" si="1099">G263+G264</f>
        <v>13.626971427999999</v>
      </c>
      <c r="O263" s="78">
        <f t="shared" si="1099"/>
        <v>-13.627000000000001</v>
      </c>
      <c r="P263" s="77">
        <f t="shared" ref="P263" si="1100">N263+O263</f>
        <v>-2.8572000001503284E-5</v>
      </c>
      <c r="Q263" s="79">
        <f t="shared" ref="Q263" si="1101">J263+J264</f>
        <v>0</v>
      </c>
      <c r="R263" s="77">
        <f t="shared" ref="R263" si="1102">P263-Q263</f>
        <v>-2.8572000001503284E-5</v>
      </c>
      <c r="S263" s="988">
        <f t="shared" ref="S263" si="1103">Q263/P263</f>
        <v>0</v>
      </c>
      <c r="T263" s="988">
        <f t="shared" si="887"/>
        <v>1.0000020967241439</v>
      </c>
    </row>
    <row r="264" spans="1:21" ht="15" customHeight="1" thickBot="1">
      <c r="A264" s="54">
        <v>246</v>
      </c>
      <c r="B264" s="114">
        <f t="shared" ref="B264" si="1104">+B262+$B$20</f>
        <v>123</v>
      </c>
      <c r="C264" s="139" t="s">
        <v>102</v>
      </c>
      <c r="D264" s="140" t="s">
        <v>96</v>
      </c>
      <c r="E264" s="141" t="s">
        <v>230</v>
      </c>
      <c r="F264" s="141">
        <v>900780</v>
      </c>
      <c r="G264" s="142">
        <v>4.9761857139999996</v>
      </c>
      <c r="H264" s="143"/>
      <c r="I264" s="144">
        <f t="shared" ref="I264" si="1105">G264+H264+K263</f>
        <v>-2.8572000001503284E-5</v>
      </c>
      <c r="J264" s="145"/>
      <c r="K264" s="153">
        <f t="shared" si="878"/>
        <v>-2.8572000001503284E-5</v>
      </c>
      <c r="L264" s="155">
        <f t="shared" si="881"/>
        <v>0</v>
      </c>
      <c r="M264" s="429">
        <v>43538</v>
      </c>
      <c r="N264" s="80"/>
      <c r="O264" s="80"/>
      <c r="P264" s="80"/>
      <c r="Q264" s="80"/>
      <c r="R264" s="80"/>
      <c r="S264" s="989"/>
      <c r="T264" s="989"/>
    </row>
    <row r="265" spans="1:21" ht="15" customHeight="1">
      <c r="A265" s="54">
        <v>247</v>
      </c>
      <c r="B265" s="114">
        <f t="shared" ref="B265" si="1106">+B263+$B$19</f>
        <v>124</v>
      </c>
      <c r="C265" s="119" t="s">
        <v>102</v>
      </c>
      <c r="D265" s="120" t="s">
        <v>35</v>
      </c>
      <c r="E265" s="121" t="s">
        <v>231</v>
      </c>
      <c r="F265" s="121">
        <v>918523</v>
      </c>
      <c r="G265" s="126">
        <v>8.6507857139999995</v>
      </c>
      <c r="H265" s="344">
        <v>-13</v>
      </c>
      <c r="I265" s="75">
        <f t="shared" ref="I265" si="1107">G265+H265</f>
        <v>-4.3492142860000005</v>
      </c>
      <c r="J265" s="418">
        <v>0.33300000000000002</v>
      </c>
      <c r="K265" s="152">
        <f t="shared" si="878"/>
        <v>-4.6822142860000007</v>
      </c>
      <c r="L265" s="747">
        <f t="shared" si="881"/>
        <v>-7.6565553707463374E-2</v>
      </c>
      <c r="M265" s="1369">
        <v>43629</v>
      </c>
      <c r="N265" s="77">
        <f t="shared" ref="N265:O265" si="1108">G265+G266</f>
        <v>13.626971427999999</v>
      </c>
      <c r="O265" s="78">
        <f t="shared" si="1108"/>
        <v>-13</v>
      </c>
      <c r="P265" s="77">
        <f t="shared" ref="P265" si="1109">N265+O265</f>
        <v>0.62697142799999916</v>
      </c>
      <c r="Q265" s="79">
        <f t="shared" ref="Q265" si="1110">J265+J266</f>
        <v>0.33300000000000002</v>
      </c>
      <c r="R265" s="77">
        <f t="shared" ref="R265" si="1111">P265-Q265</f>
        <v>0.29397142799999915</v>
      </c>
      <c r="S265" s="988">
        <f t="shared" ref="S265" si="1112">Q265/P265</f>
        <v>0.53112468149027114</v>
      </c>
      <c r="T265" s="988">
        <f t="shared" si="887"/>
        <v>0.92955357446281139</v>
      </c>
      <c r="U265" s="1370"/>
    </row>
    <row r="266" spans="1:21" ht="15" customHeight="1" thickBot="1">
      <c r="A266" s="54">
        <v>248</v>
      </c>
      <c r="B266" s="114">
        <f t="shared" ref="B266" si="1113">+B264+$B$20</f>
        <v>124</v>
      </c>
      <c r="C266" s="139" t="s">
        <v>102</v>
      </c>
      <c r="D266" s="140" t="s">
        <v>96</v>
      </c>
      <c r="E266" s="141" t="s">
        <v>231</v>
      </c>
      <c r="F266" s="141">
        <v>918523</v>
      </c>
      <c r="G266" s="142">
        <v>4.9761857139999996</v>
      </c>
      <c r="H266" s="143"/>
      <c r="I266" s="144">
        <f t="shared" ref="I266" si="1114">G266+H266+K265</f>
        <v>0.29397142799999898</v>
      </c>
      <c r="J266" s="145"/>
      <c r="K266" s="153">
        <f t="shared" si="878"/>
        <v>0.29397142799999898</v>
      </c>
      <c r="L266" s="155">
        <f t="shared" si="881"/>
        <v>0</v>
      </c>
      <c r="M266" s="430" t="s">
        <v>30</v>
      </c>
      <c r="N266" s="80"/>
      <c r="O266" s="80"/>
      <c r="P266" s="80"/>
      <c r="Q266" s="80"/>
      <c r="R266" s="80"/>
      <c r="S266" s="989"/>
      <c r="T266" s="989"/>
    </row>
    <row r="267" spans="1:21" ht="15" customHeight="1" thickBot="1">
      <c r="A267" s="54">
        <v>249</v>
      </c>
      <c r="B267" s="114">
        <f t="shared" ref="B267" si="1115">+B265+$B$19</f>
        <v>125</v>
      </c>
      <c r="C267" s="119" t="s">
        <v>102</v>
      </c>
      <c r="D267" s="120" t="s">
        <v>35</v>
      </c>
      <c r="E267" s="121" t="s">
        <v>232</v>
      </c>
      <c r="F267" s="121">
        <v>951031</v>
      </c>
      <c r="G267" s="126">
        <v>8.6507857139999995</v>
      </c>
      <c r="H267" s="340">
        <v>-13.627000000000001</v>
      </c>
      <c r="I267" s="75">
        <f t="shared" ref="I267" si="1116">G267+H267</f>
        <v>-4.9762142860000012</v>
      </c>
      <c r="J267" s="76"/>
      <c r="K267" s="152">
        <f>I267-J267</f>
        <v>-4.9762142860000012</v>
      </c>
      <c r="L267" s="154">
        <f t="shared" si="881"/>
        <v>0</v>
      </c>
      <c r="M267" s="429">
        <v>43538</v>
      </c>
      <c r="N267" s="77">
        <f t="shared" ref="N267:O267" si="1117">G267+G268</f>
        <v>13.626971427999999</v>
      </c>
      <c r="O267" s="78">
        <f t="shared" si="1117"/>
        <v>-13.627000000000001</v>
      </c>
      <c r="P267" s="77">
        <f t="shared" ref="P267" si="1118">N267+O267</f>
        <v>-2.8572000001503284E-5</v>
      </c>
      <c r="Q267" s="79">
        <f t="shared" ref="Q267" si="1119">J267+J268</f>
        <v>0</v>
      </c>
      <c r="R267" s="77">
        <f t="shared" ref="R267" si="1120">P267-Q267</f>
        <v>-2.8572000001503284E-5</v>
      </c>
      <c r="S267" s="988">
        <f t="shared" ref="S267" si="1121">Q267/P267</f>
        <v>0</v>
      </c>
      <c r="T267" s="988">
        <f t="shared" si="887"/>
        <v>1.0000020967241439</v>
      </c>
    </row>
    <row r="268" spans="1:21" ht="15" customHeight="1" thickBot="1">
      <c r="A268" s="54">
        <v>250</v>
      </c>
      <c r="B268" s="114">
        <f t="shared" ref="B268" si="1122">+B266+$B$20</f>
        <v>125</v>
      </c>
      <c r="C268" s="139" t="s">
        <v>102</v>
      </c>
      <c r="D268" s="140" t="s">
        <v>96</v>
      </c>
      <c r="E268" s="141" t="s">
        <v>232</v>
      </c>
      <c r="F268" s="141">
        <v>951031</v>
      </c>
      <c r="G268" s="142">
        <v>4.9761857139999996</v>
      </c>
      <c r="H268" s="143"/>
      <c r="I268" s="144">
        <f t="shared" ref="I268" si="1123">G268+H268+K267</f>
        <v>-2.8572000001503284E-5</v>
      </c>
      <c r="J268" s="145"/>
      <c r="K268" s="153">
        <f t="shared" si="878"/>
        <v>-2.8572000001503284E-5</v>
      </c>
      <c r="L268" s="155">
        <f t="shared" si="881"/>
        <v>0</v>
      </c>
      <c r="M268" s="429">
        <v>43538</v>
      </c>
      <c r="N268" s="80"/>
      <c r="O268" s="80"/>
      <c r="P268" s="80"/>
      <c r="Q268" s="80"/>
      <c r="R268" s="80"/>
      <c r="S268" s="989"/>
      <c r="T268" s="989"/>
    </row>
    <row r="269" spans="1:21" ht="15" customHeight="1" thickBot="1">
      <c r="A269" s="54">
        <v>251</v>
      </c>
      <c r="B269" s="114">
        <f t="shared" ref="B269" si="1124">+B267+$B$19</f>
        <v>126</v>
      </c>
      <c r="C269" s="119" t="s">
        <v>102</v>
      </c>
      <c r="D269" s="120" t="s">
        <v>35</v>
      </c>
      <c r="E269" s="121" t="s">
        <v>233</v>
      </c>
      <c r="F269" s="121">
        <v>924063</v>
      </c>
      <c r="G269" s="126">
        <v>8.6507857139999995</v>
      </c>
      <c r="H269" s="382">
        <f>-13.627</f>
        <v>-13.627000000000001</v>
      </c>
      <c r="I269" s="75">
        <f t="shared" ref="I269" si="1125">G269+H269</f>
        <v>-4.9762142860000012</v>
      </c>
      <c r="J269" s="76"/>
      <c r="K269" s="152">
        <f t="shared" si="878"/>
        <v>-4.9762142860000012</v>
      </c>
      <c r="L269" s="154">
        <f t="shared" si="881"/>
        <v>0</v>
      </c>
      <c r="M269" s="434">
        <v>43538</v>
      </c>
      <c r="N269" s="77">
        <f t="shared" ref="N269:O269" si="1126">G269+G270</f>
        <v>13.626971427999999</v>
      </c>
      <c r="O269" s="78">
        <f t="shared" si="1126"/>
        <v>-13.627000000000001</v>
      </c>
      <c r="P269" s="77">
        <f t="shared" ref="P269" si="1127">N269+O269</f>
        <v>-2.8572000001503284E-5</v>
      </c>
      <c r="Q269" s="79">
        <f t="shared" ref="Q269" si="1128">J269+J270</f>
        <v>0</v>
      </c>
      <c r="R269" s="77">
        <f>P269-Q269</f>
        <v>-2.8572000001503284E-5</v>
      </c>
      <c r="S269" s="988">
        <f t="shared" ref="S269" si="1129">Q269/P269</f>
        <v>0</v>
      </c>
      <c r="T269" s="988">
        <f t="shared" si="887"/>
        <v>1.0000020967241439</v>
      </c>
    </row>
    <row r="270" spans="1:21" ht="15" customHeight="1" thickBot="1">
      <c r="A270" s="54">
        <v>252</v>
      </c>
      <c r="B270" s="114">
        <f t="shared" ref="B270" si="1130">+B268+$B$20</f>
        <v>126</v>
      </c>
      <c r="C270" s="139" t="s">
        <v>102</v>
      </c>
      <c r="D270" s="140" t="s">
        <v>96</v>
      </c>
      <c r="E270" s="141" t="s">
        <v>233</v>
      </c>
      <c r="F270" s="141">
        <v>924063</v>
      </c>
      <c r="G270" s="142">
        <v>4.9761857139999996</v>
      </c>
      <c r="H270" s="143"/>
      <c r="I270" s="144">
        <f t="shared" ref="I270:I272" si="1131">G270+H270+K269</f>
        <v>-2.8572000001503284E-5</v>
      </c>
      <c r="J270" s="145"/>
      <c r="K270" s="153">
        <f t="shared" si="878"/>
        <v>-2.8572000001503284E-5</v>
      </c>
      <c r="L270" s="155">
        <f t="shared" si="881"/>
        <v>0</v>
      </c>
      <c r="M270" s="434">
        <v>43538</v>
      </c>
      <c r="N270" s="80"/>
      <c r="O270" s="80"/>
      <c r="P270" s="80"/>
      <c r="Q270" s="80"/>
      <c r="R270" s="80"/>
      <c r="S270" s="989"/>
      <c r="T270" s="989"/>
    </row>
    <row r="271" spans="1:21" ht="15" customHeight="1" thickBot="1">
      <c r="C271" s="1005" t="s">
        <v>62</v>
      </c>
      <c r="D271" s="1006"/>
      <c r="E271" s="1007"/>
      <c r="F271" s="146" t="s">
        <v>78</v>
      </c>
      <c r="G271" s="146">
        <f>+G19+G21+G23+G25+G27+G29+G31+G33+G35+G37+G39+G41+G43+G45+G47+G49+G51+G53+G55+G57+G59+G61+G63+G65+G67+G69+G71+G73+G75+G77+G79+G81+G83+G85+G87+G89+G91+G93+G95+G97+G99+G101+G103+G105+G107+G109+G111+G113+G115+G117+G119+G121+G123+G125+G127+G129+G131+G133+G135+G137+G139+G141+G143+G145+G147+G149+G151+G153+G155+G157+G159+G161+G163+G165+G167+G169+G171+G173+G175+G177+G179+G181+G183+G185+G187+G189+G191+G193+G195+G197+G199+G231+G201+G203+G205+G207+G209+G211+G213+G215+G217+G219+G221+G223+G225+G227+G229+G233+G235+G237+G239+G241+G243+G245+G247+G249+G251+G253+G257+G255+G259+G261++G263+G265+G267+G269</f>
        <v>1089.9989999639995</v>
      </c>
      <c r="H271" s="342">
        <f>+H19+H21+H23+H25+H27+H29+H31+H33+H35+H37+H39+H41+H43+H45+H47+H49+H51+H53+H55+H57+H59+H61+H63+H65+H67+H69+H71+H73+H75+H77+H79+H81+H83+H85+H87+H89+H91+H93+H95+H97+H99+H101+H103+H105+H107+H109+H111+H113+H115+H117+H119+H121+H123+H125+H127+H129+H131+H133+H135+H137+H139+H141+H143+H145+H147+H149+H151+H153+H155+H157+H159+H161+H163+H165+H167+H169+H171+H173+H175+H177+H179+H181+H183+H185+H187+H189+H191+H193+H195+H197+H199+H201+H203+H205+H207+H209+H211+H213+H215+H217+H219+H221+H223+H225+H227+H229+H231+H233+H235+H237+H239+H241+H243+H245+H247+H249+H251+H253+H255+H257+H259+H261+H263+H265+H267+H269</f>
        <v>-1684.2209999999966</v>
      </c>
      <c r="I271" s="147">
        <f>G271+H271</f>
        <v>-594.2220000359971</v>
      </c>
      <c r="J271" s="146">
        <f>+J19+J21+J23+J25+J27+J29+J31+J33+J35+J37+J39+J41+J43+J45+J47+J49+J51+J53+J55+J57+J59+J61+J63+J65+J67+J69+J71+J73+J75+J77+J79+J81+J83+J85+J87+J89+J91+J93+J95+J97+J99+J101+J103+J105+J107+J109+J111+J113+J115+J117+J119+J121+J123+J125+J127+J129+J131+J133+J135+J137+J139+J141+J143+J145+J147+J149+J151+J153+J155+J157+J159+J161+J163+J165+J167+J169+J171+J173+J175+J177+J179+J181+J183+J185+J187+J189+J191+J193+J195+J197+J199+J201+J203+J205+J207+J209+J211+J213+J215+J217+J219+J221+J223+J225+J227+J229+J231+J233+J235+J237+J239+J241+J243+J245+J247+J249+J251+J253+J255+J257+J259+J261+J263+J265+J267+J269</f>
        <v>4.9374000000000002</v>
      </c>
      <c r="K271" s="146">
        <f>I271-J271</f>
        <v>-599.15940003599712</v>
      </c>
      <c r="L271" s="148">
        <f t="shared" si="881"/>
        <v>-8.3090158218660694E-3</v>
      </c>
      <c r="M271" s="396" t="s">
        <v>30</v>
      </c>
      <c r="N271" s="1011">
        <f>SUM(N19:N270)</f>
        <v>1716.9983999279982</v>
      </c>
      <c r="O271" s="1013">
        <f>H271+H272</f>
        <v>-1684.2209999999966</v>
      </c>
      <c r="P271" s="1015">
        <f>N271+O271</f>
        <v>32.777399928001614</v>
      </c>
      <c r="Q271" s="1015">
        <f>J271+J272</f>
        <v>4.9374000000000002</v>
      </c>
      <c r="R271" s="1017">
        <f>SUM(R19:R270)</f>
        <v>27.839999927999816</v>
      </c>
      <c r="S271" s="1003">
        <f>Q271/P271</f>
        <v>0.15063427882765032</v>
      </c>
      <c r="T271" s="988">
        <f t="shared" ref="T271" si="1132">((Q271+O271)/N271)*-1</f>
        <v>0.97803445831423996</v>
      </c>
    </row>
    <row r="272" spans="1:21" ht="15" customHeight="1" thickBot="1">
      <c r="C272" s="1008"/>
      <c r="D272" s="1009"/>
      <c r="E272" s="1010"/>
      <c r="F272" s="149" t="s">
        <v>79</v>
      </c>
      <c r="G272" s="149">
        <f>+G20+G22+G24+G26+G28+G30+G32+G34+G36+G38+G40+G42+G44+G46+G48+G50+G52+G54+G56+G58+G60+G62+G64+G66+G68+G70+G72+G74+G76+G78+G80+G82+G84+G86+G88+G90+G92+G94+G96+G98+G100+G102+G104+G106+G108+G110+G112+G114+G116+G118+G120+G122+G124+G126+G128+G130+G132+G134+G136+G138+G140+G142+G144+G146+G148+G150+G152+G154+G156+G158+G160+G162+G164+G166+G168+G170+G172+G174+G176+G178+G180+G182+G184+G186+G188+G190+G192+G194+G196+G198+G200+G232+G202+G204+G206+G208+G210+G212+G214+G216+G218+G220+G222+G224+G226+G228+G230+G234+G236+G238+G240+G242+G244+G246+G248+G250+G252+G254+G258+G256+G260+G262++G264+G266+G268+G270</f>
        <v>626.99939996400087</v>
      </c>
      <c r="H272" s="131">
        <f>+H20+H22+H24+H26+H28+H30+H32+H34+H36+H38+H40+H42+H44+H46+H48+H50+H52+H54+H56+H58+H60+H62+H64+H66+H68+H70+H72+H74+H76+H78+H80+H82+H84+H86+H88+H90+H92+H94+H96+H98+H100+H102+H104+H106+H108+H110+H112+H114+H116+H118+H120+H122+H124+H126+H128+H130+H132+H134+H136+H138+H140+H142+H144+H146+H148+H150+H152+H154+H156+H158+H160+H162+H164+H166+H168+H170+H172+H174+H176+H178+H180+H182+H184+H186+H188+H190+H192+H194+H196+H198+H200+H202+H204+H206+H208+H210+H212+H214+H216+H218+H220+H222+H224+H226+H228+H230+H232+H234+H236+H238+H240+H242+H244+H246+H248+H250+H252+H254+H256+H258+H260+H262+H264+H266+H268+H270</f>
        <v>0</v>
      </c>
      <c r="I272" s="150">
        <f t="shared" si="1131"/>
        <v>27.839999928003749</v>
      </c>
      <c r="J272" s="146">
        <f>+J20+J22+J24+J26+J28+J30+J32+J34+J36+J38+J40+J42+J44+J46+J48+J50+J52+J54+J56+J58+J60+J62+J64+J66+J68+J70+J72+J74+J76+J78+J80+J82+J84+J86+J88+J90+J92+J94+J96+J98+J100+J102+J104+J106+J108+J110+J112+J114+J116+J118+J120+J122+J124+J126+J128+J130+J132+J134+J136+J138+J140+J142+J144+J146+J148+J150+J152+J154+J156+J158+J160+J162+J164+J166+J168+J170+J172+J174+J176+J178+J180+J182+J184+J186+J188+J190+J192+J194+J196+J198+J200+J202+J204+J206+J208+J210+J212+J214+J216+J218+J220+J222+J224+J226+J228+J230+J232+J234+J236+J238+J240+J242+J244+J246+J248+J250+J252+J254+J256+J258+J260+J262+J264+J266+J268+J270</f>
        <v>0</v>
      </c>
      <c r="K272" s="149">
        <f t="shared" si="878"/>
        <v>27.839999928003749</v>
      </c>
      <c r="L272" s="151">
        <f t="shared" si="881"/>
        <v>0</v>
      </c>
      <c r="M272" s="397" t="s">
        <v>30</v>
      </c>
      <c r="N272" s="1012"/>
      <c r="O272" s="1014"/>
      <c r="P272" s="1016"/>
      <c r="Q272" s="1016"/>
      <c r="R272" s="1018"/>
      <c r="S272" s="1004"/>
      <c r="T272" s="989"/>
    </row>
    <row r="273" spans="3:20" ht="15" customHeight="1">
      <c r="O273" s="349">
        <f>+O271/N271</f>
        <v>-0.9809100579654727</v>
      </c>
      <c r="Q273" s="350">
        <f>+Q271/N271</f>
        <v>2.8755996512326676E-3</v>
      </c>
      <c r="T273" s="388">
        <f>+Q273+O273</f>
        <v>-0.97803445831424007</v>
      </c>
    </row>
    <row r="274" spans="3:20" ht="15" customHeight="1">
      <c r="H274" s="52"/>
    </row>
    <row r="275" spans="3:20" ht="22.2" customHeight="1">
      <c r="C275" s="996" t="s">
        <v>373</v>
      </c>
      <c r="D275" s="997"/>
      <c r="E275" s="998"/>
      <c r="F275" s="130" t="s">
        <v>244</v>
      </c>
      <c r="G275" s="130" t="s">
        <v>236</v>
      </c>
      <c r="H275" s="131" t="s">
        <v>4</v>
      </c>
      <c r="I275" s="132" t="s">
        <v>5</v>
      </c>
      <c r="J275" s="133" t="s">
        <v>237</v>
      </c>
      <c r="K275" s="130" t="s">
        <v>45</v>
      </c>
      <c r="L275" s="130" t="s">
        <v>46</v>
      </c>
      <c r="R275" s="347"/>
    </row>
    <row r="276" spans="3:20" ht="15.6">
      <c r="C276" s="990" t="str">
        <f>+C19</f>
        <v>PUERTO NATALES</v>
      </c>
      <c r="D276" s="991"/>
      <c r="E276" s="992"/>
      <c r="F276" s="134" t="s">
        <v>35</v>
      </c>
      <c r="G276" s="97">
        <f>+G19+G21+G23+G25+G27+G29+G31+G33+G35+G37+G39+G41+G43+G45+G47+G49+G51+G53+G55+G57+G59+G61+G63+G65+G67+G69+G71+G73+G75+G77+G79+G81+G83+G85+G87+G89+G91+G93+G95+G97+G99+G101+G103+G105+G107+G109+G111+G113+G115+G117+G119+G121+G123+G125+G127+G129+G131+G133+G135+G137+G139+G141+G143+G145+G147+G149+G151+G153+G155+G157</f>
        <v>605.55499997999971</v>
      </c>
      <c r="H276" s="202">
        <f>+H19+H21+H23+H25+H27+H29+H31+H33+H35+H37+H39+H41+H43+H45+H47+H49+H51+H53+H55+H57+H59+H61+H63+H65+H67+H69+H71+H73+H75+H77+H79+H81+H83+H85+H87+H89+H91+H93+H95+H97+H99+H101+H103+H105+H107+H109+H111+H113+H115+H117+H119+H121+H123+H125+H127+H129+H131+H133+H135+H137+H139+H141+H143+H145+H147+H149+H151+H153+H155+H157</f>
        <v>-927.77399999999898</v>
      </c>
      <c r="I276" s="97">
        <f>+G276+H276</f>
        <v>-322.21900001999927</v>
      </c>
      <c r="J276" s="97">
        <f>+J19+J21+J23+J25+J27+J29+J31+J33+J35+J37+J39+J41+J43+J45+J47+J49+J51+J53+J55+J57+J59+J61+J63+J65+J67+J69+J71+J73+J75+J77+J79+J81+J83+J85+J87+J89+J91+J93+J95+J97+J99+J101+J103+J105+J107+J109+J111+J113+J115+J117+J119+J121+J123+J125+J127+J129+J131+J133+J135+J137+J139+J141+J143+J145+J147+J149+J151+J153+J155+J157</f>
        <v>3.73</v>
      </c>
      <c r="K276" s="97">
        <f>+I276-J276</f>
        <v>-325.94900001999929</v>
      </c>
      <c r="L276" s="127">
        <f>+J276/I276</f>
        <v>-1.1575977828025314E-2</v>
      </c>
      <c r="R276" s="348"/>
    </row>
    <row r="277" spans="3:20" ht="15.6">
      <c r="C277" s="999"/>
      <c r="D277" s="1000"/>
      <c r="E277" s="1001"/>
      <c r="F277" s="134" t="s">
        <v>96</v>
      </c>
      <c r="G277" s="98">
        <f>+G20+G22+G24+G26+G28+G30+G32+G34+G36+G38+G40+G42+G44+G46+G48+G50+G52+G54+G56+G58+G60+G62+G64+G66+G68+G70+G72+G74+G76+G78+G80+G82+G84+G86+G88+G90+G92+G94+G96+G98+G100+G102+G104+G106+G108+G110+G112+G114+G116+G118+G120+G122+G124+G126+G128+G130+G132+G134+G136+G138+G140+G142+G144+G146+G148+G150+G152+G154+G156+G158</f>
        <v>348.33299997999978</v>
      </c>
      <c r="H277" s="98">
        <f>+H20+H22+H24+H26+H28+H30+H32+H34+H36+H38+H40+H42+H44+H46+H48+H50+H52+H54+H56+H58+H60+H62+H64+H66+H68+H70+H72+H74+H76+H78+H80+H82+H84+H86+H88+H90+H92+H94+H96+H98+H100+H102+H104+H106+H108+H110+H112+H114+H116+H118+H120+H122+H124+H126+H128+H130+H132+H134+H136+H138+H140+H142+H144+H146+H148+H150+H152+H154+H156+H158</f>
        <v>0</v>
      </c>
      <c r="I277" s="98">
        <f>G277+H277+K276</f>
        <v>22.383999960000494</v>
      </c>
      <c r="J277" s="98">
        <f>+J20+J22+J24+J26+J28+J30+J32+J34+J36+J38+J40+J42+J44+J46+J48+J50+J52+J54+J56+J58+J60+J62+J64+J66+J68+J70+J72+J74+J76+J78+J80+J82+J84+J86+J88+J90+J92+J94+J96+J98+J100+J102+J104+J106+J108+J110+J112+J114+J116+J118+J120+J122+J124+J126+J128+J130+J132+J134+J136+J138+J140+J142+J144+J146+J148+J150+J152+J154+J156+J158</f>
        <v>0</v>
      </c>
      <c r="K277" s="98">
        <f>+I277-J277</f>
        <v>22.383999960000494</v>
      </c>
      <c r="L277" s="128">
        <f>+J277/I277</f>
        <v>0</v>
      </c>
      <c r="O277" s="346"/>
    </row>
    <row r="278" spans="3:20" ht="15.6">
      <c r="C278" s="990" t="str">
        <f>+C159</f>
        <v>PUNTA ARENAS</v>
      </c>
      <c r="D278" s="991"/>
      <c r="E278" s="992"/>
      <c r="F278" s="134" t="s">
        <v>35</v>
      </c>
      <c r="G278" s="97">
        <f>+G159+G161+G163+G165+G167+G169+G171+G173+G175+G177+G179+G181+G183+G185+G187+G189+G191+G193+G195+G197+G199+G201+G203+G205+G207+G209+G211+G213+G215+G217+G219+G221+G223+G225+G227+G229+G231+G233+G235+G237+G239+G241+G243+G245+G247+G249+G251+G253+G255+G257+G259+G261+G263+G265+G267+G269</f>
        <v>484.44399998399973</v>
      </c>
      <c r="H278" s="97">
        <f>+H159+H161+H163+H165+H167+H169+H171+H173+H175+H177+H179+H181+H183+H185+H187+H189+H191+H193+H195+H197+H199+H201+H203+H205+H207+H209+H211+H213+H215+H217+H219+H221+H223+H225+H227+H229+H231+H233+H235+H237+H239+H241+H243+H245+H247+H249+H251+H253+H255+H257+H259+H261+H263+H265+H267+H269</f>
        <v>-756.44699999999943</v>
      </c>
      <c r="I278" s="97">
        <f>+G278+H278</f>
        <v>-272.0030000159997</v>
      </c>
      <c r="J278" s="97">
        <f>+J159+J161+J163+J165+J167+J169+J171+J173+J175+J177+J179+J181+J183+J185+J187+J189+J191+J193+J195+J197+J199+J201+J203+J205+J207+J209+J211+J213+J215+J217+J219+J221+J223+J225+J227+J229+J231+J233+J235+J237+J239+J241+J243+J245+J247+J249+J251+J253+J255+J257+J259+J261+J263+J265+J267+J269</f>
        <v>1.2074</v>
      </c>
      <c r="K278" s="97">
        <f t="shared" ref="K278:K279" si="1133">+I278-J278</f>
        <v>-273.21040001599971</v>
      </c>
      <c r="L278" s="127">
        <f t="shared" ref="L278:L279" si="1134">+J278/I278</f>
        <v>-4.4389216292797457E-3</v>
      </c>
    </row>
    <row r="279" spans="3:20" ht="15.6">
      <c r="C279" s="993"/>
      <c r="D279" s="994"/>
      <c r="E279" s="995"/>
      <c r="F279" s="135" t="s">
        <v>96</v>
      </c>
      <c r="G279" s="136">
        <f>+G160+G162+G164+G166+G168+G170+G172+G174+G176+G178+G180+G182+G184+G186+G188+G190+G192+G194+G196+G198+G200+G202+G204+G206+G208+G210+G212+G214+G216+G218+G220+G222+G224+G226+G228+G230+G232+G234+G236+G238+G240+G242+G244+G246+G248+G250+G252+G254+G256+G258+G260+G262+G264+G266+G268+G270</f>
        <v>278.66639998399984</v>
      </c>
      <c r="H279" s="136">
        <f>+H160+H162+H164+H166+H168+H170+H172+H174+H176+H178+H180+H182+H184+H186+H188+H190+H192+H194+H196+H198+H200+H202+H204+H206+H208+H210+H212+H214+H216+H218+H220+H222+H224+H226+H228+H230+H232+H234+H236+H238+H240+H242+H244+H246+H248+H250+H252+H254+H256+H258+H260+H262+H264+H266+H268+H270</f>
        <v>0</v>
      </c>
      <c r="I279" s="136">
        <f>G279+H279+K278</f>
        <v>5.4559999680001283</v>
      </c>
      <c r="J279" s="136">
        <f>+J160+J162+J164+J166+J168+J170+J172+J174+J176+J178+J180+J182+J184+J186+J188+J190+J192+J194+J196+J198+J200+J202+J204+J206+J208+J210+J212+J214+J216+J218+J220+J222+J224+J226+J228+J230+J232+J234+J236+J238+J240+J242+J244+J246+J248+J250+J252+J254+J256+J258+J260+J262+J264+J266+J268+J270</f>
        <v>0</v>
      </c>
      <c r="K279" s="136">
        <f t="shared" si="1133"/>
        <v>5.4559999680001283</v>
      </c>
      <c r="L279" s="137">
        <f t="shared" si="1134"/>
        <v>0</v>
      </c>
      <c r="O279" s="52"/>
    </row>
    <row r="280" spans="3:20" ht="35.549999999999997" customHeight="1">
      <c r="C280" s="1002" t="s">
        <v>376</v>
      </c>
      <c r="D280" s="1002"/>
      <c r="E280" s="1002"/>
      <c r="F280" s="1002"/>
      <c r="G280" s="129">
        <f>SUM(G276:G279)</f>
        <v>1716.9983999279989</v>
      </c>
      <c r="H280" s="129">
        <f>SUM(H276:H279)</f>
        <v>-1684.2209999999984</v>
      </c>
      <c r="I280" s="129">
        <f>+G280+H280</f>
        <v>32.777399928000477</v>
      </c>
      <c r="J280" s="129">
        <f>SUM(J276:J279)</f>
        <v>4.9374000000000002</v>
      </c>
      <c r="K280" s="129">
        <f>+I280-J280</f>
        <v>27.839999928000477</v>
      </c>
      <c r="L280" s="159">
        <f>+J280/I280</f>
        <v>0.15063427882765554</v>
      </c>
      <c r="O280" s="345"/>
    </row>
    <row r="282" spans="3:20" ht="13.8" customHeight="1"/>
    <row r="283" spans="3:20" hidden="1"/>
    <row r="284" spans="3:20" ht="8.4" hidden="1" customHeight="1"/>
    <row r="285" spans="3:20" hidden="1">
      <c r="H285" s="52">
        <f>-(1363.311+27.254)</f>
        <v>-1390.5649999999998</v>
      </c>
    </row>
    <row r="286" spans="3:20" hidden="1"/>
    <row r="287" spans="3:20" ht="9" hidden="1" customHeight="1"/>
    <row r="288" spans="3:20">
      <c r="H288" s="343">
        <f>+H285+-H271</f>
        <v>293.65599999999677</v>
      </c>
    </row>
    <row r="291" spans="8:8">
      <c r="H291" s="7"/>
    </row>
  </sheetData>
  <mergeCells count="278">
    <mergeCell ref="C2:S2"/>
    <mergeCell ref="C3:S3"/>
    <mergeCell ref="E5:F5"/>
    <mergeCell ref="C6:C9"/>
    <mergeCell ref="E6:F6"/>
    <mergeCell ref="E7:F7"/>
    <mergeCell ref="E8:F8"/>
    <mergeCell ref="E9:F9"/>
    <mergeCell ref="S19:S20"/>
    <mergeCell ref="S21:S22"/>
    <mergeCell ref="S23:S24"/>
    <mergeCell ref="S25:S26"/>
    <mergeCell ref="S27:S28"/>
    <mergeCell ref="S29:S30"/>
    <mergeCell ref="E11:F11"/>
    <mergeCell ref="C12:C13"/>
    <mergeCell ref="E14:E15"/>
    <mergeCell ref="F12:F15"/>
    <mergeCell ref="C14:C15"/>
    <mergeCell ref="E12:E13"/>
    <mergeCell ref="S43:S44"/>
    <mergeCell ref="S45:S46"/>
    <mergeCell ref="S47:S48"/>
    <mergeCell ref="S49:S50"/>
    <mergeCell ref="S51:S52"/>
    <mergeCell ref="S53:S54"/>
    <mergeCell ref="S31:S32"/>
    <mergeCell ref="S33:S34"/>
    <mergeCell ref="S35:S36"/>
    <mergeCell ref="S37:S38"/>
    <mergeCell ref="S39:S40"/>
    <mergeCell ref="S41:S42"/>
    <mergeCell ref="S67:S68"/>
    <mergeCell ref="S69:S70"/>
    <mergeCell ref="S71:S72"/>
    <mergeCell ref="S73:S74"/>
    <mergeCell ref="S75:S76"/>
    <mergeCell ref="S77:S78"/>
    <mergeCell ref="S55:S56"/>
    <mergeCell ref="S57:S58"/>
    <mergeCell ref="S59:S60"/>
    <mergeCell ref="S61:S62"/>
    <mergeCell ref="S63:S64"/>
    <mergeCell ref="S65:S66"/>
    <mergeCell ref="S91:S92"/>
    <mergeCell ref="S93:S94"/>
    <mergeCell ref="S95:S96"/>
    <mergeCell ref="S97:S98"/>
    <mergeCell ref="S99:S100"/>
    <mergeCell ref="S101:S102"/>
    <mergeCell ref="S79:S80"/>
    <mergeCell ref="S81:S82"/>
    <mergeCell ref="S83:S84"/>
    <mergeCell ref="S85:S86"/>
    <mergeCell ref="S87:S88"/>
    <mergeCell ref="S89:S90"/>
    <mergeCell ref="S115:S116"/>
    <mergeCell ref="S117:S118"/>
    <mergeCell ref="S119:S120"/>
    <mergeCell ref="S121:S122"/>
    <mergeCell ref="S123:S124"/>
    <mergeCell ref="S125:S126"/>
    <mergeCell ref="S103:S104"/>
    <mergeCell ref="S105:S106"/>
    <mergeCell ref="S107:S108"/>
    <mergeCell ref="S109:S110"/>
    <mergeCell ref="S111:S112"/>
    <mergeCell ref="S113:S114"/>
    <mergeCell ref="S139:S140"/>
    <mergeCell ref="S141:S142"/>
    <mergeCell ref="S143:S144"/>
    <mergeCell ref="S145:S146"/>
    <mergeCell ref="S147:S148"/>
    <mergeCell ref="S149:S150"/>
    <mergeCell ref="S127:S128"/>
    <mergeCell ref="S129:S130"/>
    <mergeCell ref="S131:S132"/>
    <mergeCell ref="S133:S134"/>
    <mergeCell ref="S135:S136"/>
    <mergeCell ref="S137:S138"/>
    <mergeCell ref="S163:S164"/>
    <mergeCell ref="S165:S166"/>
    <mergeCell ref="S167:S168"/>
    <mergeCell ref="S169:S170"/>
    <mergeCell ref="S171:S172"/>
    <mergeCell ref="S173:S174"/>
    <mergeCell ref="S151:S152"/>
    <mergeCell ref="S153:S154"/>
    <mergeCell ref="S155:S156"/>
    <mergeCell ref="S157:S158"/>
    <mergeCell ref="S159:S160"/>
    <mergeCell ref="S161:S162"/>
    <mergeCell ref="S187:S188"/>
    <mergeCell ref="S189:S190"/>
    <mergeCell ref="S191:S192"/>
    <mergeCell ref="S193:S194"/>
    <mergeCell ref="S195:S196"/>
    <mergeCell ref="S197:S198"/>
    <mergeCell ref="S175:S176"/>
    <mergeCell ref="S177:S178"/>
    <mergeCell ref="S179:S180"/>
    <mergeCell ref="S181:S182"/>
    <mergeCell ref="S183:S184"/>
    <mergeCell ref="S185:S186"/>
    <mergeCell ref="S211:S212"/>
    <mergeCell ref="S213:S214"/>
    <mergeCell ref="S215:S216"/>
    <mergeCell ref="S217:S218"/>
    <mergeCell ref="S219:S220"/>
    <mergeCell ref="S221:S222"/>
    <mergeCell ref="S199:S200"/>
    <mergeCell ref="S201:S202"/>
    <mergeCell ref="S203:S204"/>
    <mergeCell ref="S205:S206"/>
    <mergeCell ref="S207:S208"/>
    <mergeCell ref="S209:S210"/>
    <mergeCell ref="S235:S236"/>
    <mergeCell ref="S237:S238"/>
    <mergeCell ref="S239:S240"/>
    <mergeCell ref="S241:S242"/>
    <mergeCell ref="S243:S244"/>
    <mergeCell ref="S245:S246"/>
    <mergeCell ref="S223:S224"/>
    <mergeCell ref="S225:S226"/>
    <mergeCell ref="S227:S228"/>
    <mergeCell ref="S229:S230"/>
    <mergeCell ref="S231:S232"/>
    <mergeCell ref="S233:S234"/>
    <mergeCell ref="S259:S260"/>
    <mergeCell ref="S261:S262"/>
    <mergeCell ref="S263:S264"/>
    <mergeCell ref="S265:S266"/>
    <mergeCell ref="S267:S268"/>
    <mergeCell ref="S269:S270"/>
    <mergeCell ref="S247:S248"/>
    <mergeCell ref="S249:S250"/>
    <mergeCell ref="S251:S252"/>
    <mergeCell ref="S253:S254"/>
    <mergeCell ref="S255:S256"/>
    <mergeCell ref="S257:S258"/>
    <mergeCell ref="C278:E279"/>
    <mergeCell ref="C275:E275"/>
    <mergeCell ref="C276:E277"/>
    <mergeCell ref="C280:F280"/>
    <mergeCell ref="S271:S272"/>
    <mergeCell ref="C271:E272"/>
    <mergeCell ref="N271:N272"/>
    <mergeCell ref="O271:O272"/>
    <mergeCell ref="P271:P272"/>
    <mergeCell ref="Q271:Q272"/>
    <mergeCell ref="R271:R272"/>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87:T88"/>
    <mergeCell ref="T89:T90"/>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3:T124"/>
    <mergeCell ref="T125:T126"/>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59:T160"/>
    <mergeCell ref="T161:T162"/>
    <mergeCell ref="T163:T164"/>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T195:T196"/>
    <mergeCell ref="T197:T198"/>
    <mergeCell ref="T199:T200"/>
    <mergeCell ref="T201:T202"/>
    <mergeCell ref="T203:T204"/>
    <mergeCell ref="T205:T206"/>
    <mergeCell ref="T207:T208"/>
    <mergeCell ref="T209:T210"/>
    <mergeCell ref="T211:T212"/>
    <mergeCell ref="T213:T214"/>
    <mergeCell ref="T215:T216"/>
    <mergeCell ref="T217:T218"/>
    <mergeCell ref="T219:T220"/>
    <mergeCell ref="T221:T222"/>
    <mergeCell ref="T223:T224"/>
    <mergeCell ref="T225:T226"/>
    <mergeCell ref="T227:T228"/>
    <mergeCell ref="T229:T230"/>
    <mergeCell ref="T231:T232"/>
    <mergeCell ref="T233:T234"/>
    <mergeCell ref="T235:T236"/>
    <mergeCell ref="T237:T238"/>
    <mergeCell ref="T239:T240"/>
    <mergeCell ref="T241:T242"/>
    <mergeCell ref="T243:T244"/>
    <mergeCell ref="T245:T246"/>
    <mergeCell ref="T247:T248"/>
    <mergeCell ref="T249:T250"/>
    <mergeCell ref="T251:T252"/>
    <mergeCell ref="T271:T272"/>
    <mergeCell ref="T253:T254"/>
    <mergeCell ref="T255:T256"/>
    <mergeCell ref="T257:T258"/>
    <mergeCell ref="T259:T260"/>
    <mergeCell ref="T261:T262"/>
    <mergeCell ref="T263:T264"/>
    <mergeCell ref="T265:T266"/>
    <mergeCell ref="T267:T268"/>
    <mergeCell ref="T269:T270"/>
  </mergeCells>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I191"/>
  <sheetViews>
    <sheetView workbookViewId="0">
      <selection sqref="A1:XFD1048576"/>
    </sheetView>
  </sheetViews>
  <sheetFormatPr baseColWidth="10" defaultColWidth="11.44140625" defaultRowHeight="7.95" customHeight="1"/>
  <cols>
    <col min="1" max="1" width="11.6640625" style="216" customWidth="1"/>
    <col min="2" max="2" width="33.33203125" style="216" customWidth="1"/>
    <col min="3" max="3" width="12.33203125" style="216" customWidth="1"/>
    <col min="4" max="16384" width="11.44140625" style="216"/>
  </cols>
  <sheetData>
    <row r="1" spans="1:9" ht="7.95" customHeight="1" thickBot="1"/>
    <row r="2" spans="1:9" ht="21.45" customHeight="1" thickBot="1">
      <c r="A2" s="217" t="s">
        <v>240</v>
      </c>
      <c r="B2" s="218" t="s">
        <v>241</v>
      </c>
      <c r="C2" s="218" t="s">
        <v>242</v>
      </c>
      <c r="D2" s="219" t="s">
        <v>245</v>
      </c>
      <c r="E2" s="220" t="s">
        <v>4</v>
      </c>
      <c r="F2" s="220" t="s">
        <v>5</v>
      </c>
      <c r="G2" s="220" t="s">
        <v>6</v>
      </c>
      <c r="H2" s="220" t="s">
        <v>7</v>
      </c>
      <c r="I2" s="221" t="s">
        <v>246</v>
      </c>
    </row>
    <row r="3" spans="1:9" ht="7.95" customHeight="1">
      <c r="A3" s="1092" t="s">
        <v>247</v>
      </c>
      <c r="B3" s="1089" t="s">
        <v>388</v>
      </c>
      <c r="C3" s="1048" t="s">
        <v>248</v>
      </c>
      <c r="D3" s="1190">
        <v>40.8016061736</v>
      </c>
      <c r="E3" s="1104">
        <v>0</v>
      </c>
      <c r="F3" s="1104">
        <v>40.8016061736</v>
      </c>
      <c r="G3" s="1104">
        <v>4.2759999999999998</v>
      </c>
      <c r="H3" s="1104">
        <v>36.525606173599996</v>
      </c>
      <c r="I3" s="1106">
        <v>0.10479979591506165</v>
      </c>
    </row>
    <row r="4" spans="1:9" ht="7.95" customHeight="1">
      <c r="A4" s="1093"/>
      <c r="B4" s="1095"/>
      <c r="C4" s="1048"/>
      <c r="D4" s="1190"/>
      <c r="E4" s="1104"/>
      <c r="F4" s="1104"/>
      <c r="G4" s="1104"/>
      <c r="H4" s="1104"/>
      <c r="I4" s="1106"/>
    </row>
    <row r="5" spans="1:9" ht="7.95" customHeight="1">
      <c r="A5" s="1093"/>
      <c r="B5" s="1089" t="s">
        <v>249</v>
      </c>
      <c r="C5" s="1048">
        <v>4452</v>
      </c>
      <c r="D5" s="1190">
        <v>4.6848050832000006</v>
      </c>
      <c r="E5" s="1104">
        <v>0</v>
      </c>
      <c r="F5" s="1104">
        <v>4.6848050832000006</v>
      </c>
      <c r="G5" s="1104">
        <v>0</v>
      </c>
      <c r="H5" s="1104">
        <v>4.6848050832000006</v>
      </c>
      <c r="I5" s="1106">
        <v>0</v>
      </c>
    </row>
    <row r="6" spans="1:9" ht="7.95" customHeight="1">
      <c r="A6" s="1093"/>
      <c r="B6" s="1089"/>
      <c r="C6" s="1048"/>
      <c r="D6" s="1191"/>
      <c r="E6" s="1105"/>
      <c r="F6" s="1104"/>
      <c r="G6" s="1105"/>
      <c r="H6" s="1105"/>
      <c r="I6" s="1107"/>
    </row>
    <row r="7" spans="1:9" ht="7.95" customHeight="1">
      <c r="A7" s="1093"/>
      <c r="B7" s="1089" t="s">
        <v>250</v>
      </c>
      <c r="C7" s="1048">
        <v>4309</v>
      </c>
      <c r="D7" s="1165">
        <v>58.656962122199999</v>
      </c>
      <c r="E7" s="1105">
        <v>0</v>
      </c>
      <c r="F7" s="1105">
        <v>58.656962122199999</v>
      </c>
      <c r="G7" s="1105">
        <v>4.2229999999999999</v>
      </c>
      <c r="H7" s="1105">
        <v>54.433962122200001</v>
      </c>
      <c r="I7" s="1107">
        <v>7.1994863818590327E-2</v>
      </c>
    </row>
    <row r="8" spans="1:9" ht="7.95" customHeight="1">
      <c r="A8" s="1093"/>
      <c r="B8" s="1089"/>
      <c r="C8" s="1048"/>
      <c r="D8" s="1169"/>
      <c r="E8" s="1112"/>
      <c r="F8" s="1112"/>
      <c r="G8" s="1112"/>
      <c r="H8" s="1112"/>
      <c r="I8" s="1113"/>
    </row>
    <row r="9" spans="1:9" ht="7.95" customHeight="1">
      <c r="A9" s="1093"/>
      <c r="B9" s="1089" t="s">
        <v>251</v>
      </c>
      <c r="C9" s="1048">
        <v>4370</v>
      </c>
      <c r="D9" s="1165">
        <v>54.7751827206</v>
      </c>
      <c r="E9" s="1105">
        <v>0</v>
      </c>
      <c r="F9" s="1105">
        <v>54.7751827206</v>
      </c>
      <c r="G9" s="1105">
        <v>2.7029999999999998</v>
      </c>
      <c r="H9" s="1105">
        <v>52.072182720599997</v>
      </c>
      <c r="I9" s="1107">
        <v>4.9347165372091918E-2</v>
      </c>
    </row>
    <row r="10" spans="1:9" ht="7.95" customHeight="1">
      <c r="A10" s="1093"/>
      <c r="B10" s="1089"/>
      <c r="C10" s="1048"/>
      <c r="D10" s="1169"/>
      <c r="E10" s="1112"/>
      <c r="F10" s="1112"/>
      <c r="G10" s="1112"/>
      <c r="H10" s="1112"/>
      <c r="I10" s="1113"/>
    </row>
    <row r="11" spans="1:9" ht="7.95" customHeight="1">
      <c r="A11" s="1093"/>
      <c r="B11" s="1089" t="s">
        <v>405</v>
      </c>
      <c r="C11" s="1048" t="s">
        <v>252</v>
      </c>
      <c r="D11" s="1165">
        <v>179.14193665319999</v>
      </c>
      <c r="E11" s="1105">
        <v>0</v>
      </c>
      <c r="F11" s="1105">
        <v>179.14193665319999</v>
      </c>
      <c r="G11" s="1105">
        <v>8.3610000000000007</v>
      </c>
      <c r="H11" s="1105">
        <v>170.7809366532</v>
      </c>
      <c r="I11" s="1107">
        <v>4.6672488621053707E-2</v>
      </c>
    </row>
    <row r="12" spans="1:9" ht="7.95" customHeight="1">
      <c r="A12" s="1093"/>
      <c r="B12" s="1089"/>
      <c r="C12" s="1048"/>
      <c r="D12" s="1169"/>
      <c r="E12" s="1112"/>
      <c r="F12" s="1112"/>
      <c r="G12" s="1112"/>
      <c r="H12" s="1112"/>
      <c r="I12" s="1113"/>
    </row>
    <row r="13" spans="1:9" ht="7.95" customHeight="1">
      <c r="A13" s="1093"/>
      <c r="B13" s="1089" t="s">
        <v>255</v>
      </c>
      <c r="C13" s="1048" t="s">
        <v>256</v>
      </c>
      <c r="D13" s="1165">
        <v>197.34786436799999</v>
      </c>
      <c r="E13" s="1105">
        <v>0</v>
      </c>
      <c r="F13" s="1105">
        <v>197.34786436799999</v>
      </c>
      <c r="G13" s="1105">
        <v>17.329999999999998</v>
      </c>
      <c r="H13" s="1105">
        <v>180.01786436800001</v>
      </c>
      <c r="I13" s="1107">
        <v>8.7814479551115238E-2</v>
      </c>
    </row>
    <row r="14" spans="1:9" ht="7.95" customHeight="1">
      <c r="A14" s="1093"/>
      <c r="B14" s="1089"/>
      <c r="C14" s="1048"/>
      <c r="D14" s="1169"/>
      <c r="E14" s="1112"/>
      <c r="F14" s="1112"/>
      <c r="G14" s="1112"/>
      <c r="H14" s="1112"/>
      <c r="I14" s="1113"/>
    </row>
    <row r="15" spans="1:9" ht="7.95" customHeight="1">
      <c r="A15" s="1093"/>
      <c r="B15" s="1091" t="s">
        <v>410</v>
      </c>
      <c r="C15" s="1091" t="s">
        <v>253</v>
      </c>
      <c r="D15" s="1184">
        <v>50.662283559000002</v>
      </c>
      <c r="E15" s="1186">
        <v>-50.661999999999999</v>
      </c>
      <c r="F15" s="1186">
        <v>2.8355900000320844E-4</v>
      </c>
      <c r="G15" s="1186">
        <v>0</v>
      </c>
      <c r="H15" s="1186">
        <v>2.8355900000320844E-4</v>
      </c>
      <c r="I15" s="1188">
        <v>0</v>
      </c>
    </row>
    <row r="16" spans="1:9" ht="7.95" customHeight="1">
      <c r="A16" s="1093"/>
      <c r="B16" s="1091"/>
      <c r="C16" s="1091"/>
      <c r="D16" s="1185"/>
      <c r="E16" s="1187"/>
      <c r="F16" s="1187"/>
      <c r="G16" s="1187"/>
      <c r="H16" s="1187"/>
      <c r="I16" s="1189"/>
    </row>
    <row r="17" spans="1:9" ht="7.95" customHeight="1">
      <c r="A17" s="1093"/>
      <c r="B17" s="1091" t="s">
        <v>418</v>
      </c>
      <c r="C17" s="1091" t="s">
        <v>258</v>
      </c>
      <c r="D17" s="1176">
        <v>60.076508443799995</v>
      </c>
      <c r="E17" s="1178">
        <v>-59.545000000000002</v>
      </c>
      <c r="F17" s="1178">
        <v>0.53150844379999285</v>
      </c>
      <c r="G17" s="1178">
        <v>1.556</v>
      </c>
      <c r="H17" s="1180">
        <v>-1.0244915562000072</v>
      </c>
      <c r="I17" s="1182">
        <v>2.9275169908411169</v>
      </c>
    </row>
    <row r="18" spans="1:9" ht="7.95" customHeight="1">
      <c r="A18" s="1093"/>
      <c r="B18" s="1091"/>
      <c r="C18" s="1091"/>
      <c r="D18" s="1177"/>
      <c r="E18" s="1179"/>
      <c r="F18" s="1179"/>
      <c r="G18" s="1179"/>
      <c r="H18" s="1181"/>
      <c r="I18" s="1183"/>
    </row>
    <row r="19" spans="1:9" ht="7.95" customHeight="1">
      <c r="A19" s="1093"/>
      <c r="B19" s="1091" t="s">
        <v>419</v>
      </c>
      <c r="C19" s="1088" t="s">
        <v>259</v>
      </c>
      <c r="D19" s="1170">
        <v>62.183011077000003</v>
      </c>
      <c r="E19" s="1172">
        <v>-62.183</v>
      </c>
      <c r="F19" s="1172">
        <v>1.1077000003467674E-5</v>
      </c>
      <c r="G19" s="1172">
        <v>0</v>
      </c>
      <c r="H19" s="1172">
        <v>1.1077000003467674E-5</v>
      </c>
      <c r="I19" s="1174">
        <v>0</v>
      </c>
    </row>
    <row r="20" spans="1:9" ht="7.95" customHeight="1">
      <c r="A20" s="1093"/>
      <c r="B20" s="1091"/>
      <c r="C20" s="1088"/>
      <c r="D20" s="1171"/>
      <c r="E20" s="1173"/>
      <c r="F20" s="1173"/>
      <c r="G20" s="1173"/>
      <c r="H20" s="1173"/>
      <c r="I20" s="1175"/>
    </row>
    <row r="21" spans="1:9" ht="7.95" customHeight="1">
      <c r="A21" s="1093"/>
      <c r="B21" s="1048" t="s">
        <v>404</v>
      </c>
      <c r="C21" s="1048" t="s">
        <v>262</v>
      </c>
      <c r="D21" s="1165">
        <v>22.462840452000002</v>
      </c>
      <c r="E21" s="1105">
        <v>0</v>
      </c>
      <c r="F21" s="1105">
        <v>22.462840452000002</v>
      </c>
      <c r="G21" s="1105">
        <v>0</v>
      </c>
      <c r="H21" s="1105">
        <v>22.462840452000002</v>
      </c>
      <c r="I21" s="1107">
        <v>0</v>
      </c>
    </row>
    <row r="22" spans="1:9" ht="7.95" customHeight="1">
      <c r="A22" s="1093"/>
      <c r="B22" s="1048"/>
      <c r="C22" s="1048"/>
      <c r="D22" s="1169"/>
      <c r="E22" s="1112"/>
      <c r="F22" s="1112"/>
      <c r="G22" s="1112"/>
      <c r="H22" s="1112"/>
      <c r="I22" s="1113"/>
    </row>
    <row r="23" spans="1:9" ht="7.95" customHeight="1">
      <c r="A23" s="1093"/>
      <c r="B23" s="1089" t="s">
        <v>408</v>
      </c>
      <c r="C23" s="1048" t="s">
        <v>263</v>
      </c>
      <c r="D23" s="1165">
        <v>6.2960555088000003</v>
      </c>
      <c r="E23" s="1105">
        <v>0</v>
      </c>
      <c r="F23" s="1105">
        <v>6.2960555088000003</v>
      </c>
      <c r="G23" s="1105">
        <v>0</v>
      </c>
      <c r="H23" s="1105">
        <v>6.2960555088000003</v>
      </c>
      <c r="I23" s="1107">
        <v>0</v>
      </c>
    </row>
    <row r="24" spans="1:9" ht="7.95" customHeight="1">
      <c r="A24" s="1093"/>
      <c r="B24" s="1089"/>
      <c r="C24" s="1048"/>
      <c r="D24" s="1169"/>
      <c r="E24" s="1112"/>
      <c r="F24" s="1112"/>
      <c r="G24" s="1112"/>
      <c r="H24" s="1112"/>
      <c r="I24" s="1113"/>
    </row>
    <row r="25" spans="1:9" ht="7.95" customHeight="1">
      <c r="A25" s="1093"/>
      <c r="B25" s="1090" t="s">
        <v>407</v>
      </c>
      <c r="C25" s="1048" t="s">
        <v>261</v>
      </c>
      <c r="D25" s="1165">
        <v>13.251046134000001</v>
      </c>
      <c r="E25" s="1105">
        <v>0</v>
      </c>
      <c r="F25" s="1105">
        <v>13.251046134000001</v>
      </c>
      <c r="G25" s="1105">
        <v>0.54900000000000004</v>
      </c>
      <c r="H25" s="1105">
        <v>12.702046134000001</v>
      </c>
      <c r="I25" s="1107">
        <v>4.1430691165685138E-2</v>
      </c>
    </row>
    <row r="26" spans="1:9" ht="7.95" customHeight="1">
      <c r="A26" s="1093"/>
      <c r="B26" s="1090"/>
      <c r="C26" s="1048"/>
      <c r="D26" s="1169"/>
      <c r="E26" s="1112"/>
      <c r="F26" s="1112"/>
      <c r="G26" s="1112"/>
      <c r="H26" s="1112"/>
      <c r="I26" s="1113"/>
    </row>
    <row r="27" spans="1:9" ht="7.95" customHeight="1">
      <c r="A27" s="1093"/>
      <c r="B27" s="1089" t="s">
        <v>387</v>
      </c>
      <c r="C27" s="1048" t="s">
        <v>254</v>
      </c>
      <c r="D27" s="1165">
        <v>91.226262464399994</v>
      </c>
      <c r="E27" s="1105">
        <v>0</v>
      </c>
      <c r="F27" s="1105">
        <v>91.226262464399994</v>
      </c>
      <c r="G27" s="1105">
        <v>1.5555555555555556</v>
      </c>
      <c r="H27" s="1105">
        <v>89.670706908844437</v>
      </c>
      <c r="I27" s="1107">
        <v>1.7051619934145536E-2</v>
      </c>
    </row>
    <row r="28" spans="1:9" ht="7.95" customHeight="1">
      <c r="A28" s="1093"/>
      <c r="B28" s="1089"/>
      <c r="C28" s="1048"/>
      <c r="D28" s="1169"/>
      <c r="E28" s="1112"/>
      <c r="F28" s="1112"/>
      <c r="G28" s="1112"/>
      <c r="H28" s="1112"/>
      <c r="I28" s="1113"/>
    </row>
    <row r="29" spans="1:9" ht="7.95" customHeight="1">
      <c r="A29" s="1093"/>
      <c r="B29" s="1090" t="s">
        <v>409</v>
      </c>
      <c r="C29" s="1048" t="s">
        <v>257</v>
      </c>
      <c r="D29" s="1165">
        <v>9.2933421551999995</v>
      </c>
      <c r="E29" s="1105">
        <v>0</v>
      </c>
      <c r="F29" s="1105">
        <v>9.2933421551999995</v>
      </c>
      <c r="G29" s="1105">
        <v>0</v>
      </c>
      <c r="H29" s="1105">
        <v>9.2933421551999995</v>
      </c>
      <c r="I29" s="1107">
        <v>0</v>
      </c>
    </row>
    <row r="30" spans="1:9" ht="7.95" customHeight="1">
      <c r="A30" s="1093"/>
      <c r="B30" s="1090"/>
      <c r="C30" s="1048"/>
      <c r="D30" s="1169"/>
      <c r="E30" s="1112"/>
      <c r="F30" s="1112"/>
      <c r="G30" s="1112"/>
      <c r="H30" s="1112"/>
      <c r="I30" s="1113"/>
    </row>
    <row r="31" spans="1:9" ht="7.95" customHeight="1">
      <c r="A31" s="1093"/>
      <c r="B31" s="1090" t="s">
        <v>406</v>
      </c>
      <c r="C31" s="1048" t="s">
        <v>260</v>
      </c>
      <c r="D31" s="1165">
        <v>5.6656016382000001</v>
      </c>
      <c r="E31" s="1105">
        <v>0</v>
      </c>
      <c r="F31" s="1105">
        <v>5.6656016382000001</v>
      </c>
      <c r="G31" s="1105">
        <v>0</v>
      </c>
      <c r="H31" s="1105">
        <v>5.6656016382000001</v>
      </c>
      <c r="I31" s="1107">
        <v>0</v>
      </c>
    </row>
    <row r="32" spans="1:9" ht="7.95" customHeight="1">
      <c r="A32" s="1093"/>
      <c r="B32" s="1090"/>
      <c r="C32" s="1048"/>
      <c r="D32" s="1169"/>
      <c r="E32" s="1112"/>
      <c r="F32" s="1112"/>
      <c r="G32" s="1112"/>
      <c r="H32" s="1112"/>
      <c r="I32" s="1113"/>
    </row>
    <row r="33" spans="1:9" ht="7.95" customHeight="1">
      <c r="A33" s="1093"/>
      <c r="B33" s="1090" t="s">
        <v>264</v>
      </c>
      <c r="C33" s="1048"/>
      <c r="D33" s="1165">
        <v>45.446832186600005</v>
      </c>
      <c r="E33" s="1105">
        <v>0</v>
      </c>
      <c r="F33" s="1105">
        <v>45.446832186600005</v>
      </c>
      <c r="G33" s="1105">
        <v>7.87</v>
      </c>
      <c r="H33" s="1105">
        <v>37.576832186600008</v>
      </c>
      <c r="I33" s="1107">
        <v>0.17316938544113683</v>
      </c>
    </row>
    <row r="34" spans="1:9" ht="7.95" customHeight="1" thickBot="1">
      <c r="A34" s="1094"/>
      <c r="B34" s="1090"/>
      <c r="C34" s="1048"/>
      <c r="D34" s="1166"/>
      <c r="E34" s="1167"/>
      <c r="F34" s="1167"/>
      <c r="G34" s="1167"/>
      <c r="H34" s="1167"/>
      <c r="I34" s="1168"/>
    </row>
    <row r="35" spans="1:9" ht="7.95" customHeight="1">
      <c r="A35" s="222" t="s">
        <v>265</v>
      </c>
      <c r="B35" s="223"/>
      <c r="C35" s="224"/>
      <c r="D35" s="1096">
        <v>901.9721407397999</v>
      </c>
      <c r="E35" s="1159">
        <v>-172.39</v>
      </c>
      <c r="F35" s="1161">
        <v>729.58214073979991</v>
      </c>
      <c r="G35" s="1161">
        <v>48.423555555555552</v>
      </c>
      <c r="H35" s="1161">
        <v>681.15858518424432</v>
      </c>
      <c r="I35" s="1163">
        <v>6.637162952817599E-2</v>
      </c>
    </row>
    <row r="36" spans="1:9" ht="7.95" customHeight="1" thickBot="1">
      <c r="A36" s="225"/>
      <c r="B36" s="226"/>
      <c r="C36" s="227"/>
      <c r="D36" s="1097"/>
      <c r="E36" s="1160"/>
      <c r="F36" s="1162"/>
      <c r="G36" s="1162"/>
      <c r="H36" s="1162"/>
      <c r="I36" s="1164"/>
    </row>
    <row r="37" spans="1:9" ht="7.95" customHeight="1">
      <c r="A37" s="228"/>
      <c r="B37" s="229"/>
      <c r="C37" s="228"/>
      <c r="D37" s="228"/>
      <c r="E37" s="228"/>
      <c r="F37" s="228"/>
      <c r="G37" s="228"/>
      <c r="H37" s="228"/>
      <c r="I37" s="228"/>
    </row>
    <row r="38" spans="1:9" ht="7.95" customHeight="1" thickBot="1">
      <c r="A38" s="228"/>
      <c r="B38" s="229"/>
      <c r="C38" s="228"/>
      <c r="D38" s="228"/>
      <c r="E38" s="228"/>
      <c r="F38" s="228"/>
      <c r="G38" s="228"/>
      <c r="H38" s="228"/>
      <c r="I38" s="228"/>
    </row>
    <row r="39" spans="1:9" ht="7.95" customHeight="1" thickBot="1">
      <c r="A39" s="230" t="s">
        <v>240</v>
      </c>
      <c r="B39" s="231" t="s">
        <v>241</v>
      </c>
      <c r="C39" s="232" t="s">
        <v>242</v>
      </c>
      <c r="D39" s="219" t="s">
        <v>245</v>
      </c>
      <c r="E39" s="220" t="s">
        <v>4</v>
      </c>
      <c r="F39" s="220" t="s">
        <v>5</v>
      </c>
      <c r="G39" s="220" t="s">
        <v>6</v>
      </c>
      <c r="H39" s="220" t="s">
        <v>7</v>
      </c>
      <c r="I39" s="221" t="s">
        <v>246</v>
      </c>
    </row>
    <row r="40" spans="1:9" ht="7.95" customHeight="1">
      <c r="A40" s="1083" t="s">
        <v>266</v>
      </c>
      <c r="B40" s="1086" t="s">
        <v>389</v>
      </c>
      <c r="C40" s="1051" t="s">
        <v>267</v>
      </c>
      <c r="D40" s="1156">
        <v>225.17807252400002</v>
      </c>
      <c r="E40" s="1157">
        <v>-207.38</v>
      </c>
      <c r="F40" s="1157">
        <v>17.79807252400002</v>
      </c>
      <c r="G40" s="1157">
        <v>0</v>
      </c>
      <c r="H40" s="1157">
        <v>17.79807252400002</v>
      </c>
      <c r="I40" s="1158">
        <v>0</v>
      </c>
    </row>
    <row r="41" spans="1:9" ht="7.95" customHeight="1">
      <c r="A41" s="1084"/>
      <c r="B41" s="1082"/>
      <c r="C41" s="1040"/>
      <c r="D41" s="1147"/>
      <c r="E41" s="1149"/>
      <c r="F41" s="1149"/>
      <c r="G41" s="1149"/>
      <c r="H41" s="1149"/>
      <c r="I41" s="1151"/>
    </row>
    <row r="42" spans="1:9" ht="7.95" customHeight="1">
      <c r="A42" s="1084"/>
      <c r="B42" s="1066" t="s">
        <v>268</v>
      </c>
      <c r="C42" s="1087">
        <v>4312</v>
      </c>
      <c r="D42" s="1156">
        <v>7.7656677143999993</v>
      </c>
      <c r="E42" s="1157">
        <v>0</v>
      </c>
      <c r="F42" s="1157">
        <v>7.7656677143999993</v>
      </c>
      <c r="G42" s="1157">
        <v>1.778</v>
      </c>
      <c r="H42" s="1157">
        <v>5.9876677143999988</v>
      </c>
      <c r="I42" s="1158">
        <v>0.22895648711610808</v>
      </c>
    </row>
    <row r="43" spans="1:9" ht="7.95" customHeight="1">
      <c r="A43" s="1084"/>
      <c r="B43" s="1065"/>
      <c r="C43" s="1037"/>
      <c r="D43" s="1147"/>
      <c r="E43" s="1149"/>
      <c r="F43" s="1149"/>
      <c r="G43" s="1149"/>
      <c r="H43" s="1149"/>
      <c r="I43" s="1151"/>
    </row>
    <row r="44" spans="1:9" ht="7.95" customHeight="1">
      <c r="A44" s="1084"/>
      <c r="B44" s="1081" t="s">
        <v>390</v>
      </c>
      <c r="C44" s="1040" t="s">
        <v>269</v>
      </c>
      <c r="D44" s="1147">
        <v>53.069193950399992</v>
      </c>
      <c r="E44" s="1149">
        <v>-13.84</v>
      </c>
      <c r="F44" s="1149">
        <v>39.229193950399988</v>
      </c>
      <c r="G44" s="1149">
        <v>1.0389999999999999</v>
      </c>
      <c r="H44" s="1149">
        <v>38.190193950399987</v>
      </c>
      <c r="I44" s="1151">
        <v>2.648537722476977E-2</v>
      </c>
    </row>
    <row r="45" spans="1:9" ht="7.95" customHeight="1">
      <c r="A45" s="1084"/>
      <c r="B45" s="1082"/>
      <c r="C45" s="1040"/>
      <c r="D45" s="1147"/>
      <c r="E45" s="1149"/>
      <c r="F45" s="1149"/>
      <c r="G45" s="1149"/>
      <c r="H45" s="1149"/>
      <c r="I45" s="1151"/>
    </row>
    <row r="46" spans="1:9" ht="7.95" customHeight="1">
      <c r="A46" s="1084"/>
      <c r="B46" s="1081" t="s">
        <v>425</v>
      </c>
      <c r="C46" s="1040" t="s">
        <v>270</v>
      </c>
      <c r="D46" s="1153">
        <v>13.99661493</v>
      </c>
      <c r="E46" s="1154">
        <v>-13.997</v>
      </c>
      <c r="F46" s="1154">
        <v>-3.8507000000009839E-4</v>
      </c>
      <c r="G46" s="1154">
        <v>0</v>
      </c>
      <c r="H46" s="1154">
        <v>-3.8507000000009839E-4</v>
      </c>
      <c r="I46" s="1155">
        <v>0</v>
      </c>
    </row>
    <row r="47" spans="1:9" ht="7.95" customHeight="1">
      <c r="A47" s="1084"/>
      <c r="B47" s="1082"/>
      <c r="C47" s="1040"/>
      <c r="D47" s="1153"/>
      <c r="E47" s="1154"/>
      <c r="F47" s="1154"/>
      <c r="G47" s="1154"/>
      <c r="H47" s="1154"/>
      <c r="I47" s="1155"/>
    </row>
    <row r="48" spans="1:9" ht="7.95" customHeight="1">
      <c r="A48" s="1084"/>
      <c r="B48" s="1081" t="s">
        <v>391</v>
      </c>
      <c r="C48" s="1039" t="s">
        <v>271</v>
      </c>
      <c r="D48" s="1147">
        <v>41.141341276200002</v>
      </c>
      <c r="E48" s="1149">
        <v>-54.293999999999997</v>
      </c>
      <c r="F48" s="1149">
        <v>-13.152658723799995</v>
      </c>
      <c r="G48" s="1149">
        <v>0</v>
      </c>
      <c r="H48" s="1149">
        <v>-13.152658723799995</v>
      </c>
      <c r="I48" s="1151">
        <v>0</v>
      </c>
    </row>
    <row r="49" spans="1:9" ht="7.95" customHeight="1">
      <c r="A49" s="1084"/>
      <c r="B49" s="1082"/>
      <c r="C49" s="1039"/>
      <c r="D49" s="1147"/>
      <c r="E49" s="1149"/>
      <c r="F49" s="1149"/>
      <c r="G49" s="1149"/>
      <c r="H49" s="1149"/>
      <c r="I49" s="1151"/>
    </row>
    <row r="50" spans="1:9" ht="7.95" customHeight="1">
      <c r="A50" s="1084"/>
      <c r="B50" s="1042" t="s">
        <v>392</v>
      </c>
      <c r="C50" s="1037" t="s">
        <v>272</v>
      </c>
      <c r="D50" s="1147">
        <v>74.443126333800009</v>
      </c>
      <c r="E50" s="1149">
        <v>0</v>
      </c>
      <c r="F50" s="1149">
        <v>74.443126333800009</v>
      </c>
      <c r="G50" s="1149">
        <v>0</v>
      </c>
      <c r="H50" s="1149">
        <v>74.443126333800009</v>
      </c>
      <c r="I50" s="1151">
        <v>0</v>
      </c>
    </row>
    <row r="51" spans="1:9" ht="7.95" customHeight="1">
      <c r="A51" s="1084"/>
      <c r="B51" s="1065"/>
      <c r="C51" s="1037"/>
      <c r="D51" s="1147"/>
      <c r="E51" s="1149"/>
      <c r="F51" s="1149"/>
      <c r="G51" s="1149"/>
      <c r="H51" s="1149"/>
      <c r="I51" s="1151"/>
    </row>
    <row r="52" spans="1:9" ht="7.95" customHeight="1">
      <c r="A52" s="1084"/>
      <c r="B52" s="1081" t="s">
        <v>275</v>
      </c>
      <c r="C52" s="1040" t="s">
        <v>276</v>
      </c>
      <c r="D52" s="1147">
        <v>22.9479077658</v>
      </c>
      <c r="E52" s="1149">
        <v>-22.302</v>
      </c>
      <c r="F52" s="1149">
        <v>0.64590776580000053</v>
      </c>
      <c r="G52" s="1149">
        <v>0</v>
      </c>
      <c r="H52" s="1149">
        <v>0.64590776580000053</v>
      </c>
      <c r="I52" s="1151">
        <v>0</v>
      </c>
    </row>
    <row r="53" spans="1:9" ht="7.95" customHeight="1">
      <c r="A53" s="1084"/>
      <c r="B53" s="1082"/>
      <c r="C53" s="1040"/>
      <c r="D53" s="1147"/>
      <c r="E53" s="1149"/>
      <c r="F53" s="1149"/>
      <c r="G53" s="1149"/>
      <c r="H53" s="1149"/>
      <c r="I53" s="1151"/>
    </row>
    <row r="54" spans="1:9" ht="7.95" customHeight="1">
      <c r="A54" s="1084"/>
      <c r="B54" s="1081" t="s">
        <v>277</v>
      </c>
      <c r="C54" s="1040" t="s">
        <v>278</v>
      </c>
      <c r="D54" s="1147">
        <v>51.766474818000006</v>
      </c>
      <c r="E54" s="1149">
        <v>-67.206999999999994</v>
      </c>
      <c r="F54" s="1149">
        <v>-15.440525181999988</v>
      </c>
      <c r="G54" s="1149">
        <v>0</v>
      </c>
      <c r="H54" s="1149">
        <v>-15.440525181999988</v>
      </c>
      <c r="I54" s="1151">
        <v>0</v>
      </c>
    </row>
    <row r="55" spans="1:9" ht="7.95" customHeight="1">
      <c r="A55" s="1084"/>
      <c r="B55" s="1082"/>
      <c r="C55" s="1040"/>
      <c r="D55" s="1147"/>
      <c r="E55" s="1149"/>
      <c r="F55" s="1149"/>
      <c r="G55" s="1149"/>
      <c r="H55" s="1149"/>
      <c r="I55" s="1151"/>
    </row>
    <row r="56" spans="1:9" ht="7.95" customHeight="1">
      <c r="A56" s="1084"/>
      <c r="B56" s="1081" t="s">
        <v>393</v>
      </c>
      <c r="C56" s="1039" t="s">
        <v>279</v>
      </c>
      <c r="D56" s="1147">
        <v>66.109467467999991</v>
      </c>
      <c r="E56" s="1149">
        <v>-66.11</v>
      </c>
      <c r="F56" s="1149">
        <v>-5.3253200000824563E-4</v>
      </c>
      <c r="G56" s="1149">
        <v>0</v>
      </c>
      <c r="H56" s="1149">
        <v>-5.3253200000824563E-4</v>
      </c>
      <c r="I56" s="1151">
        <v>0</v>
      </c>
    </row>
    <row r="57" spans="1:9" ht="7.95" customHeight="1">
      <c r="A57" s="1084"/>
      <c r="B57" s="1082"/>
      <c r="C57" s="1039"/>
      <c r="D57" s="1147"/>
      <c r="E57" s="1149"/>
      <c r="F57" s="1149"/>
      <c r="G57" s="1149"/>
      <c r="H57" s="1149"/>
      <c r="I57" s="1151"/>
    </row>
    <row r="58" spans="1:9" ht="7.95" customHeight="1">
      <c r="A58" s="1084"/>
      <c r="B58" s="1042" t="s">
        <v>394</v>
      </c>
      <c r="C58" s="1037" t="s">
        <v>280</v>
      </c>
      <c r="D58" s="1147">
        <v>89.091814493399994</v>
      </c>
      <c r="E58" s="1149">
        <v>0</v>
      </c>
      <c r="F58" s="1149">
        <v>89.091814493399994</v>
      </c>
      <c r="G58" s="1149">
        <v>5.94</v>
      </c>
      <c r="H58" s="1149">
        <v>83.151814493399996</v>
      </c>
      <c r="I58" s="1151">
        <v>6.6672791813439172E-2</v>
      </c>
    </row>
    <row r="59" spans="1:9" ht="7.95" customHeight="1">
      <c r="A59" s="1084"/>
      <c r="B59" s="1065"/>
      <c r="C59" s="1037"/>
      <c r="D59" s="1147"/>
      <c r="E59" s="1149"/>
      <c r="F59" s="1149"/>
      <c r="G59" s="1149"/>
      <c r="H59" s="1149"/>
      <c r="I59" s="1151"/>
    </row>
    <row r="60" spans="1:9" ht="7.95" customHeight="1">
      <c r="A60" s="1084"/>
      <c r="B60" s="1079" t="s">
        <v>395</v>
      </c>
      <c r="C60" s="1058" t="s">
        <v>281</v>
      </c>
      <c r="D60" s="1147">
        <v>110.8836339714</v>
      </c>
      <c r="E60" s="1149">
        <v>-97.352000000000004</v>
      </c>
      <c r="F60" s="1149">
        <v>13.531633971399998</v>
      </c>
      <c r="G60" s="1149">
        <v>1.2</v>
      </c>
      <c r="H60" s="1149">
        <v>12.331633971399999</v>
      </c>
      <c r="I60" s="1151">
        <v>8.8681086300167383E-2</v>
      </c>
    </row>
    <row r="61" spans="1:9" ht="7.95" customHeight="1">
      <c r="A61" s="1084"/>
      <c r="B61" s="1080"/>
      <c r="C61" s="1058"/>
      <c r="D61" s="1147"/>
      <c r="E61" s="1149"/>
      <c r="F61" s="1149"/>
      <c r="G61" s="1149"/>
      <c r="H61" s="1149"/>
      <c r="I61" s="1151"/>
    </row>
    <row r="62" spans="1:9" ht="7.95" customHeight="1">
      <c r="A62" s="1084"/>
      <c r="B62" s="1081" t="s">
        <v>426</v>
      </c>
      <c r="C62" s="1040" t="s">
        <v>282</v>
      </c>
      <c r="D62" s="1147">
        <v>76.429125146999993</v>
      </c>
      <c r="E62" s="1149">
        <v>-49.030999999999999</v>
      </c>
      <c r="F62" s="1149">
        <v>27.398125146999995</v>
      </c>
      <c r="G62" s="1149">
        <v>1.778</v>
      </c>
      <c r="H62" s="1149">
        <v>25.620125146999996</v>
      </c>
      <c r="I62" s="1151">
        <v>6.4894951404902437E-2</v>
      </c>
    </row>
    <row r="63" spans="1:9" ht="7.95" customHeight="1">
      <c r="A63" s="1084"/>
      <c r="B63" s="1082"/>
      <c r="C63" s="1040"/>
      <c r="D63" s="1147"/>
      <c r="E63" s="1149"/>
      <c r="F63" s="1149"/>
      <c r="G63" s="1149"/>
      <c r="H63" s="1149"/>
      <c r="I63" s="1151"/>
    </row>
    <row r="64" spans="1:9" ht="7.95" customHeight="1">
      <c r="A64" s="1084"/>
      <c r="B64" s="1081" t="s">
        <v>396</v>
      </c>
      <c r="C64" s="1040" t="s">
        <v>283</v>
      </c>
      <c r="D64" s="1147">
        <v>29.732017331999998</v>
      </c>
      <c r="E64" s="1149">
        <v>-24.238</v>
      </c>
      <c r="F64" s="1149">
        <v>5.4940173319999985</v>
      </c>
      <c r="G64" s="1149">
        <v>0</v>
      </c>
      <c r="H64" s="1149">
        <v>5.4940173319999985</v>
      </c>
      <c r="I64" s="1151">
        <v>0</v>
      </c>
    </row>
    <row r="65" spans="1:9" ht="7.95" customHeight="1">
      <c r="A65" s="1084"/>
      <c r="B65" s="1082"/>
      <c r="C65" s="1040"/>
      <c r="D65" s="1147"/>
      <c r="E65" s="1149"/>
      <c r="F65" s="1149"/>
      <c r="G65" s="1149"/>
      <c r="H65" s="1149"/>
      <c r="I65" s="1151"/>
    </row>
    <row r="66" spans="1:9" ht="7.95" customHeight="1">
      <c r="A66" s="1084"/>
      <c r="B66" s="1042" t="s">
        <v>397</v>
      </c>
      <c r="C66" s="1037" t="s">
        <v>284</v>
      </c>
      <c r="D66" s="1147">
        <v>14.111729100600002</v>
      </c>
      <c r="E66" s="1149">
        <v>0</v>
      </c>
      <c r="F66" s="1149">
        <v>14.111729100600002</v>
      </c>
      <c r="G66" s="1149">
        <v>7.2999999999999995E-2</v>
      </c>
      <c r="H66" s="1149">
        <v>14.038729100600001</v>
      </c>
      <c r="I66" s="1151">
        <v>5.1730017972706254E-3</v>
      </c>
    </row>
    <row r="67" spans="1:9" ht="7.95" customHeight="1">
      <c r="A67" s="1084"/>
      <c r="B67" s="1065"/>
      <c r="C67" s="1037"/>
      <c r="D67" s="1147"/>
      <c r="E67" s="1149"/>
      <c r="F67" s="1149"/>
      <c r="G67" s="1149"/>
      <c r="H67" s="1149"/>
      <c r="I67" s="1151"/>
    </row>
    <row r="68" spans="1:9" ht="7.95" customHeight="1">
      <c r="A68" s="1084"/>
      <c r="B68" s="1081" t="s">
        <v>398</v>
      </c>
      <c r="C68" s="1039" t="s">
        <v>285</v>
      </c>
      <c r="D68" s="1147">
        <v>4.3165728840000002</v>
      </c>
      <c r="E68" s="1149">
        <v>-4.3159999999999998</v>
      </c>
      <c r="F68" s="1149">
        <v>5.728840000003288E-4</v>
      </c>
      <c r="G68" s="1149">
        <v>0</v>
      </c>
      <c r="H68" s="1149">
        <v>5.728840000003288E-4</v>
      </c>
      <c r="I68" s="1151">
        <v>0</v>
      </c>
    </row>
    <row r="69" spans="1:9" ht="7.95" customHeight="1">
      <c r="A69" s="1084"/>
      <c r="B69" s="1082"/>
      <c r="C69" s="1039"/>
      <c r="D69" s="1147"/>
      <c r="E69" s="1149"/>
      <c r="F69" s="1149"/>
      <c r="G69" s="1149"/>
      <c r="H69" s="1149"/>
      <c r="I69" s="1151"/>
    </row>
    <row r="70" spans="1:9" ht="7.95" customHeight="1">
      <c r="A70" s="1084"/>
      <c r="B70" s="1042" t="s">
        <v>399</v>
      </c>
      <c r="C70" s="1048" t="s">
        <v>286</v>
      </c>
      <c r="D70" s="1147">
        <v>11.694490026</v>
      </c>
      <c r="E70" s="1149">
        <v>0</v>
      </c>
      <c r="F70" s="1149">
        <v>11.694490026</v>
      </c>
      <c r="G70" s="1149">
        <v>0.55200000000000005</v>
      </c>
      <c r="H70" s="1149">
        <v>11.142490026000001</v>
      </c>
      <c r="I70" s="1151">
        <v>4.7201716258918121E-2</v>
      </c>
    </row>
    <row r="71" spans="1:9" ht="7.95" customHeight="1">
      <c r="A71" s="1084"/>
      <c r="B71" s="1065"/>
      <c r="C71" s="1048"/>
      <c r="D71" s="1147"/>
      <c r="E71" s="1149"/>
      <c r="F71" s="1149"/>
      <c r="G71" s="1149"/>
      <c r="H71" s="1149"/>
      <c r="I71" s="1151"/>
    </row>
    <row r="72" spans="1:9" ht="7.95" customHeight="1">
      <c r="A72" s="1084"/>
      <c r="B72" s="1042" t="s">
        <v>287</v>
      </c>
      <c r="C72" s="1037"/>
      <c r="D72" s="1147">
        <v>8.253402114</v>
      </c>
      <c r="E72" s="1149">
        <v>0</v>
      </c>
      <c r="F72" s="1149">
        <v>8.253402114</v>
      </c>
      <c r="G72" s="1149">
        <v>0</v>
      </c>
      <c r="H72" s="1149">
        <v>8.253402114</v>
      </c>
      <c r="I72" s="1151">
        <v>0</v>
      </c>
    </row>
    <row r="73" spans="1:9" ht="7.95" customHeight="1" thickBot="1">
      <c r="A73" s="1085"/>
      <c r="B73" s="1066"/>
      <c r="C73" s="1043"/>
      <c r="D73" s="1148"/>
      <c r="E73" s="1150"/>
      <c r="F73" s="1150"/>
      <c r="G73" s="1150"/>
      <c r="H73" s="1150"/>
      <c r="I73" s="1152"/>
    </row>
    <row r="74" spans="1:9" ht="7.95" customHeight="1">
      <c r="A74" s="1067" t="s">
        <v>288</v>
      </c>
      <c r="B74" s="1068"/>
      <c r="C74" s="1069"/>
      <c r="D74" s="1096">
        <v>900.93065184900001</v>
      </c>
      <c r="E74" s="1098">
        <v>-620.06700000000001</v>
      </c>
      <c r="F74" s="1098">
        <v>280.86365184900001</v>
      </c>
      <c r="G74" s="1098">
        <v>12.360000000000001</v>
      </c>
      <c r="H74" s="1098">
        <v>268.50365184899999</v>
      </c>
      <c r="I74" s="1100">
        <v>4.4007118467024264E-2</v>
      </c>
    </row>
    <row r="75" spans="1:9" ht="7.95" customHeight="1" thickBot="1">
      <c r="A75" s="1070"/>
      <c r="B75" s="1071"/>
      <c r="C75" s="1072"/>
      <c r="D75" s="1097"/>
      <c r="E75" s="1099"/>
      <c r="F75" s="1099"/>
      <c r="G75" s="1099"/>
      <c r="H75" s="1099"/>
      <c r="I75" s="1101"/>
    </row>
    <row r="76" spans="1:9" ht="7.95" customHeight="1">
      <c r="A76" s="233"/>
      <c r="B76" s="234"/>
      <c r="C76" s="233"/>
      <c r="D76" s="233"/>
      <c r="E76" s="233"/>
      <c r="F76" s="233"/>
      <c r="G76" s="233"/>
      <c r="H76" s="233"/>
      <c r="I76" s="233"/>
    </row>
    <row r="77" spans="1:9" ht="7.95" customHeight="1" thickBot="1">
      <c r="A77" s="233"/>
      <c r="B77" s="234"/>
      <c r="C77" s="233"/>
      <c r="D77" s="233"/>
      <c r="E77" s="233"/>
      <c r="F77" s="233"/>
      <c r="G77" s="233"/>
      <c r="H77" s="233"/>
      <c r="I77" s="233"/>
    </row>
    <row r="78" spans="1:9" ht="7.95" customHeight="1" thickBot="1">
      <c r="A78" s="222" t="s">
        <v>240</v>
      </c>
      <c r="B78" s="235" t="s">
        <v>241</v>
      </c>
      <c r="C78" s="232" t="s">
        <v>242</v>
      </c>
      <c r="D78" s="236" t="s">
        <v>245</v>
      </c>
      <c r="E78" s="237" t="s">
        <v>4</v>
      </c>
      <c r="F78" s="237" t="s">
        <v>5</v>
      </c>
      <c r="G78" s="237" t="s">
        <v>6</v>
      </c>
      <c r="H78" s="237" t="s">
        <v>7</v>
      </c>
      <c r="I78" s="238" t="s">
        <v>246</v>
      </c>
    </row>
    <row r="79" spans="1:9" ht="7.95" customHeight="1">
      <c r="A79" s="1073" t="s">
        <v>289</v>
      </c>
      <c r="B79" s="1076" t="s">
        <v>400</v>
      </c>
      <c r="C79" s="1078" t="s">
        <v>290</v>
      </c>
      <c r="D79" s="1137">
        <v>38.908963288800003</v>
      </c>
      <c r="E79" s="1138">
        <v>-40.853999999999999</v>
      </c>
      <c r="F79" s="1139">
        <v>-1.9450367111999967</v>
      </c>
      <c r="G79" s="1140">
        <v>0</v>
      </c>
      <c r="H79" s="1139">
        <v>-1.9450367111999967</v>
      </c>
      <c r="I79" s="1141">
        <v>0</v>
      </c>
    </row>
    <row r="80" spans="1:9" ht="7.95" customHeight="1">
      <c r="A80" s="1074"/>
      <c r="B80" s="1077"/>
      <c r="C80" s="1058"/>
      <c r="D80" s="1137"/>
      <c r="E80" s="1138"/>
      <c r="F80" s="1139"/>
      <c r="G80" s="1140"/>
      <c r="H80" s="1139"/>
      <c r="I80" s="1141"/>
    </row>
    <row r="81" spans="1:9" ht="7.95" customHeight="1">
      <c r="A81" s="1074"/>
      <c r="B81" s="1062" t="s">
        <v>401</v>
      </c>
      <c r="C81" s="1037" t="s">
        <v>291</v>
      </c>
      <c r="D81" s="1122">
        <v>1.5319186812000001</v>
      </c>
      <c r="E81" s="1124">
        <v>0</v>
      </c>
      <c r="F81" s="1126">
        <v>1.5319186812000001</v>
      </c>
      <c r="G81" s="1128">
        <v>0</v>
      </c>
      <c r="H81" s="1126">
        <v>1.5319186812000001</v>
      </c>
      <c r="I81" s="1130">
        <v>0</v>
      </c>
    </row>
    <row r="82" spans="1:9" ht="7.95" customHeight="1">
      <c r="A82" s="1074"/>
      <c r="B82" s="1062"/>
      <c r="C82" s="1037"/>
      <c r="D82" s="1122"/>
      <c r="E82" s="1124"/>
      <c r="F82" s="1126"/>
      <c r="G82" s="1128"/>
      <c r="H82" s="1126"/>
      <c r="I82" s="1130"/>
    </row>
    <row r="83" spans="1:9" ht="7.95" customHeight="1">
      <c r="A83" s="1074"/>
      <c r="B83" s="1062" t="s">
        <v>292</v>
      </c>
      <c r="C83" s="1037" t="s">
        <v>293</v>
      </c>
      <c r="D83" s="1122">
        <v>2.4402382080000002</v>
      </c>
      <c r="E83" s="1124">
        <v>0</v>
      </c>
      <c r="F83" s="1126">
        <v>2.4402382080000002</v>
      </c>
      <c r="G83" s="1128">
        <v>2.3530000000000002</v>
      </c>
      <c r="H83" s="1126">
        <v>8.7238208000000039E-2</v>
      </c>
      <c r="I83" s="1130">
        <v>0.96425012619095918</v>
      </c>
    </row>
    <row r="84" spans="1:9" ht="7.95" customHeight="1">
      <c r="A84" s="1074"/>
      <c r="B84" s="1062"/>
      <c r="C84" s="1037"/>
      <c r="D84" s="1122"/>
      <c r="E84" s="1124"/>
      <c r="F84" s="1126"/>
      <c r="G84" s="1128"/>
      <c r="H84" s="1126"/>
      <c r="I84" s="1130"/>
    </row>
    <row r="85" spans="1:9" ht="7.95" customHeight="1">
      <c r="A85" s="1074"/>
      <c r="B85" s="1062" t="s">
        <v>294</v>
      </c>
      <c r="C85" s="1037" t="s">
        <v>295</v>
      </c>
      <c r="D85" s="1122">
        <v>2.5910325294000001</v>
      </c>
      <c r="E85" s="1124">
        <v>0</v>
      </c>
      <c r="F85" s="1126">
        <v>2.5910325294000001</v>
      </c>
      <c r="G85" s="1128">
        <v>0.46</v>
      </c>
      <c r="H85" s="1126">
        <v>2.1310325294000001</v>
      </c>
      <c r="I85" s="1130">
        <v>0.17753540134307819</v>
      </c>
    </row>
    <row r="86" spans="1:9" ht="7.95" customHeight="1">
      <c r="A86" s="1074"/>
      <c r="B86" s="1062"/>
      <c r="C86" s="1037"/>
      <c r="D86" s="1122"/>
      <c r="E86" s="1124"/>
      <c r="F86" s="1126"/>
      <c r="G86" s="1128"/>
      <c r="H86" s="1126"/>
      <c r="I86" s="1130"/>
    </row>
    <row r="87" spans="1:9" ht="7.95" customHeight="1">
      <c r="A87" s="1074"/>
      <c r="B87" s="1062" t="s">
        <v>296</v>
      </c>
      <c r="C87" s="1037" t="s">
        <v>297</v>
      </c>
      <c r="D87" s="1122">
        <v>5.5977696492</v>
      </c>
      <c r="E87" s="1124">
        <v>0</v>
      </c>
      <c r="F87" s="1126">
        <v>5.5977696492</v>
      </c>
      <c r="G87" s="1128">
        <v>0</v>
      </c>
      <c r="H87" s="1126">
        <v>5.5977696492</v>
      </c>
      <c r="I87" s="1130">
        <v>0</v>
      </c>
    </row>
    <row r="88" spans="1:9" ht="7.95" customHeight="1">
      <c r="A88" s="1074"/>
      <c r="B88" s="1062"/>
      <c r="C88" s="1037"/>
      <c r="D88" s="1122"/>
      <c r="E88" s="1124"/>
      <c r="F88" s="1126"/>
      <c r="G88" s="1128"/>
      <c r="H88" s="1126"/>
      <c r="I88" s="1130"/>
    </row>
    <row r="89" spans="1:9" ht="7.95" customHeight="1">
      <c r="A89" s="1074"/>
      <c r="B89" s="1059" t="s">
        <v>298</v>
      </c>
      <c r="C89" s="1040" t="s">
        <v>299</v>
      </c>
      <c r="D89" s="1122">
        <v>7.728258316799999</v>
      </c>
      <c r="E89" s="1124">
        <v>-7.7279999999999998</v>
      </c>
      <c r="F89" s="1126">
        <v>2.583167999992142E-4</v>
      </c>
      <c r="G89" s="1128">
        <v>0</v>
      </c>
      <c r="H89" s="1126">
        <v>2.583167999992142E-4</v>
      </c>
      <c r="I89" s="1130">
        <v>0</v>
      </c>
    </row>
    <row r="90" spans="1:9" ht="7.95" customHeight="1">
      <c r="A90" s="1074"/>
      <c r="B90" s="1060"/>
      <c r="C90" s="1040"/>
      <c r="D90" s="1122"/>
      <c r="E90" s="1124"/>
      <c r="F90" s="1126"/>
      <c r="G90" s="1128"/>
      <c r="H90" s="1126"/>
      <c r="I90" s="1130"/>
    </row>
    <row r="91" spans="1:9" ht="7.95" customHeight="1">
      <c r="A91" s="1074"/>
      <c r="B91" s="1059" t="s">
        <v>300</v>
      </c>
      <c r="C91" s="1040" t="s">
        <v>301</v>
      </c>
      <c r="D91" s="1122">
        <v>9.3792312245999998</v>
      </c>
      <c r="E91" s="1124">
        <v>-5</v>
      </c>
      <c r="F91" s="1126">
        <v>4.3792312245999998</v>
      </c>
      <c r="G91" s="1128">
        <v>0</v>
      </c>
      <c r="H91" s="1126">
        <v>4.3792312245999998</v>
      </c>
      <c r="I91" s="1130">
        <v>0</v>
      </c>
    </row>
    <row r="92" spans="1:9" ht="7.95" customHeight="1">
      <c r="A92" s="1074"/>
      <c r="B92" s="1060"/>
      <c r="C92" s="1040"/>
      <c r="D92" s="1122"/>
      <c r="E92" s="1124"/>
      <c r="F92" s="1126"/>
      <c r="G92" s="1128"/>
      <c r="H92" s="1126"/>
      <c r="I92" s="1130"/>
    </row>
    <row r="93" spans="1:9" ht="7.95" customHeight="1">
      <c r="A93" s="1074"/>
      <c r="B93" s="1061" t="s">
        <v>302</v>
      </c>
      <c r="C93" s="1040" t="s">
        <v>303</v>
      </c>
      <c r="D93" s="1137">
        <v>9.4275093648000006</v>
      </c>
      <c r="E93" s="1138">
        <v>-9.4269999999999996</v>
      </c>
      <c r="F93" s="1139">
        <v>5.0936480000096651E-4</v>
      </c>
      <c r="G93" s="1140">
        <v>0.27</v>
      </c>
      <c r="H93" s="1139">
        <v>-0.26949063519999905</v>
      </c>
      <c r="I93" s="1141">
        <v>530.0719641394295</v>
      </c>
    </row>
    <row r="94" spans="1:9" ht="7.95" customHeight="1">
      <c r="A94" s="1074"/>
      <c r="B94" s="1061"/>
      <c r="C94" s="1040"/>
      <c r="D94" s="1137"/>
      <c r="E94" s="1138"/>
      <c r="F94" s="1139"/>
      <c r="G94" s="1140"/>
      <c r="H94" s="1139"/>
      <c r="I94" s="1141"/>
    </row>
    <row r="95" spans="1:9" ht="7.95" customHeight="1">
      <c r="A95" s="1074"/>
      <c r="B95" s="1062" t="s">
        <v>304</v>
      </c>
      <c r="C95" s="1037" t="s">
        <v>305</v>
      </c>
      <c r="D95" s="1122">
        <v>5.2894991394000002</v>
      </c>
      <c r="E95" s="1124">
        <v>0</v>
      </c>
      <c r="F95" s="1126">
        <v>5.2894991394000002</v>
      </c>
      <c r="G95" s="1128">
        <v>0</v>
      </c>
      <c r="H95" s="1126">
        <v>5.2894991394000002</v>
      </c>
      <c r="I95" s="1130">
        <v>0</v>
      </c>
    </row>
    <row r="96" spans="1:9" ht="7.95" customHeight="1">
      <c r="A96" s="1074"/>
      <c r="B96" s="1062"/>
      <c r="C96" s="1037"/>
      <c r="D96" s="1122"/>
      <c r="E96" s="1124"/>
      <c r="F96" s="1126"/>
      <c r="G96" s="1128"/>
      <c r="H96" s="1126"/>
      <c r="I96" s="1130"/>
    </row>
    <row r="97" spans="1:9" ht="7.95" customHeight="1">
      <c r="A97" s="1074"/>
      <c r="B97" s="1062" t="s">
        <v>306</v>
      </c>
      <c r="C97" s="1037" t="s">
        <v>307</v>
      </c>
      <c r="D97" s="1122">
        <v>17.853778794</v>
      </c>
      <c r="E97" s="1124">
        <v>0</v>
      </c>
      <c r="F97" s="1126">
        <v>17.853778794</v>
      </c>
      <c r="G97" s="1128">
        <v>0</v>
      </c>
      <c r="H97" s="1126">
        <v>17.853778794</v>
      </c>
      <c r="I97" s="1130">
        <v>0</v>
      </c>
    </row>
    <row r="98" spans="1:9" ht="7.95" customHeight="1">
      <c r="A98" s="1074"/>
      <c r="B98" s="1062"/>
      <c r="C98" s="1037"/>
      <c r="D98" s="1122"/>
      <c r="E98" s="1124"/>
      <c r="F98" s="1126"/>
      <c r="G98" s="1128"/>
      <c r="H98" s="1126"/>
      <c r="I98" s="1130"/>
    </row>
    <row r="99" spans="1:9" ht="7.95" customHeight="1">
      <c r="A99" s="1074"/>
      <c r="B99" s="1062" t="s">
        <v>403</v>
      </c>
      <c r="C99" s="1037" t="s">
        <v>308</v>
      </c>
      <c r="D99" s="1122">
        <v>14.430730601999999</v>
      </c>
      <c r="E99" s="1124">
        <v>0</v>
      </c>
      <c r="F99" s="1126">
        <v>14.430730601999999</v>
      </c>
      <c r="G99" s="1128">
        <v>0</v>
      </c>
      <c r="H99" s="1126">
        <v>14.430730601999999</v>
      </c>
      <c r="I99" s="1130">
        <v>0</v>
      </c>
    </row>
    <row r="100" spans="1:9" ht="7.95" customHeight="1">
      <c r="A100" s="1074"/>
      <c r="B100" s="1062"/>
      <c r="C100" s="1037"/>
      <c r="D100" s="1122"/>
      <c r="E100" s="1124"/>
      <c r="F100" s="1126"/>
      <c r="G100" s="1128"/>
      <c r="H100" s="1126"/>
      <c r="I100" s="1130"/>
    </row>
    <row r="101" spans="1:9" ht="7.95" customHeight="1">
      <c r="A101" s="1074"/>
      <c r="B101" s="1059" t="s">
        <v>309</v>
      </c>
      <c r="C101" s="1040" t="s">
        <v>310</v>
      </c>
      <c r="D101" s="1122">
        <v>6.8288797734000006</v>
      </c>
      <c r="E101" s="1124">
        <v>-17.853999999999999</v>
      </c>
      <c r="F101" s="1126">
        <v>-11.025120226599999</v>
      </c>
      <c r="G101" s="1128">
        <v>0</v>
      </c>
      <c r="H101" s="1126">
        <v>-11.025120226599999</v>
      </c>
      <c r="I101" s="1130">
        <v>0</v>
      </c>
    </row>
    <row r="102" spans="1:9" ht="7.95" customHeight="1">
      <c r="A102" s="1074"/>
      <c r="B102" s="1060"/>
      <c r="C102" s="1040"/>
      <c r="D102" s="1122"/>
      <c r="E102" s="1124"/>
      <c r="F102" s="1126"/>
      <c r="G102" s="1128"/>
      <c r="H102" s="1126"/>
      <c r="I102" s="1130"/>
    </row>
    <row r="103" spans="1:9" ht="7.95" customHeight="1">
      <c r="A103" s="1074"/>
      <c r="B103" s="1061" t="s">
        <v>311</v>
      </c>
      <c r="C103" s="1040" t="s">
        <v>312</v>
      </c>
      <c r="D103" s="1122">
        <v>49.589861832000004</v>
      </c>
      <c r="E103" s="1124">
        <v>-44.368000000000002</v>
      </c>
      <c r="F103" s="1126">
        <v>5.2218618320000019</v>
      </c>
      <c r="G103" s="1128">
        <v>0</v>
      </c>
      <c r="H103" s="1126">
        <v>5.2218618320000019</v>
      </c>
      <c r="I103" s="1130">
        <v>0</v>
      </c>
    </row>
    <row r="104" spans="1:9" ht="7.95" customHeight="1">
      <c r="A104" s="1074"/>
      <c r="B104" s="1061"/>
      <c r="C104" s="1040"/>
      <c r="D104" s="1122"/>
      <c r="E104" s="1124"/>
      <c r="F104" s="1126"/>
      <c r="G104" s="1128"/>
      <c r="H104" s="1126"/>
      <c r="I104" s="1130"/>
    </row>
    <row r="105" spans="1:9" ht="7.95" customHeight="1">
      <c r="A105" s="1074"/>
      <c r="B105" s="1063" t="s">
        <v>402</v>
      </c>
      <c r="C105" s="1058" t="s">
        <v>313</v>
      </c>
      <c r="D105" s="1142">
        <v>34.480564143000002</v>
      </c>
      <c r="E105" s="1143">
        <v>-34.481000000000002</v>
      </c>
      <c r="F105" s="1144">
        <v>-4.3585699999937333E-4</v>
      </c>
      <c r="G105" s="1145">
        <v>0</v>
      </c>
      <c r="H105" s="1144">
        <v>-4.3585699999937333E-4</v>
      </c>
      <c r="I105" s="1146">
        <v>0</v>
      </c>
    </row>
    <row r="106" spans="1:9" ht="7.95" customHeight="1">
      <c r="A106" s="1074"/>
      <c r="B106" s="1064"/>
      <c r="C106" s="1058"/>
      <c r="D106" s="1142"/>
      <c r="E106" s="1143"/>
      <c r="F106" s="1144"/>
      <c r="G106" s="1145"/>
      <c r="H106" s="1144"/>
      <c r="I106" s="1146"/>
    </row>
    <row r="107" spans="1:9" ht="7.95" customHeight="1">
      <c r="A107" s="1074"/>
      <c r="B107" s="1062" t="s">
        <v>314</v>
      </c>
      <c r="C107" s="1037" t="s">
        <v>315</v>
      </c>
      <c r="D107" s="1122">
        <v>22.613021121000003</v>
      </c>
      <c r="E107" s="1124">
        <v>0</v>
      </c>
      <c r="F107" s="1126">
        <v>22.613021121000003</v>
      </c>
      <c r="G107" s="1128">
        <v>0</v>
      </c>
      <c r="H107" s="1126">
        <v>22.613021121000003</v>
      </c>
      <c r="I107" s="1130">
        <v>0</v>
      </c>
    </row>
    <row r="108" spans="1:9" ht="7.95" customHeight="1">
      <c r="A108" s="1074"/>
      <c r="B108" s="1062"/>
      <c r="C108" s="1037"/>
      <c r="D108" s="1122"/>
      <c r="E108" s="1124"/>
      <c r="F108" s="1126"/>
      <c r="G108" s="1128"/>
      <c r="H108" s="1126"/>
      <c r="I108" s="1130"/>
    </row>
    <row r="109" spans="1:9" ht="7.95" customHeight="1">
      <c r="A109" s="1074"/>
      <c r="B109" s="1061" t="s">
        <v>316</v>
      </c>
      <c r="C109" s="1040" t="s">
        <v>317</v>
      </c>
      <c r="D109" s="1137">
        <v>44.919671941199994</v>
      </c>
      <c r="E109" s="1138">
        <v>-49.555999999999997</v>
      </c>
      <c r="F109" s="1139">
        <v>-4.6363280588000038</v>
      </c>
      <c r="G109" s="1140">
        <v>0</v>
      </c>
      <c r="H109" s="1139">
        <v>-4.6363280588000038</v>
      </c>
      <c r="I109" s="1141">
        <v>0</v>
      </c>
    </row>
    <row r="110" spans="1:9" ht="7.95" customHeight="1">
      <c r="A110" s="1074"/>
      <c r="B110" s="1061"/>
      <c r="C110" s="1040"/>
      <c r="D110" s="1137"/>
      <c r="E110" s="1138"/>
      <c r="F110" s="1139"/>
      <c r="G110" s="1140"/>
      <c r="H110" s="1139"/>
      <c r="I110" s="1141"/>
    </row>
    <row r="111" spans="1:9" ht="7.95" customHeight="1">
      <c r="A111" s="1074"/>
      <c r="B111" s="1063" t="s">
        <v>420</v>
      </c>
      <c r="C111" s="1058" t="s">
        <v>318</v>
      </c>
      <c r="D111" s="1142">
        <v>46.204785741000002</v>
      </c>
      <c r="E111" s="1143">
        <v>-46.204999999999998</v>
      </c>
      <c r="F111" s="1144">
        <v>-2.1425899999627518E-4</v>
      </c>
      <c r="G111" s="1145">
        <v>0</v>
      </c>
      <c r="H111" s="1144">
        <v>-2.1425899999627518E-4</v>
      </c>
      <c r="I111" s="1146">
        <v>0</v>
      </c>
    </row>
    <row r="112" spans="1:9" ht="7.95" customHeight="1">
      <c r="A112" s="1074"/>
      <c r="B112" s="1064"/>
      <c r="C112" s="1058"/>
      <c r="D112" s="1142"/>
      <c r="E112" s="1143"/>
      <c r="F112" s="1144"/>
      <c r="G112" s="1145"/>
      <c r="H112" s="1144"/>
      <c r="I112" s="1146"/>
    </row>
    <row r="113" spans="1:9" ht="7.95" customHeight="1">
      <c r="A113" s="1074"/>
      <c r="B113" s="1061" t="s">
        <v>319</v>
      </c>
      <c r="C113" s="1040" t="s">
        <v>320</v>
      </c>
      <c r="D113" s="1122">
        <v>85.008878249999995</v>
      </c>
      <c r="E113" s="1124">
        <v>-86.635000000000005</v>
      </c>
      <c r="F113" s="1126">
        <v>-1.62612175000001</v>
      </c>
      <c r="G113" s="1128">
        <v>0</v>
      </c>
      <c r="H113" s="1126">
        <v>-1.62612175000001</v>
      </c>
      <c r="I113" s="1130">
        <v>1</v>
      </c>
    </row>
    <row r="114" spans="1:9" ht="7.95" customHeight="1">
      <c r="A114" s="1074"/>
      <c r="B114" s="1061"/>
      <c r="C114" s="1040"/>
      <c r="D114" s="1122"/>
      <c r="E114" s="1124"/>
      <c r="F114" s="1126"/>
      <c r="G114" s="1128"/>
      <c r="H114" s="1126"/>
      <c r="I114" s="1130"/>
    </row>
    <row r="115" spans="1:9" ht="7.95" customHeight="1">
      <c r="A115" s="1074"/>
      <c r="B115" s="1056" t="s">
        <v>321</v>
      </c>
      <c r="C115" s="1040" t="s">
        <v>322</v>
      </c>
      <c r="D115" s="1122">
        <v>74.017981837200011</v>
      </c>
      <c r="E115" s="1124">
        <v>-79.787999999999997</v>
      </c>
      <c r="F115" s="1126">
        <v>-5.7700181627999854</v>
      </c>
      <c r="G115" s="1128">
        <v>0</v>
      </c>
      <c r="H115" s="1126">
        <v>-5.7700181627999854</v>
      </c>
      <c r="I115" s="1130">
        <v>0</v>
      </c>
    </row>
    <row r="116" spans="1:9" ht="7.95" customHeight="1">
      <c r="A116" s="1074"/>
      <c r="B116" s="1056"/>
      <c r="C116" s="1040"/>
      <c r="D116" s="1122"/>
      <c r="E116" s="1124"/>
      <c r="F116" s="1126"/>
      <c r="G116" s="1128"/>
      <c r="H116" s="1126"/>
      <c r="I116" s="1130"/>
    </row>
    <row r="117" spans="1:9" ht="7.95" customHeight="1">
      <c r="A117" s="1074"/>
      <c r="B117" s="1054" t="s">
        <v>323</v>
      </c>
      <c r="C117" s="1055" t="s">
        <v>324</v>
      </c>
      <c r="D117" s="1122">
        <v>49.387404847200003</v>
      </c>
      <c r="E117" s="1124">
        <v>-46.652000000000001</v>
      </c>
      <c r="F117" s="1126">
        <v>2.7354048472000017</v>
      </c>
      <c r="G117" s="1128">
        <v>0</v>
      </c>
      <c r="H117" s="1126">
        <v>2.7354048472000017</v>
      </c>
      <c r="I117" s="1130">
        <v>0</v>
      </c>
    </row>
    <row r="118" spans="1:9" ht="7.95" customHeight="1">
      <c r="A118" s="1074"/>
      <c r="B118" s="1054"/>
      <c r="C118" s="1055"/>
      <c r="D118" s="1122"/>
      <c r="E118" s="1124"/>
      <c r="F118" s="1126"/>
      <c r="G118" s="1128"/>
      <c r="H118" s="1126"/>
      <c r="I118" s="1130"/>
    </row>
    <row r="119" spans="1:9" ht="7.95" customHeight="1">
      <c r="A119" s="1074"/>
      <c r="B119" s="1056" t="s">
        <v>325</v>
      </c>
      <c r="C119" s="1040" t="s">
        <v>326</v>
      </c>
      <c r="D119" s="1122">
        <v>53.3005526046</v>
      </c>
      <c r="E119" s="1124">
        <v>-49.481000000000002</v>
      </c>
      <c r="F119" s="1126">
        <v>3.8195526045999983</v>
      </c>
      <c r="G119" s="1128">
        <v>0.111</v>
      </c>
      <c r="H119" s="1126">
        <v>3.7085526045999981</v>
      </c>
      <c r="I119" s="1130">
        <v>2.9060995223974522E-2</v>
      </c>
    </row>
    <row r="120" spans="1:9" ht="7.95" customHeight="1">
      <c r="A120" s="1074"/>
      <c r="B120" s="1056"/>
      <c r="C120" s="1040"/>
      <c r="D120" s="1122"/>
      <c r="E120" s="1124"/>
      <c r="F120" s="1126"/>
      <c r="G120" s="1128"/>
      <c r="H120" s="1126"/>
      <c r="I120" s="1130"/>
    </row>
    <row r="121" spans="1:9" ht="7.95" customHeight="1">
      <c r="A121" s="1074"/>
      <c r="B121" s="1059" t="s">
        <v>327</v>
      </c>
      <c r="C121" s="1040" t="s">
        <v>328</v>
      </c>
      <c r="D121" s="1122">
        <v>75.880806348000007</v>
      </c>
      <c r="E121" s="1124">
        <v>-75.88</v>
      </c>
      <c r="F121" s="1126">
        <v>8.0634800001178064E-4</v>
      </c>
      <c r="G121" s="1128">
        <v>0</v>
      </c>
      <c r="H121" s="1126">
        <v>8.0634800001178064E-4</v>
      </c>
      <c r="I121" s="1130">
        <v>0</v>
      </c>
    </row>
    <row r="122" spans="1:9" ht="7.95" customHeight="1">
      <c r="A122" s="1074"/>
      <c r="B122" s="1060"/>
      <c r="C122" s="1040"/>
      <c r="D122" s="1122"/>
      <c r="E122" s="1124"/>
      <c r="F122" s="1126"/>
      <c r="G122" s="1128"/>
      <c r="H122" s="1126"/>
      <c r="I122" s="1130"/>
    </row>
    <row r="123" spans="1:9" ht="7.95" customHeight="1">
      <c r="A123" s="1074"/>
      <c r="B123" s="1041" t="s">
        <v>329</v>
      </c>
      <c r="C123" s="1037" t="s">
        <v>330</v>
      </c>
      <c r="D123" s="1122">
        <v>66.296763540000001</v>
      </c>
      <c r="E123" s="1124">
        <v>0</v>
      </c>
      <c r="F123" s="1126">
        <v>66.296763540000001</v>
      </c>
      <c r="G123" s="1128">
        <v>0</v>
      </c>
      <c r="H123" s="1126">
        <v>66.296763540000001</v>
      </c>
      <c r="I123" s="1130">
        <v>0</v>
      </c>
    </row>
    <row r="124" spans="1:9" ht="7.95" customHeight="1">
      <c r="A124" s="1074"/>
      <c r="B124" s="1041"/>
      <c r="C124" s="1037"/>
      <c r="D124" s="1122"/>
      <c r="E124" s="1124"/>
      <c r="F124" s="1126"/>
      <c r="G124" s="1128"/>
      <c r="H124" s="1126"/>
      <c r="I124" s="1130"/>
    </row>
    <row r="125" spans="1:9" ht="7.95" customHeight="1">
      <c r="A125" s="1074"/>
      <c r="B125" s="1057" t="s">
        <v>331</v>
      </c>
      <c r="C125" s="1058" t="s">
        <v>332</v>
      </c>
      <c r="D125" s="1137">
        <v>67.608476114400005</v>
      </c>
      <c r="E125" s="1138">
        <v>-73.206000000000003</v>
      </c>
      <c r="F125" s="1139">
        <v>-5.5975238855999976</v>
      </c>
      <c r="G125" s="1140">
        <v>0</v>
      </c>
      <c r="H125" s="1139">
        <v>-5.5975238855999976</v>
      </c>
      <c r="I125" s="1141">
        <v>0</v>
      </c>
    </row>
    <row r="126" spans="1:9" ht="7.95" customHeight="1">
      <c r="A126" s="1074"/>
      <c r="B126" s="1057"/>
      <c r="C126" s="1058"/>
      <c r="D126" s="1137"/>
      <c r="E126" s="1138"/>
      <c r="F126" s="1139"/>
      <c r="G126" s="1140"/>
      <c r="H126" s="1139"/>
      <c r="I126" s="1141"/>
    </row>
    <row r="127" spans="1:9" ht="7.95" customHeight="1">
      <c r="A127" s="1074"/>
      <c r="B127" s="1054" t="s">
        <v>416</v>
      </c>
      <c r="C127" s="1055" t="s">
        <v>333</v>
      </c>
      <c r="D127" s="1137">
        <v>108.77422950959999</v>
      </c>
      <c r="E127" s="1138">
        <v>-108.84</v>
      </c>
      <c r="F127" s="1139">
        <v>-6.5770490400012704E-2</v>
      </c>
      <c r="G127" s="1140">
        <v>0</v>
      </c>
      <c r="H127" s="1139">
        <v>-6.5770490400012704E-2</v>
      </c>
      <c r="I127" s="1141">
        <v>0</v>
      </c>
    </row>
    <row r="128" spans="1:9" ht="7.95" customHeight="1">
      <c r="A128" s="1074"/>
      <c r="B128" s="1054"/>
      <c r="C128" s="1055"/>
      <c r="D128" s="1137"/>
      <c r="E128" s="1138"/>
      <c r="F128" s="1139"/>
      <c r="G128" s="1140"/>
      <c r="H128" s="1139"/>
      <c r="I128" s="1141"/>
    </row>
    <row r="129" spans="1:9" ht="7.95" customHeight="1">
      <c r="A129" s="1074"/>
      <c r="B129" s="1057" t="s">
        <v>334</v>
      </c>
      <c r="C129" s="1058" t="s">
        <v>335</v>
      </c>
      <c r="D129" s="1122">
        <v>102.7894429536</v>
      </c>
      <c r="E129" s="1124">
        <v>-93.686999999999998</v>
      </c>
      <c r="F129" s="1126">
        <v>9.1024429536000042</v>
      </c>
      <c r="G129" s="1128">
        <v>0</v>
      </c>
      <c r="H129" s="1126">
        <v>9.1024429536000042</v>
      </c>
      <c r="I129" s="1130">
        <v>0</v>
      </c>
    </row>
    <row r="130" spans="1:9" ht="7.95" customHeight="1">
      <c r="A130" s="1074"/>
      <c r="B130" s="1057"/>
      <c r="C130" s="1058"/>
      <c r="D130" s="1122"/>
      <c r="E130" s="1124"/>
      <c r="F130" s="1126"/>
      <c r="G130" s="1128"/>
      <c r="H130" s="1126"/>
      <c r="I130" s="1130"/>
    </row>
    <row r="131" spans="1:9" ht="7.95" customHeight="1">
      <c r="A131" s="1074"/>
      <c r="B131" s="1041" t="s">
        <v>336</v>
      </c>
      <c r="C131" s="1037" t="s">
        <v>337</v>
      </c>
      <c r="D131" s="1122">
        <v>12.747989671799999</v>
      </c>
      <c r="E131" s="1124">
        <v>0</v>
      </c>
      <c r="F131" s="1126">
        <v>12.747989671799999</v>
      </c>
      <c r="G131" s="1128">
        <v>0</v>
      </c>
      <c r="H131" s="1126">
        <v>12.747989671799999</v>
      </c>
      <c r="I131" s="1130">
        <v>0</v>
      </c>
    </row>
    <row r="132" spans="1:9" ht="7.95" customHeight="1">
      <c r="A132" s="1074"/>
      <c r="B132" s="1041"/>
      <c r="C132" s="1037"/>
      <c r="D132" s="1122"/>
      <c r="E132" s="1124"/>
      <c r="F132" s="1126"/>
      <c r="G132" s="1128"/>
      <c r="H132" s="1126"/>
      <c r="I132" s="1130"/>
    </row>
    <row r="133" spans="1:9" ht="7.95" customHeight="1">
      <c r="A133" s="1074"/>
      <c r="B133" s="1057" t="s">
        <v>338</v>
      </c>
      <c r="C133" s="1058" t="s">
        <v>339</v>
      </c>
      <c r="D133" s="1132">
        <v>23.3307117564</v>
      </c>
      <c r="E133" s="1133">
        <v>-23.331</v>
      </c>
      <c r="F133" s="1134">
        <v>-2.8824360000001548E-4</v>
      </c>
      <c r="G133" s="1135">
        <v>0</v>
      </c>
      <c r="H133" s="1134">
        <v>-2.8824360000001548E-4</v>
      </c>
      <c r="I133" s="1136">
        <v>0</v>
      </c>
    </row>
    <row r="134" spans="1:9" ht="7.95" customHeight="1">
      <c r="A134" s="1074"/>
      <c r="B134" s="1057"/>
      <c r="C134" s="1058"/>
      <c r="D134" s="1132"/>
      <c r="E134" s="1133"/>
      <c r="F134" s="1134"/>
      <c r="G134" s="1135"/>
      <c r="H134" s="1134"/>
      <c r="I134" s="1136"/>
    </row>
    <row r="135" spans="1:9" ht="7.95" customHeight="1">
      <c r="A135" s="1074"/>
      <c r="B135" s="1057" t="s">
        <v>340</v>
      </c>
      <c r="C135" s="1058" t="s">
        <v>341</v>
      </c>
      <c r="D135" s="1132">
        <v>21.248772957</v>
      </c>
      <c r="E135" s="1133">
        <v>-21.248999999999999</v>
      </c>
      <c r="F135" s="1134">
        <v>-2.2704299999887212E-4</v>
      </c>
      <c r="G135" s="1135">
        <v>0</v>
      </c>
      <c r="H135" s="1134">
        <v>-2.2704299999887212E-4</v>
      </c>
      <c r="I135" s="1136">
        <v>0</v>
      </c>
    </row>
    <row r="136" spans="1:9" ht="7.95" customHeight="1">
      <c r="A136" s="1074"/>
      <c r="B136" s="1057"/>
      <c r="C136" s="1058"/>
      <c r="D136" s="1132"/>
      <c r="E136" s="1133"/>
      <c r="F136" s="1134"/>
      <c r="G136" s="1135"/>
      <c r="H136" s="1134"/>
      <c r="I136" s="1136"/>
    </row>
    <row r="137" spans="1:9" ht="7.95" customHeight="1">
      <c r="A137" s="1074"/>
      <c r="B137" s="1056" t="s">
        <v>342</v>
      </c>
      <c r="C137" s="1040" t="s">
        <v>343</v>
      </c>
      <c r="D137" s="1122">
        <v>5.1335536853999999</v>
      </c>
      <c r="E137" s="1124">
        <v>-5.133</v>
      </c>
      <c r="F137" s="1126">
        <v>5.5368539999989252E-4</v>
      </c>
      <c r="G137" s="1128">
        <v>0</v>
      </c>
      <c r="H137" s="1126">
        <v>5.5368539999989252E-4</v>
      </c>
      <c r="I137" s="1130">
        <v>0</v>
      </c>
    </row>
    <row r="138" spans="1:9" ht="7.95" customHeight="1">
      <c r="A138" s="1074"/>
      <c r="B138" s="1056"/>
      <c r="C138" s="1040"/>
      <c r="D138" s="1122"/>
      <c r="E138" s="1124"/>
      <c r="F138" s="1126"/>
      <c r="G138" s="1128"/>
      <c r="H138" s="1126"/>
      <c r="I138" s="1130"/>
    </row>
    <row r="139" spans="1:9" ht="7.95" customHeight="1">
      <c r="A139" s="1074"/>
      <c r="B139" s="1041" t="s">
        <v>344</v>
      </c>
      <c r="C139" s="1037" t="s">
        <v>345</v>
      </c>
      <c r="D139" s="1122">
        <v>6.7321268675999999</v>
      </c>
      <c r="E139" s="1124">
        <v>0</v>
      </c>
      <c r="F139" s="1126">
        <v>6.7321268675999999</v>
      </c>
      <c r="G139" s="1128">
        <v>0</v>
      </c>
      <c r="H139" s="1126">
        <v>6.7321268675999999</v>
      </c>
      <c r="I139" s="1130">
        <v>0</v>
      </c>
    </row>
    <row r="140" spans="1:9" ht="7.95" customHeight="1">
      <c r="A140" s="1074"/>
      <c r="B140" s="1041"/>
      <c r="C140" s="1037"/>
      <c r="D140" s="1122"/>
      <c r="E140" s="1124"/>
      <c r="F140" s="1126"/>
      <c r="G140" s="1128"/>
      <c r="H140" s="1126"/>
      <c r="I140" s="1130"/>
    </row>
    <row r="141" spans="1:9" ht="7.95" customHeight="1">
      <c r="A141" s="1074"/>
      <c r="B141" s="1041" t="s">
        <v>346</v>
      </c>
      <c r="C141" s="1037" t="s">
        <v>347</v>
      </c>
      <c r="D141" s="1122">
        <v>15.924253361999998</v>
      </c>
      <c r="E141" s="1124">
        <v>0</v>
      </c>
      <c r="F141" s="1126">
        <v>15.924253361999998</v>
      </c>
      <c r="G141" s="1128">
        <v>0</v>
      </c>
      <c r="H141" s="1126">
        <v>15.924253361999998</v>
      </c>
      <c r="I141" s="1130">
        <v>0</v>
      </c>
    </row>
    <row r="142" spans="1:9" ht="7.95" customHeight="1">
      <c r="A142" s="1074"/>
      <c r="B142" s="1041"/>
      <c r="C142" s="1037"/>
      <c r="D142" s="1122"/>
      <c r="E142" s="1124"/>
      <c r="F142" s="1126"/>
      <c r="G142" s="1128"/>
      <c r="H142" s="1126"/>
      <c r="I142" s="1130"/>
    </row>
    <row r="143" spans="1:9" ht="7.95" customHeight="1">
      <c r="A143" s="1074"/>
      <c r="B143" s="1054" t="s">
        <v>348</v>
      </c>
      <c r="C143" s="1055" t="s">
        <v>415</v>
      </c>
      <c r="D143" s="1132">
        <v>3.661651794</v>
      </c>
      <c r="E143" s="1124">
        <v>-3.6619999999999999</v>
      </c>
      <c r="F143" s="1126">
        <v>-3.4820599999996205E-4</v>
      </c>
      <c r="G143" s="1128">
        <v>0</v>
      </c>
      <c r="H143" s="1126">
        <v>-3.4820599999996205E-4</v>
      </c>
      <c r="I143" s="1130">
        <v>0</v>
      </c>
    </row>
    <row r="144" spans="1:9" ht="7.95" customHeight="1">
      <c r="A144" s="1074"/>
      <c r="B144" s="1054"/>
      <c r="C144" s="1055"/>
      <c r="D144" s="1132"/>
      <c r="E144" s="1124"/>
      <c r="F144" s="1126"/>
      <c r="G144" s="1128"/>
      <c r="H144" s="1126"/>
      <c r="I144" s="1130"/>
    </row>
    <row r="145" spans="1:9" ht="7.95" customHeight="1">
      <c r="A145" s="1074"/>
      <c r="B145" s="1041" t="s">
        <v>349</v>
      </c>
      <c r="C145" s="1037"/>
      <c r="D145" s="1122">
        <v>6.5286237299999996</v>
      </c>
      <c r="E145" s="1124">
        <v>0</v>
      </c>
      <c r="F145" s="1126">
        <v>6.5286237299999996</v>
      </c>
      <c r="G145" s="1128">
        <v>1.308888888888889</v>
      </c>
      <c r="H145" s="1126">
        <v>5.2197348411111104</v>
      </c>
      <c r="I145" s="1130">
        <v>0.20048465695370823</v>
      </c>
    </row>
    <row r="146" spans="1:9" ht="7.95" customHeight="1">
      <c r="A146" s="1074"/>
      <c r="B146" s="1041"/>
      <c r="C146" s="1037"/>
      <c r="D146" s="1122"/>
      <c r="E146" s="1124"/>
      <c r="F146" s="1126"/>
      <c r="G146" s="1128"/>
      <c r="H146" s="1126"/>
      <c r="I146" s="1130"/>
    </row>
    <row r="147" spans="1:9" ht="7.95" customHeight="1">
      <c r="A147" s="1074"/>
      <c r="B147" s="1041" t="s">
        <v>350</v>
      </c>
      <c r="C147" s="1037"/>
      <c r="D147" s="1122">
        <v>4.3289327339999994</v>
      </c>
      <c r="E147" s="1124">
        <v>0</v>
      </c>
      <c r="F147" s="1126">
        <v>4.3289327339999994</v>
      </c>
      <c r="G147" s="1128">
        <v>0.27</v>
      </c>
      <c r="H147" s="1126">
        <v>4.058932733999999</v>
      </c>
      <c r="I147" s="1130">
        <v>6.2371031519936768E-2</v>
      </c>
    </row>
    <row r="148" spans="1:9" ht="7.95" customHeight="1">
      <c r="A148" s="1074"/>
      <c r="B148" s="1041"/>
      <c r="C148" s="1037"/>
      <c r="D148" s="1122"/>
      <c r="E148" s="1124"/>
      <c r="F148" s="1126"/>
      <c r="G148" s="1128"/>
      <c r="H148" s="1126"/>
      <c r="I148" s="1130"/>
    </row>
    <row r="149" spans="1:9" ht="7.95" customHeight="1">
      <c r="A149" s="1074"/>
      <c r="B149" s="1041" t="s">
        <v>351</v>
      </c>
      <c r="C149" s="1037"/>
      <c r="D149" s="1122">
        <v>3.1038357240000001</v>
      </c>
      <c r="E149" s="1124">
        <v>0</v>
      </c>
      <c r="F149" s="1126">
        <v>3.1038357240000001</v>
      </c>
      <c r="G149" s="1128">
        <v>1.111</v>
      </c>
      <c r="H149" s="1126">
        <v>1.9928357240000001</v>
      </c>
      <c r="I149" s="1130">
        <v>0.35794420155981166</v>
      </c>
    </row>
    <row r="150" spans="1:9" ht="7.95" customHeight="1" thickBot="1">
      <c r="A150" s="1075"/>
      <c r="B150" s="1042"/>
      <c r="C150" s="1043"/>
      <c r="D150" s="1123"/>
      <c r="E150" s="1125"/>
      <c r="F150" s="1127"/>
      <c r="G150" s="1129"/>
      <c r="H150" s="1127"/>
      <c r="I150" s="1131"/>
    </row>
    <row r="151" spans="1:9" ht="7.95" customHeight="1">
      <c r="A151" s="222" t="s">
        <v>352</v>
      </c>
      <c r="B151" s="239"/>
      <c r="C151" s="240"/>
      <c r="D151" s="1114">
        <v>1105.6207026366001</v>
      </c>
      <c r="E151" s="1116">
        <v>-923.01700000000017</v>
      </c>
      <c r="F151" s="1118">
        <v>182.60370263659991</v>
      </c>
      <c r="G151" s="1118">
        <v>5.8838888888888894</v>
      </c>
      <c r="H151" s="1118">
        <v>176.71981374771102</v>
      </c>
      <c r="I151" s="1120">
        <v>3.2222177337764238E-2</v>
      </c>
    </row>
    <row r="152" spans="1:9" ht="7.95" customHeight="1" thickBot="1">
      <c r="A152" s="225"/>
      <c r="B152" s="226"/>
      <c r="C152" s="227"/>
      <c r="D152" s="1115"/>
      <c r="E152" s="1117"/>
      <c r="F152" s="1119"/>
      <c r="G152" s="1119"/>
      <c r="H152" s="1119"/>
      <c r="I152" s="1121"/>
    </row>
    <row r="153" spans="1:9" ht="7.95" customHeight="1">
      <c r="A153" s="241"/>
      <c r="B153" s="242"/>
      <c r="C153" s="243"/>
      <c r="D153" s="244"/>
      <c r="E153" s="244"/>
      <c r="F153" s="244"/>
      <c r="G153" s="244"/>
      <c r="H153" s="244"/>
      <c r="I153" s="244"/>
    </row>
    <row r="154" spans="1:9" ht="7.95" customHeight="1" thickBot="1">
      <c r="A154" s="243"/>
      <c r="B154" s="242"/>
      <c r="C154" s="243"/>
      <c r="D154" s="243"/>
      <c r="E154" s="243"/>
      <c r="F154" s="243"/>
      <c r="G154" s="243"/>
      <c r="H154" s="243"/>
      <c r="I154" s="243"/>
    </row>
    <row r="155" spans="1:9" ht="7.95" customHeight="1" thickBot="1">
      <c r="A155" s="217" t="s">
        <v>240</v>
      </c>
      <c r="B155" s="235" t="s">
        <v>241</v>
      </c>
      <c r="C155" s="232" t="s">
        <v>242</v>
      </c>
      <c r="D155" s="245" t="s">
        <v>245</v>
      </c>
      <c r="E155" s="232" t="s">
        <v>4</v>
      </c>
      <c r="F155" s="232" t="s">
        <v>5</v>
      </c>
      <c r="G155" s="232" t="s">
        <v>6</v>
      </c>
      <c r="H155" s="232" t="s">
        <v>7</v>
      </c>
      <c r="I155" s="246" t="s">
        <v>246</v>
      </c>
    </row>
    <row r="156" spans="1:9" ht="7.95" customHeight="1">
      <c r="A156" s="1044" t="s">
        <v>353</v>
      </c>
      <c r="B156" s="1047" t="s">
        <v>354</v>
      </c>
      <c r="C156" s="1047">
        <v>4313</v>
      </c>
      <c r="D156" s="1102">
        <v>30.409280879400001</v>
      </c>
      <c r="E156" s="1104">
        <v>0</v>
      </c>
      <c r="F156" s="1104">
        <v>30.409280879400001</v>
      </c>
      <c r="G156" s="1104">
        <v>0</v>
      </c>
      <c r="H156" s="1104">
        <v>30.409280879400001</v>
      </c>
      <c r="I156" s="1106">
        <v>0</v>
      </c>
    </row>
    <row r="157" spans="1:9" ht="7.95" customHeight="1">
      <c r="A157" s="1045"/>
      <c r="B157" s="1048"/>
      <c r="C157" s="1048"/>
      <c r="D157" s="1102"/>
      <c r="E157" s="1104"/>
      <c r="F157" s="1104"/>
      <c r="G157" s="1104"/>
      <c r="H157" s="1104"/>
      <c r="I157" s="1106"/>
    </row>
    <row r="158" spans="1:9" ht="7.95" customHeight="1">
      <c r="A158" s="1045"/>
      <c r="B158" s="1048" t="s">
        <v>355</v>
      </c>
      <c r="C158" s="1048">
        <v>4410</v>
      </c>
      <c r="D158" s="1102">
        <v>34.765354711800001</v>
      </c>
      <c r="E158" s="1104">
        <v>0</v>
      </c>
      <c r="F158" s="1104">
        <v>34.765354711800001</v>
      </c>
      <c r="G158" s="1104">
        <v>0</v>
      </c>
      <c r="H158" s="1104">
        <v>34.765354711800001</v>
      </c>
      <c r="I158" s="1106">
        <v>0</v>
      </c>
    </row>
    <row r="159" spans="1:9" ht="7.95" customHeight="1">
      <c r="A159" s="1045"/>
      <c r="B159" s="1048"/>
      <c r="C159" s="1048"/>
      <c r="D159" s="1102"/>
      <c r="E159" s="1104"/>
      <c r="F159" s="1104"/>
      <c r="G159" s="1104"/>
      <c r="H159" s="1104"/>
      <c r="I159" s="1106"/>
    </row>
    <row r="160" spans="1:9" ht="7.95" customHeight="1">
      <c r="A160" s="1045"/>
      <c r="B160" s="1048" t="s">
        <v>356</v>
      </c>
      <c r="C160" s="1048" t="s">
        <v>357</v>
      </c>
      <c r="D160" s="1102">
        <v>95.263733329800004</v>
      </c>
      <c r="E160" s="1104">
        <v>0</v>
      </c>
      <c r="F160" s="1104">
        <v>95.263733329800004</v>
      </c>
      <c r="G160" s="1104">
        <v>1.7310000000000001</v>
      </c>
      <c r="H160" s="1104">
        <v>93.53273332980001</v>
      </c>
      <c r="I160" s="1106">
        <v>1.8170608472873231E-2</v>
      </c>
    </row>
    <row r="161" spans="1:9" ht="7.95" customHeight="1">
      <c r="A161" s="1045"/>
      <c r="B161" s="1048"/>
      <c r="C161" s="1048"/>
      <c r="D161" s="1102"/>
      <c r="E161" s="1104"/>
      <c r="F161" s="1104"/>
      <c r="G161" s="1104"/>
      <c r="H161" s="1104"/>
      <c r="I161" s="1106"/>
    </row>
    <row r="162" spans="1:9" ht="7.95" customHeight="1">
      <c r="A162" s="1045"/>
      <c r="B162" s="1049" t="s">
        <v>417</v>
      </c>
      <c r="C162" s="1049" t="s">
        <v>358</v>
      </c>
      <c r="D162" s="1102">
        <v>34.725800550000002</v>
      </c>
      <c r="E162" s="1104">
        <v>-34.725000000000001</v>
      </c>
      <c r="F162" s="1104">
        <v>8.0055000000101018E-4</v>
      </c>
      <c r="G162" s="1104">
        <v>0</v>
      </c>
      <c r="H162" s="1104">
        <v>8.0055000000101018E-4</v>
      </c>
      <c r="I162" s="1106">
        <v>0</v>
      </c>
    </row>
    <row r="163" spans="1:9" ht="7.95" customHeight="1">
      <c r="A163" s="1045"/>
      <c r="B163" s="1049"/>
      <c r="C163" s="1049"/>
      <c r="D163" s="1102"/>
      <c r="E163" s="1104"/>
      <c r="F163" s="1104"/>
      <c r="G163" s="1104"/>
      <c r="H163" s="1104"/>
      <c r="I163" s="1106"/>
    </row>
    <row r="164" spans="1:9" ht="7.95" customHeight="1">
      <c r="A164" s="1045"/>
      <c r="B164" s="1050" t="s">
        <v>424</v>
      </c>
      <c r="C164" s="1051" t="s">
        <v>359</v>
      </c>
      <c r="D164" s="1111">
        <v>79.787716815600007</v>
      </c>
      <c r="E164" s="1112">
        <v>-61.341999999999999</v>
      </c>
      <c r="F164" s="1112">
        <v>18.445716815600008</v>
      </c>
      <c r="G164" s="1112">
        <v>0</v>
      </c>
      <c r="H164" s="1112">
        <v>18.445716815600008</v>
      </c>
      <c r="I164" s="1113">
        <v>0</v>
      </c>
    </row>
    <row r="165" spans="1:9" ht="7.95" customHeight="1">
      <c r="A165" s="1045"/>
      <c r="B165" s="1039"/>
      <c r="C165" s="1040"/>
      <c r="D165" s="1102"/>
      <c r="E165" s="1104"/>
      <c r="F165" s="1104"/>
      <c r="G165" s="1104"/>
      <c r="H165" s="1104"/>
      <c r="I165" s="1106"/>
    </row>
    <row r="166" spans="1:9" ht="7.95" customHeight="1">
      <c r="A166" s="1045"/>
      <c r="B166" s="1052" t="s">
        <v>423</v>
      </c>
      <c r="C166" s="1052" t="s">
        <v>360</v>
      </c>
      <c r="D166" s="1102">
        <v>119.51966383019999</v>
      </c>
      <c r="E166" s="1104">
        <v>-119.51900000000001</v>
      </c>
      <c r="F166" s="1104">
        <v>6.6383019998283999E-4</v>
      </c>
      <c r="G166" s="1104">
        <v>0</v>
      </c>
      <c r="H166" s="1104">
        <v>6.6383019998283999E-4</v>
      </c>
      <c r="I166" s="1106">
        <v>0</v>
      </c>
    </row>
    <row r="167" spans="1:9" ht="7.95" customHeight="1">
      <c r="A167" s="1045"/>
      <c r="B167" s="1052"/>
      <c r="C167" s="1052"/>
      <c r="D167" s="1102"/>
      <c r="E167" s="1104"/>
      <c r="F167" s="1104"/>
      <c r="G167" s="1104"/>
      <c r="H167" s="1104"/>
      <c r="I167" s="1106"/>
    </row>
    <row r="168" spans="1:9" ht="7.95" customHeight="1">
      <c r="A168" s="1045"/>
      <c r="B168" s="1039" t="s">
        <v>379</v>
      </c>
      <c r="C168" s="1039" t="s">
        <v>361</v>
      </c>
      <c r="D168" s="1108">
        <v>26.096358963</v>
      </c>
      <c r="E168" s="1109">
        <v>-26.097000000000001</v>
      </c>
      <c r="F168" s="1109">
        <v>-6.4103700000117669E-4</v>
      </c>
      <c r="G168" s="1109">
        <v>0</v>
      </c>
      <c r="H168" s="1109">
        <v>-6.4103700000117669E-4</v>
      </c>
      <c r="I168" s="1110">
        <v>0</v>
      </c>
    </row>
    <row r="169" spans="1:9" ht="7.95" customHeight="1">
      <c r="A169" s="1045"/>
      <c r="B169" s="1039"/>
      <c r="C169" s="1039"/>
      <c r="D169" s="1108"/>
      <c r="E169" s="1109"/>
      <c r="F169" s="1109"/>
      <c r="G169" s="1109"/>
      <c r="H169" s="1109"/>
      <c r="I169" s="1110"/>
    </row>
    <row r="170" spans="1:9" ht="7.95" customHeight="1">
      <c r="A170" s="1045"/>
      <c r="B170" s="1039" t="s">
        <v>380</v>
      </c>
      <c r="C170" s="1040" t="s">
        <v>362</v>
      </c>
      <c r="D170" s="1102">
        <v>69.151522057199998</v>
      </c>
      <c r="E170" s="1104">
        <v>-69.150999999999996</v>
      </c>
      <c r="F170" s="1104">
        <v>5.220572000013135E-4</v>
      </c>
      <c r="G170" s="1104">
        <v>0</v>
      </c>
      <c r="H170" s="1104">
        <v>5.220572000013135E-4</v>
      </c>
      <c r="I170" s="1106">
        <v>0</v>
      </c>
    </row>
    <row r="171" spans="1:9" ht="7.95" customHeight="1">
      <c r="A171" s="1045"/>
      <c r="B171" s="1039"/>
      <c r="C171" s="1040"/>
      <c r="D171" s="1102"/>
      <c r="E171" s="1104"/>
      <c r="F171" s="1104"/>
      <c r="G171" s="1104"/>
      <c r="H171" s="1104"/>
      <c r="I171" s="1106"/>
    </row>
    <row r="172" spans="1:9" ht="7.95" customHeight="1">
      <c r="A172" s="1045"/>
      <c r="B172" s="1039" t="s">
        <v>381</v>
      </c>
      <c r="C172" s="1040" t="s">
        <v>363</v>
      </c>
      <c r="D172" s="1102">
        <v>90.336337413600006</v>
      </c>
      <c r="E172" s="1104">
        <v>-90.335999999999999</v>
      </c>
      <c r="F172" s="1104">
        <v>3.3741360000760778E-4</v>
      </c>
      <c r="G172" s="1104">
        <v>0</v>
      </c>
      <c r="H172" s="1104">
        <v>3.3741360000760778E-4</v>
      </c>
      <c r="I172" s="1106">
        <v>1</v>
      </c>
    </row>
    <row r="173" spans="1:9" ht="7.95" customHeight="1">
      <c r="A173" s="1045"/>
      <c r="B173" s="1039"/>
      <c r="C173" s="1040"/>
      <c r="D173" s="1102"/>
      <c r="E173" s="1104"/>
      <c r="F173" s="1104"/>
      <c r="G173" s="1104"/>
      <c r="H173" s="1104"/>
      <c r="I173" s="1106"/>
    </row>
    <row r="174" spans="1:9" ht="7.95" customHeight="1">
      <c r="A174" s="1045"/>
      <c r="B174" s="1048" t="s">
        <v>382</v>
      </c>
      <c r="C174" s="1048" t="s">
        <v>364</v>
      </c>
      <c r="D174" s="1102">
        <v>63.4971865638</v>
      </c>
      <c r="E174" s="1104">
        <v>0</v>
      </c>
      <c r="F174" s="1104">
        <v>63.4971865638</v>
      </c>
      <c r="G174" s="1104">
        <v>0</v>
      </c>
      <c r="H174" s="1104">
        <v>63.4971865638</v>
      </c>
      <c r="I174" s="1106">
        <v>0</v>
      </c>
    </row>
    <row r="175" spans="1:9" ht="7.95" customHeight="1">
      <c r="A175" s="1045"/>
      <c r="B175" s="1048"/>
      <c r="C175" s="1048"/>
      <c r="D175" s="1102"/>
      <c r="E175" s="1104"/>
      <c r="F175" s="1104"/>
      <c r="G175" s="1104"/>
      <c r="H175" s="1104"/>
      <c r="I175" s="1106"/>
    </row>
    <row r="176" spans="1:9" ht="7.95" customHeight="1">
      <c r="A176" s="1045"/>
      <c r="B176" s="1039" t="s">
        <v>383</v>
      </c>
      <c r="C176" s="1039" t="s">
        <v>365</v>
      </c>
      <c r="D176" s="1102">
        <v>40.4475766686</v>
      </c>
      <c r="E176" s="1104">
        <v>-37.067999999999998</v>
      </c>
      <c r="F176" s="1104">
        <v>3.3795766686000022</v>
      </c>
      <c r="G176" s="1104">
        <v>0</v>
      </c>
      <c r="H176" s="1104">
        <v>3.3795766686000022</v>
      </c>
      <c r="I176" s="1106">
        <v>0</v>
      </c>
    </row>
    <row r="177" spans="1:9" ht="7.95" customHeight="1">
      <c r="A177" s="1045"/>
      <c r="B177" s="1039"/>
      <c r="C177" s="1039"/>
      <c r="D177" s="1102"/>
      <c r="E177" s="1104"/>
      <c r="F177" s="1104"/>
      <c r="G177" s="1104"/>
      <c r="H177" s="1104"/>
      <c r="I177" s="1106"/>
    </row>
    <row r="178" spans="1:9" ht="7.95" customHeight="1">
      <c r="A178" s="1045"/>
      <c r="B178" s="1039" t="s">
        <v>384</v>
      </c>
      <c r="C178" s="1039" t="s">
        <v>366</v>
      </c>
      <c r="D178" s="1102">
        <v>48.4133271444</v>
      </c>
      <c r="E178" s="1104">
        <v>-48.412999999999997</v>
      </c>
      <c r="F178" s="1104">
        <v>3.2714440000347622E-4</v>
      </c>
      <c r="G178" s="1104">
        <v>0</v>
      </c>
      <c r="H178" s="1104">
        <v>3.2714440000347622E-4</v>
      </c>
      <c r="I178" s="1106">
        <v>0</v>
      </c>
    </row>
    <row r="179" spans="1:9" ht="7.95" customHeight="1">
      <c r="A179" s="1045"/>
      <c r="B179" s="1039"/>
      <c r="C179" s="1039"/>
      <c r="D179" s="1102"/>
      <c r="E179" s="1104"/>
      <c r="F179" s="1104"/>
      <c r="G179" s="1104"/>
      <c r="H179" s="1104"/>
      <c r="I179" s="1106"/>
    </row>
    <row r="180" spans="1:9" ht="7.95" customHeight="1">
      <c r="A180" s="1045"/>
      <c r="B180" s="1039" t="s">
        <v>421</v>
      </c>
      <c r="C180" s="1039" t="s">
        <v>367</v>
      </c>
      <c r="D180" s="1108">
        <v>35.898225351600004</v>
      </c>
      <c r="E180" s="1109">
        <v>-35.898000000000003</v>
      </c>
      <c r="F180" s="1109">
        <v>2.253516000010336E-4</v>
      </c>
      <c r="G180" s="1109">
        <v>0</v>
      </c>
      <c r="H180" s="1109">
        <v>2.253516000010336E-4</v>
      </c>
      <c r="I180" s="1110">
        <v>0</v>
      </c>
    </row>
    <row r="181" spans="1:9" ht="7.95" customHeight="1">
      <c r="A181" s="1045"/>
      <c r="B181" s="1039"/>
      <c r="C181" s="1039"/>
      <c r="D181" s="1108"/>
      <c r="E181" s="1109"/>
      <c r="F181" s="1109"/>
      <c r="G181" s="1109"/>
      <c r="H181" s="1109"/>
      <c r="I181" s="1110"/>
    </row>
    <row r="182" spans="1:9" ht="7.95" customHeight="1">
      <c r="A182" s="1045"/>
      <c r="B182" s="1039" t="s">
        <v>385</v>
      </c>
      <c r="C182" s="1039" t="s">
        <v>368</v>
      </c>
      <c r="D182" s="1108">
        <v>20.890371650399999</v>
      </c>
      <c r="E182" s="1109">
        <v>-20.89</v>
      </c>
      <c r="F182" s="1109">
        <v>3.7165039999820237E-4</v>
      </c>
      <c r="G182" s="1109">
        <v>0</v>
      </c>
      <c r="H182" s="1109">
        <v>3.7165039999820237E-4</v>
      </c>
      <c r="I182" s="1110">
        <v>0</v>
      </c>
    </row>
    <row r="183" spans="1:9" ht="7.95" customHeight="1">
      <c r="A183" s="1045"/>
      <c r="B183" s="1039"/>
      <c r="C183" s="1039"/>
      <c r="D183" s="1108"/>
      <c r="E183" s="1109"/>
      <c r="F183" s="1109"/>
      <c r="G183" s="1109"/>
      <c r="H183" s="1109"/>
      <c r="I183" s="1110"/>
    </row>
    <row r="184" spans="1:9" ht="7.95" customHeight="1">
      <c r="A184" s="1045"/>
      <c r="B184" s="1039" t="s">
        <v>386</v>
      </c>
      <c r="C184" s="1040" t="s">
        <v>369</v>
      </c>
      <c r="D184" s="1102">
        <v>57.424165020000004</v>
      </c>
      <c r="E184" s="1104">
        <v>-57.423999999999999</v>
      </c>
      <c r="F184" s="1104">
        <v>1.6502000000429007E-4</v>
      </c>
      <c r="G184" s="1104">
        <v>0</v>
      </c>
      <c r="H184" s="1104">
        <v>1.6502000000429007E-4</v>
      </c>
      <c r="I184" s="1106">
        <v>0</v>
      </c>
    </row>
    <row r="185" spans="1:9" ht="7.95" customHeight="1">
      <c r="A185" s="1045"/>
      <c r="B185" s="1039"/>
      <c r="C185" s="1040"/>
      <c r="D185" s="1102"/>
      <c r="E185" s="1104"/>
      <c r="F185" s="1104"/>
      <c r="G185" s="1104"/>
      <c r="H185" s="1104"/>
      <c r="I185" s="1106"/>
    </row>
    <row r="186" spans="1:9" ht="7.95" customHeight="1">
      <c r="A186" s="1045"/>
      <c r="B186" s="1039" t="s">
        <v>422</v>
      </c>
      <c r="C186" s="1040" t="s">
        <v>370</v>
      </c>
      <c r="D186" s="1102">
        <v>2.5573197647999999</v>
      </c>
      <c r="E186" s="1104">
        <v>-2.5569999999999999</v>
      </c>
      <c r="F186" s="1104">
        <v>3.1976479999995533E-4</v>
      </c>
      <c r="G186" s="1104">
        <v>0</v>
      </c>
      <c r="H186" s="1104">
        <v>3.1976479999995533E-4</v>
      </c>
      <c r="I186" s="1106">
        <v>0</v>
      </c>
    </row>
    <row r="187" spans="1:9" ht="7.95" customHeight="1">
      <c r="A187" s="1045"/>
      <c r="B187" s="1039"/>
      <c r="C187" s="1040"/>
      <c r="D187" s="1102"/>
      <c r="E187" s="1104"/>
      <c r="F187" s="1104"/>
      <c r="G187" s="1104"/>
      <c r="H187" s="1104"/>
      <c r="I187" s="1106"/>
    </row>
    <row r="188" spans="1:9" ht="7.95" customHeight="1">
      <c r="A188" s="1045"/>
      <c r="B188" s="1048" t="s">
        <v>371</v>
      </c>
      <c r="C188" s="1037"/>
      <c r="D188" s="1102">
        <v>16.292562928200002</v>
      </c>
      <c r="E188" s="1104">
        <v>0</v>
      </c>
      <c r="F188" s="1104">
        <v>16.292562928200002</v>
      </c>
      <c r="G188" s="1104">
        <v>0.98699999999999999</v>
      </c>
      <c r="H188" s="1104">
        <v>15.305562928200002</v>
      </c>
      <c r="I188" s="1106">
        <v>6.0579787498727403E-2</v>
      </c>
    </row>
    <row r="189" spans="1:9" ht="7.95" customHeight="1" thickBot="1">
      <c r="A189" s="1046"/>
      <c r="B189" s="1053"/>
      <c r="C189" s="1038"/>
      <c r="D189" s="1103"/>
      <c r="E189" s="1105"/>
      <c r="F189" s="1105"/>
      <c r="G189" s="1105"/>
      <c r="H189" s="1105"/>
      <c r="I189" s="1107"/>
    </row>
    <row r="190" spans="1:9" ht="7.95" customHeight="1">
      <c r="A190" s="222" t="s">
        <v>372</v>
      </c>
      <c r="B190" s="239"/>
      <c r="C190" s="240"/>
      <c r="D190" s="1096">
        <v>865.47650364240019</v>
      </c>
      <c r="E190" s="1098">
        <v>-603.41999999999996</v>
      </c>
      <c r="F190" s="1098">
        <v>262.05650364240023</v>
      </c>
      <c r="G190" s="1098">
        <v>2.718</v>
      </c>
      <c r="H190" s="1098">
        <v>259.33850364240004</v>
      </c>
      <c r="I190" s="1100">
        <v>1.0371808988602536E-2</v>
      </c>
    </row>
    <row r="191" spans="1:9" ht="7.95" customHeight="1" thickBot="1">
      <c r="A191" s="225"/>
      <c r="B191" s="226"/>
      <c r="C191" s="227"/>
      <c r="D191" s="1097"/>
      <c r="E191" s="1099"/>
      <c r="F191" s="1099"/>
      <c r="G191" s="1099"/>
      <c r="H191" s="1099"/>
      <c r="I191" s="1101"/>
    </row>
  </sheetData>
  <autoFilter ref="B2:I2"/>
  <mergeCells count="717">
    <mergeCell ref="D5:D6"/>
    <mergeCell ref="E5:E6"/>
    <mergeCell ref="F5:F6"/>
    <mergeCell ref="G5:G6"/>
    <mergeCell ref="H5:H6"/>
    <mergeCell ref="I5:I6"/>
    <mergeCell ref="D3:D4"/>
    <mergeCell ref="E3:E4"/>
    <mergeCell ref="F3:F4"/>
    <mergeCell ref="G3:G4"/>
    <mergeCell ref="H3:H4"/>
    <mergeCell ref="I3:I4"/>
    <mergeCell ref="D9:D10"/>
    <mergeCell ref="E9:E10"/>
    <mergeCell ref="F9:F10"/>
    <mergeCell ref="G9:G10"/>
    <mergeCell ref="H9:H10"/>
    <mergeCell ref="I9:I10"/>
    <mergeCell ref="D7:D8"/>
    <mergeCell ref="E7:E8"/>
    <mergeCell ref="F7:F8"/>
    <mergeCell ref="G7:G8"/>
    <mergeCell ref="H7:H8"/>
    <mergeCell ref="I7:I8"/>
    <mergeCell ref="D13:D14"/>
    <mergeCell ref="E13:E14"/>
    <mergeCell ref="F13:F14"/>
    <mergeCell ref="G13:G14"/>
    <mergeCell ref="H13:H14"/>
    <mergeCell ref="I13:I14"/>
    <mergeCell ref="D11:D12"/>
    <mergeCell ref="E11:E12"/>
    <mergeCell ref="F11:F12"/>
    <mergeCell ref="G11:G12"/>
    <mergeCell ref="H11:H12"/>
    <mergeCell ref="I11:I12"/>
    <mergeCell ref="D17:D18"/>
    <mergeCell ref="E17:E18"/>
    <mergeCell ref="F17:F18"/>
    <mergeCell ref="G17:G18"/>
    <mergeCell ref="H17:H18"/>
    <mergeCell ref="I17:I18"/>
    <mergeCell ref="D15:D16"/>
    <mergeCell ref="E15:E16"/>
    <mergeCell ref="F15:F16"/>
    <mergeCell ref="G15:G16"/>
    <mergeCell ref="H15:H16"/>
    <mergeCell ref="I15:I16"/>
    <mergeCell ref="D21:D22"/>
    <mergeCell ref="E21:E22"/>
    <mergeCell ref="F21:F22"/>
    <mergeCell ref="G21:G22"/>
    <mergeCell ref="H21:H22"/>
    <mergeCell ref="I21:I22"/>
    <mergeCell ref="D19:D20"/>
    <mergeCell ref="E19:E20"/>
    <mergeCell ref="F19:F20"/>
    <mergeCell ref="G19:G20"/>
    <mergeCell ref="H19:H20"/>
    <mergeCell ref="I19:I20"/>
    <mergeCell ref="D25:D26"/>
    <mergeCell ref="E25:E26"/>
    <mergeCell ref="F25:F26"/>
    <mergeCell ref="G25:G26"/>
    <mergeCell ref="H25:H26"/>
    <mergeCell ref="I25:I26"/>
    <mergeCell ref="D23:D24"/>
    <mergeCell ref="E23:E24"/>
    <mergeCell ref="F23:F24"/>
    <mergeCell ref="G23:G24"/>
    <mergeCell ref="H23:H24"/>
    <mergeCell ref="I23:I24"/>
    <mergeCell ref="D29:D30"/>
    <mergeCell ref="E29:E30"/>
    <mergeCell ref="F29:F30"/>
    <mergeCell ref="G29:G30"/>
    <mergeCell ref="H29:H30"/>
    <mergeCell ref="I29:I30"/>
    <mergeCell ref="D27:D28"/>
    <mergeCell ref="E27:E28"/>
    <mergeCell ref="F27:F28"/>
    <mergeCell ref="G27:G28"/>
    <mergeCell ref="H27:H28"/>
    <mergeCell ref="I27:I28"/>
    <mergeCell ref="D33:D34"/>
    <mergeCell ref="E33:E34"/>
    <mergeCell ref="F33:F34"/>
    <mergeCell ref="G33:G34"/>
    <mergeCell ref="H33:H34"/>
    <mergeCell ref="I33:I34"/>
    <mergeCell ref="D31:D32"/>
    <mergeCell ref="E31:E32"/>
    <mergeCell ref="F31:F32"/>
    <mergeCell ref="G31:G32"/>
    <mergeCell ref="H31:H32"/>
    <mergeCell ref="I31:I32"/>
    <mergeCell ref="D40:D41"/>
    <mergeCell ref="E40:E41"/>
    <mergeCell ref="F40:F41"/>
    <mergeCell ref="G40:G41"/>
    <mergeCell ref="H40:H41"/>
    <mergeCell ref="I40:I41"/>
    <mergeCell ref="D35:D36"/>
    <mergeCell ref="E35:E36"/>
    <mergeCell ref="F35:F36"/>
    <mergeCell ref="G35:G36"/>
    <mergeCell ref="H35:H36"/>
    <mergeCell ref="I35:I36"/>
    <mergeCell ref="D44:D45"/>
    <mergeCell ref="E44:E45"/>
    <mergeCell ref="F44:F45"/>
    <mergeCell ref="G44:G45"/>
    <mergeCell ref="H44:H45"/>
    <mergeCell ref="I44:I45"/>
    <mergeCell ref="D42:D43"/>
    <mergeCell ref="E42:E43"/>
    <mergeCell ref="F42:F43"/>
    <mergeCell ref="G42:G43"/>
    <mergeCell ref="H42:H43"/>
    <mergeCell ref="I42:I43"/>
    <mergeCell ref="D48:D49"/>
    <mergeCell ref="E48:E49"/>
    <mergeCell ref="F48:F49"/>
    <mergeCell ref="G48:G49"/>
    <mergeCell ref="H48:H49"/>
    <mergeCell ref="I48:I49"/>
    <mergeCell ref="D46:D47"/>
    <mergeCell ref="E46:E47"/>
    <mergeCell ref="F46:F47"/>
    <mergeCell ref="G46:G47"/>
    <mergeCell ref="H46:H47"/>
    <mergeCell ref="I46:I47"/>
    <mergeCell ref="D52:D53"/>
    <mergeCell ref="E52:E53"/>
    <mergeCell ref="F52:F53"/>
    <mergeCell ref="G52:G53"/>
    <mergeCell ref="H52:H53"/>
    <mergeCell ref="I52:I53"/>
    <mergeCell ref="D50:D51"/>
    <mergeCell ref="E50:E51"/>
    <mergeCell ref="F50:F51"/>
    <mergeCell ref="G50:G51"/>
    <mergeCell ref="H50:H51"/>
    <mergeCell ref="I50:I51"/>
    <mergeCell ref="D56:D57"/>
    <mergeCell ref="E56:E57"/>
    <mergeCell ref="F56:F57"/>
    <mergeCell ref="G56:G57"/>
    <mergeCell ref="H56:H57"/>
    <mergeCell ref="I56:I57"/>
    <mergeCell ref="D54:D55"/>
    <mergeCell ref="E54:E55"/>
    <mergeCell ref="F54:F55"/>
    <mergeCell ref="G54:G55"/>
    <mergeCell ref="H54:H55"/>
    <mergeCell ref="I54:I55"/>
    <mergeCell ref="D60:D61"/>
    <mergeCell ref="E60:E61"/>
    <mergeCell ref="F60:F61"/>
    <mergeCell ref="G60:G61"/>
    <mergeCell ref="H60:H61"/>
    <mergeCell ref="I60:I61"/>
    <mergeCell ref="D58:D59"/>
    <mergeCell ref="E58:E59"/>
    <mergeCell ref="F58:F59"/>
    <mergeCell ref="G58:G59"/>
    <mergeCell ref="H58:H59"/>
    <mergeCell ref="I58:I59"/>
    <mergeCell ref="D64:D65"/>
    <mergeCell ref="E64:E65"/>
    <mergeCell ref="F64:F65"/>
    <mergeCell ref="G64:G65"/>
    <mergeCell ref="H64:H65"/>
    <mergeCell ref="I64:I65"/>
    <mergeCell ref="D62:D63"/>
    <mergeCell ref="E62:E63"/>
    <mergeCell ref="F62:F63"/>
    <mergeCell ref="G62:G63"/>
    <mergeCell ref="H62:H63"/>
    <mergeCell ref="I62:I63"/>
    <mergeCell ref="D68:D69"/>
    <mergeCell ref="E68:E69"/>
    <mergeCell ref="F68:F69"/>
    <mergeCell ref="G68:G69"/>
    <mergeCell ref="H68:H69"/>
    <mergeCell ref="I68:I69"/>
    <mergeCell ref="D66:D67"/>
    <mergeCell ref="E66:E67"/>
    <mergeCell ref="F66:F67"/>
    <mergeCell ref="G66:G67"/>
    <mergeCell ref="H66:H67"/>
    <mergeCell ref="I66:I67"/>
    <mergeCell ref="D72:D73"/>
    <mergeCell ref="E72:E73"/>
    <mergeCell ref="F72:F73"/>
    <mergeCell ref="G72:G73"/>
    <mergeCell ref="H72:H73"/>
    <mergeCell ref="I72:I73"/>
    <mergeCell ref="D70:D71"/>
    <mergeCell ref="E70:E71"/>
    <mergeCell ref="F70:F71"/>
    <mergeCell ref="G70:G71"/>
    <mergeCell ref="H70:H71"/>
    <mergeCell ref="I70:I71"/>
    <mergeCell ref="D79:D80"/>
    <mergeCell ref="E79:E80"/>
    <mergeCell ref="F79:F80"/>
    <mergeCell ref="G79:G80"/>
    <mergeCell ref="H79:H80"/>
    <mergeCell ref="I79:I80"/>
    <mergeCell ref="D74:D75"/>
    <mergeCell ref="E74:E75"/>
    <mergeCell ref="F74:F75"/>
    <mergeCell ref="G74:G75"/>
    <mergeCell ref="H74:H75"/>
    <mergeCell ref="I74:I75"/>
    <mergeCell ref="D83:D84"/>
    <mergeCell ref="E83:E84"/>
    <mergeCell ref="F83:F84"/>
    <mergeCell ref="G83:G84"/>
    <mergeCell ref="H83:H84"/>
    <mergeCell ref="I83:I84"/>
    <mergeCell ref="D81:D82"/>
    <mergeCell ref="E81:E82"/>
    <mergeCell ref="F81:F82"/>
    <mergeCell ref="G81:G82"/>
    <mergeCell ref="H81:H82"/>
    <mergeCell ref="I81:I82"/>
    <mergeCell ref="D87:D88"/>
    <mergeCell ref="E87:E88"/>
    <mergeCell ref="F87:F88"/>
    <mergeCell ref="G87:G88"/>
    <mergeCell ref="H87:H88"/>
    <mergeCell ref="I87:I88"/>
    <mergeCell ref="D85:D86"/>
    <mergeCell ref="E85:E86"/>
    <mergeCell ref="F85:F86"/>
    <mergeCell ref="G85:G86"/>
    <mergeCell ref="H85:H86"/>
    <mergeCell ref="I85:I86"/>
    <mergeCell ref="D91:D92"/>
    <mergeCell ref="E91:E92"/>
    <mergeCell ref="F91:F92"/>
    <mergeCell ref="G91:G92"/>
    <mergeCell ref="H91:H92"/>
    <mergeCell ref="I91:I92"/>
    <mergeCell ref="D89:D90"/>
    <mergeCell ref="E89:E90"/>
    <mergeCell ref="F89:F90"/>
    <mergeCell ref="G89:G90"/>
    <mergeCell ref="H89:H90"/>
    <mergeCell ref="I89:I90"/>
    <mergeCell ref="D95:D96"/>
    <mergeCell ref="E95:E96"/>
    <mergeCell ref="F95:F96"/>
    <mergeCell ref="G95:G96"/>
    <mergeCell ref="H95:H96"/>
    <mergeCell ref="I95:I96"/>
    <mergeCell ref="D93:D94"/>
    <mergeCell ref="E93:E94"/>
    <mergeCell ref="F93:F94"/>
    <mergeCell ref="G93:G94"/>
    <mergeCell ref="H93:H94"/>
    <mergeCell ref="I93:I94"/>
    <mergeCell ref="D99:D100"/>
    <mergeCell ref="E99:E100"/>
    <mergeCell ref="F99:F100"/>
    <mergeCell ref="G99:G100"/>
    <mergeCell ref="H99:H100"/>
    <mergeCell ref="I99:I100"/>
    <mergeCell ref="D97:D98"/>
    <mergeCell ref="E97:E98"/>
    <mergeCell ref="F97:F98"/>
    <mergeCell ref="G97:G98"/>
    <mergeCell ref="H97:H98"/>
    <mergeCell ref="I97:I98"/>
    <mergeCell ref="D103:D104"/>
    <mergeCell ref="E103:E104"/>
    <mergeCell ref="F103:F104"/>
    <mergeCell ref="G103:G104"/>
    <mergeCell ref="H103:H104"/>
    <mergeCell ref="I103:I104"/>
    <mergeCell ref="D101:D102"/>
    <mergeCell ref="E101:E102"/>
    <mergeCell ref="F101:F102"/>
    <mergeCell ref="G101:G102"/>
    <mergeCell ref="H101:H102"/>
    <mergeCell ref="I101:I102"/>
    <mergeCell ref="D107:D108"/>
    <mergeCell ref="E107:E108"/>
    <mergeCell ref="F107:F108"/>
    <mergeCell ref="G107:G108"/>
    <mergeCell ref="H107:H108"/>
    <mergeCell ref="I107:I108"/>
    <mergeCell ref="D105:D106"/>
    <mergeCell ref="E105:E106"/>
    <mergeCell ref="F105:F106"/>
    <mergeCell ref="G105:G106"/>
    <mergeCell ref="H105:H106"/>
    <mergeCell ref="I105:I106"/>
    <mergeCell ref="D111:D112"/>
    <mergeCell ref="E111:E112"/>
    <mergeCell ref="F111:F112"/>
    <mergeCell ref="G111:G112"/>
    <mergeCell ref="H111:H112"/>
    <mergeCell ref="I111:I112"/>
    <mergeCell ref="D109:D110"/>
    <mergeCell ref="E109:E110"/>
    <mergeCell ref="F109:F110"/>
    <mergeCell ref="G109:G110"/>
    <mergeCell ref="H109:H110"/>
    <mergeCell ref="I109:I110"/>
    <mergeCell ref="D115:D116"/>
    <mergeCell ref="E115:E116"/>
    <mergeCell ref="F115:F116"/>
    <mergeCell ref="G115:G116"/>
    <mergeCell ref="H115:H116"/>
    <mergeCell ref="I115:I116"/>
    <mergeCell ref="D113:D114"/>
    <mergeCell ref="E113:E114"/>
    <mergeCell ref="F113:F114"/>
    <mergeCell ref="G113:G114"/>
    <mergeCell ref="H113:H114"/>
    <mergeCell ref="I113:I114"/>
    <mergeCell ref="D119:D120"/>
    <mergeCell ref="E119:E120"/>
    <mergeCell ref="F119:F120"/>
    <mergeCell ref="G119:G120"/>
    <mergeCell ref="H119:H120"/>
    <mergeCell ref="I119:I120"/>
    <mergeCell ref="D117:D118"/>
    <mergeCell ref="E117:E118"/>
    <mergeCell ref="F117:F118"/>
    <mergeCell ref="G117:G118"/>
    <mergeCell ref="H117:H118"/>
    <mergeCell ref="I117:I118"/>
    <mergeCell ref="D123:D124"/>
    <mergeCell ref="E123:E124"/>
    <mergeCell ref="F123:F124"/>
    <mergeCell ref="G123:G124"/>
    <mergeCell ref="H123:H124"/>
    <mergeCell ref="I123:I124"/>
    <mergeCell ref="D121:D122"/>
    <mergeCell ref="E121:E122"/>
    <mergeCell ref="F121:F122"/>
    <mergeCell ref="G121:G122"/>
    <mergeCell ref="H121:H122"/>
    <mergeCell ref="I121:I122"/>
    <mergeCell ref="D127:D128"/>
    <mergeCell ref="E127:E128"/>
    <mergeCell ref="F127:F128"/>
    <mergeCell ref="G127:G128"/>
    <mergeCell ref="H127:H128"/>
    <mergeCell ref="I127:I128"/>
    <mergeCell ref="D125:D126"/>
    <mergeCell ref="E125:E126"/>
    <mergeCell ref="F125:F126"/>
    <mergeCell ref="G125:G126"/>
    <mergeCell ref="H125:H126"/>
    <mergeCell ref="I125:I126"/>
    <mergeCell ref="D131:D132"/>
    <mergeCell ref="E131:E132"/>
    <mergeCell ref="F131:F132"/>
    <mergeCell ref="G131:G132"/>
    <mergeCell ref="H131:H132"/>
    <mergeCell ref="I131:I132"/>
    <mergeCell ref="D129:D130"/>
    <mergeCell ref="E129:E130"/>
    <mergeCell ref="F129:F130"/>
    <mergeCell ref="G129:G130"/>
    <mergeCell ref="H129:H130"/>
    <mergeCell ref="I129:I130"/>
    <mergeCell ref="D135:D136"/>
    <mergeCell ref="E135:E136"/>
    <mergeCell ref="F135:F136"/>
    <mergeCell ref="G135:G136"/>
    <mergeCell ref="H135:H136"/>
    <mergeCell ref="I135:I136"/>
    <mergeCell ref="D133:D134"/>
    <mergeCell ref="E133:E134"/>
    <mergeCell ref="F133:F134"/>
    <mergeCell ref="G133:G134"/>
    <mergeCell ref="H133:H134"/>
    <mergeCell ref="I133:I134"/>
    <mergeCell ref="D139:D140"/>
    <mergeCell ref="E139:E140"/>
    <mergeCell ref="F139:F140"/>
    <mergeCell ref="G139:G140"/>
    <mergeCell ref="H139:H140"/>
    <mergeCell ref="I139:I140"/>
    <mergeCell ref="D137:D138"/>
    <mergeCell ref="E137:E138"/>
    <mergeCell ref="F137:F138"/>
    <mergeCell ref="G137:G138"/>
    <mergeCell ref="H137:H138"/>
    <mergeCell ref="I137:I138"/>
    <mergeCell ref="D143:D144"/>
    <mergeCell ref="E143:E144"/>
    <mergeCell ref="F143:F144"/>
    <mergeCell ref="G143:G144"/>
    <mergeCell ref="H143:H144"/>
    <mergeCell ref="I143:I144"/>
    <mergeCell ref="D141:D142"/>
    <mergeCell ref="E141:E142"/>
    <mergeCell ref="F141:F142"/>
    <mergeCell ref="G141:G142"/>
    <mergeCell ref="H141:H142"/>
    <mergeCell ref="I141:I142"/>
    <mergeCell ref="D147:D148"/>
    <mergeCell ref="E147:E148"/>
    <mergeCell ref="F147:F148"/>
    <mergeCell ref="G147:G148"/>
    <mergeCell ref="H147:H148"/>
    <mergeCell ref="I147:I148"/>
    <mergeCell ref="D145:D146"/>
    <mergeCell ref="E145:E146"/>
    <mergeCell ref="F145:F146"/>
    <mergeCell ref="G145:G146"/>
    <mergeCell ref="H145:H146"/>
    <mergeCell ref="I145:I146"/>
    <mergeCell ref="D151:D152"/>
    <mergeCell ref="E151:E152"/>
    <mergeCell ref="F151:F152"/>
    <mergeCell ref="G151:G152"/>
    <mergeCell ref="H151:H152"/>
    <mergeCell ref="I151:I152"/>
    <mergeCell ref="D149:D150"/>
    <mergeCell ref="E149:E150"/>
    <mergeCell ref="F149:F150"/>
    <mergeCell ref="G149:G150"/>
    <mergeCell ref="H149:H150"/>
    <mergeCell ref="I149:I150"/>
    <mergeCell ref="D158:D159"/>
    <mergeCell ref="E158:E159"/>
    <mergeCell ref="F158:F159"/>
    <mergeCell ref="G158:G159"/>
    <mergeCell ref="H158:H159"/>
    <mergeCell ref="I158:I159"/>
    <mergeCell ref="D156:D157"/>
    <mergeCell ref="E156:E157"/>
    <mergeCell ref="F156:F157"/>
    <mergeCell ref="G156:G157"/>
    <mergeCell ref="H156:H157"/>
    <mergeCell ref="I156:I157"/>
    <mergeCell ref="D162:D163"/>
    <mergeCell ref="E162:E163"/>
    <mergeCell ref="F162:F163"/>
    <mergeCell ref="G162:G163"/>
    <mergeCell ref="H162:H163"/>
    <mergeCell ref="I162:I163"/>
    <mergeCell ref="D160:D161"/>
    <mergeCell ref="E160:E161"/>
    <mergeCell ref="F160:F161"/>
    <mergeCell ref="G160:G161"/>
    <mergeCell ref="H160:H161"/>
    <mergeCell ref="I160:I161"/>
    <mergeCell ref="D166:D167"/>
    <mergeCell ref="E166:E167"/>
    <mergeCell ref="F166:F167"/>
    <mergeCell ref="G166:G167"/>
    <mergeCell ref="H166:H167"/>
    <mergeCell ref="I166:I167"/>
    <mergeCell ref="D164:D165"/>
    <mergeCell ref="E164:E165"/>
    <mergeCell ref="F164:F165"/>
    <mergeCell ref="G164:G165"/>
    <mergeCell ref="H164:H165"/>
    <mergeCell ref="I164:I165"/>
    <mergeCell ref="D170:D171"/>
    <mergeCell ref="E170:E171"/>
    <mergeCell ref="F170:F171"/>
    <mergeCell ref="G170:G171"/>
    <mergeCell ref="H170:H171"/>
    <mergeCell ref="I170:I171"/>
    <mergeCell ref="D168:D169"/>
    <mergeCell ref="E168:E169"/>
    <mergeCell ref="F168:F169"/>
    <mergeCell ref="G168:G169"/>
    <mergeCell ref="H168:H169"/>
    <mergeCell ref="I168:I169"/>
    <mergeCell ref="D174:D175"/>
    <mergeCell ref="E174:E175"/>
    <mergeCell ref="F174:F175"/>
    <mergeCell ref="G174:G175"/>
    <mergeCell ref="H174:H175"/>
    <mergeCell ref="I174:I175"/>
    <mergeCell ref="D172:D173"/>
    <mergeCell ref="E172:E173"/>
    <mergeCell ref="F172:F173"/>
    <mergeCell ref="G172:G173"/>
    <mergeCell ref="H172:H173"/>
    <mergeCell ref="I172:I173"/>
    <mergeCell ref="D178:D179"/>
    <mergeCell ref="E178:E179"/>
    <mergeCell ref="F178:F179"/>
    <mergeCell ref="G178:G179"/>
    <mergeCell ref="H178:H179"/>
    <mergeCell ref="I178:I179"/>
    <mergeCell ref="D176:D177"/>
    <mergeCell ref="E176:E177"/>
    <mergeCell ref="F176:F177"/>
    <mergeCell ref="G176:G177"/>
    <mergeCell ref="H176:H177"/>
    <mergeCell ref="I176:I177"/>
    <mergeCell ref="D182:D183"/>
    <mergeCell ref="E182:E183"/>
    <mergeCell ref="F182:F183"/>
    <mergeCell ref="G182:G183"/>
    <mergeCell ref="H182:H183"/>
    <mergeCell ref="I182:I183"/>
    <mergeCell ref="D180:D181"/>
    <mergeCell ref="E180:E181"/>
    <mergeCell ref="F180:F181"/>
    <mergeCell ref="G180:G181"/>
    <mergeCell ref="H180:H181"/>
    <mergeCell ref="I180:I181"/>
    <mergeCell ref="D186:D187"/>
    <mergeCell ref="E186:E187"/>
    <mergeCell ref="F186:F187"/>
    <mergeCell ref="G186:G187"/>
    <mergeCell ref="H186:H187"/>
    <mergeCell ref="I186:I187"/>
    <mergeCell ref="D184:D185"/>
    <mergeCell ref="E184:E185"/>
    <mergeCell ref="F184:F185"/>
    <mergeCell ref="G184:G185"/>
    <mergeCell ref="H184:H185"/>
    <mergeCell ref="I184:I185"/>
    <mergeCell ref="D190:D191"/>
    <mergeCell ref="E190:E191"/>
    <mergeCell ref="F190:F191"/>
    <mergeCell ref="G190:G191"/>
    <mergeCell ref="H190:H191"/>
    <mergeCell ref="I190:I191"/>
    <mergeCell ref="D188:D189"/>
    <mergeCell ref="E188:E189"/>
    <mergeCell ref="F188:F189"/>
    <mergeCell ref="G188:G189"/>
    <mergeCell ref="H188:H189"/>
    <mergeCell ref="I188:I189"/>
    <mergeCell ref="C11:C12"/>
    <mergeCell ref="B13:B14"/>
    <mergeCell ref="C13:C14"/>
    <mergeCell ref="B15:B16"/>
    <mergeCell ref="C15:C16"/>
    <mergeCell ref="B17:B18"/>
    <mergeCell ref="C17:C18"/>
    <mergeCell ref="A3:A34"/>
    <mergeCell ref="B3:B4"/>
    <mergeCell ref="C3:C4"/>
    <mergeCell ref="B5:B6"/>
    <mergeCell ref="C5:C6"/>
    <mergeCell ref="B7:B8"/>
    <mergeCell ref="C7:C8"/>
    <mergeCell ref="B9:B10"/>
    <mergeCell ref="C9:C10"/>
    <mergeCell ref="B11:B12"/>
    <mergeCell ref="B25:B26"/>
    <mergeCell ref="C25:C26"/>
    <mergeCell ref="B27:B28"/>
    <mergeCell ref="C27:C28"/>
    <mergeCell ref="B29:B30"/>
    <mergeCell ref="C29:C30"/>
    <mergeCell ref="B19:B20"/>
    <mergeCell ref="C19:C20"/>
    <mergeCell ref="B21:B22"/>
    <mergeCell ref="C21:C22"/>
    <mergeCell ref="B23:B24"/>
    <mergeCell ref="C23:C24"/>
    <mergeCell ref="B31:B32"/>
    <mergeCell ref="C31:C32"/>
    <mergeCell ref="B33:B34"/>
    <mergeCell ref="C33:C34"/>
    <mergeCell ref="A40:A73"/>
    <mergeCell ref="B40:B41"/>
    <mergeCell ref="C40:C41"/>
    <mergeCell ref="B42:B43"/>
    <mergeCell ref="C42:C43"/>
    <mergeCell ref="B44:B45"/>
    <mergeCell ref="B52:B53"/>
    <mergeCell ref="C52:C53"/>
    <mergeCell ref="B54:B55"/>
    <mergeCell ref="C54:C55"/>
    <mergeCell ref="B56:B57"/>
    <mergeCell ref="C56:C57"/>
    <mergeCell ref="C44:C45"/>
    <mergeCell ref="B46:B47"/>
    <mergeCell ref="C46:C47"/>
    <mergeCell ref="B48:B49"/>
    <mergeCell ref="C48:C49"/>
    <mergeCell ref="B50:B51"/>
    <mergeCell ref="C50:C51"/>
    <mergeCell ref="B64:B65"/>
    <mergeCell ref="C64:C65"/>
    <mergeCell ref="B66:B67"/>
    <mergeCell ref="C66:C67"/>
    <mergeCell ref="B68:B69"/>
    <mergeCell ref="C68:C69"/>
    <mergeCell ref="B58:B59"/>
    <mergeCell ref="C58:C59"/>
    <mergeCell ref="B60:B61"/>
    <mergeCell ref="C60:C61"/>
    <mergeCell ref="B62:B63"/>
    <mergeCell ref="C62:C63"/>
    <mergeCell ref="B83:B84"/>
    <mergeCell ref="C83:C84"/>
    <mergeCell ref="B85:B86"/>
    <mergeCell ref="C85:C86"/>
    <mergeCell ref="B87:B88"/>
    <mergeCell ref="C87:C88"/>
    <mergeCell ref="B70:B71"/>
    <mergeCell ref="C70:C71"/>
    <mergeCell ref="B72:B73"/>
    <mergeCell ref="C72:C73"/>
    <mergeCell ref="A74:C75"/>
    <mergeCell ref="A79:A150"/>
    <mergeCell ref="B79:B80"/>
    <mergeCell ref="C79:C80"/>
    <mergeCell ref="B81:B82"/>
    <mergeCell ref="C81:C82"/>
    <mergeCell ref="B95:B96"/>
    <mergeCell ref="C95:C96"/>
    <mergeCell ref="B97:B98"/>
    <mergeCell ref="C97:C98"/>
    <mergeCell ref="B99:B100"/>
    <mergeCell ref="C99:C100"/>
    <mergeCell ref="B89:B90"/>
    <mergeCell ref="C89:C90"/>
    <mergeCell ref="B91:B92"/>
    <mergeCell ref="C91:C92"/>
    <mergeCell ref="B93:B94"/>
    <mergeCell ref="C93:C94"/>
    <mergeCell ref="B107:B108"/>
    <mergeCell ref="C107:C108"/>
    <mergeCell ref="B109:B110"/>
    <mergeCell ref="C109:C110"/>
    <mergeCell ref="B111:B112"/>
    <mergeCell ref="C111:C112"/>
    <mergeCell ref="B101:B102"/>
    <mergeCell ref="C101:C102"/>
    <mergeCell ref="B103:B104"/>
    <mergeCell ref="C103:C104"/>
    <mergeCell ref="B105:B106"/>
    <mergeCell ref="C105:C106"/>
    <mergeCell ref="B119:B120"/>
    <mergeCell ref="C119:C120"/>
    <mergeCell ref="B121:B122"/>
    <mergeCell ref="C121:C122"/>
    <mergeCell ref="B123:B124"/>
    <mergeCell ref="C123:C124"/>
    <mergeCell ref="B113:B114"/>
    <mergeCell ref="C113:C114"/>
    <mergeCell ref="B115:B116"/>
    <mergeCell ref="C115:C116"/>
    <mergeCell ref="B117:B118"/>
    <mergeCell ref="C117:C118"/>
    <mergeCell ref="B131:B132"/>
    <mergeCell ref="C131:C132"/>
    <mergeCell ref="B133:B134"/>
    <mergeCell ref="C133:C134"/>
    <mergeCell ref="B135:B136"/>
    <mergeCell ref="C135:C136"/>
    <mergeCell ref="B125:B126"/>
    <mergeCell ref="C125:C126"/>
    <mergeCell ref="B127:B128"/>
    <mergeCell ref="C127:C128"/>
    <mergeCell ref="B129:B130"/>
    <mergeCell ref="C129:C130"/>
    <mergeCell ref="B143:B144"/>
    <mergeCell ref="C143:C144"/>
    <mergeCell ref="B145:B146"/>
    <mergeCell ref="C145:C146"/>
    <mergeCell ref="B147:B148"/>
    <mergeCell ref="C147:C148"/>
    <mergeCell ref="B137:B138"/>
    <mergeCell ref="C137:C138"/>
    <mergeCell ref="B139:B140"/>
    <mergeCell ref="C139:C140"/>
    <mergeCell ref="B141:B142"/>
    <mergeCell ref="C141:C142"/>
    <mergeCell ref="B149:B150"/>
    <mergeCell ref="C149:C150"/>
    <mergeCell ref="A156:A189"/>
    <mergeCell ref="B156:B157"/>
    <mergeCell ref="C156:C157"/>
    <mergeCell ref="B158:B159"/>
    <mergeCell ref="C158:C159"/>
    <mergeCell ref="B160:B161"/>
    <mergeCell ref="C160:C161"/>
    <mergeCell ref="B162:B163"/>
    <mergeCell ref="B170:B171"/>
    <mergeCell ref="C170:C171"/>
    <mergeCell ref="B172:B173"/>
    <mergeCell ref="C172:C173"/>
    <mergeCell ref="B174:B175"/>
    <mergeCell ref="C174:C175"/>
    <mergeCell ref="C162:C163"/>
    <mergeCell ref="B164:B165"/>
    <mergeCell ref="C164:C165"/>
    <mergeCell ref="B166:B167"/>
    <mergeCell ref="C166:C167"/>
    <mergeCell ref="B168:B169"/>
    <mergeCell ref="C168:C169"/>
    <mergeCell ref="B188:B189"/>
    <mergeCell ref="C188:C189"/>
    <mergeCell ref="B182:B183"/>
    <mergeCell ref="C182:C183"/>
    <mergeCell ref="B184:B185"/>
    <mergeCell ref="C184:C185"/>
    <mergeCell ref="B186:B187"/>
    <mergeCell ref="C186:C187"/>
    <mergeCell ref="B176:B177"/>
    <mergeCell ref="C176:C177"/>
    <mergeCell ref="B178:B179"/>
    <mergeCell ref="C178:C179"/>
    <mergeCell ref="B180:B181"/>
    <mergeCell ref="C180:C18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filterMode="1" enableFormatConditionsCalculation="0"/>
  <dimension ref="A1:R173"/>
  <sheetViews>
    <sheetView zoomScale="63" zoomScaleNormal="63" zoomScalePageLayoutView="63" workbookViewId="0">
      <selection activeCell="K182" sqref="K182"/>
    </sheetView>
  </sheetViews>
  <sheetFormatPr baseColWidth="10" defaultColWidth="11.44140625" defaultRowHeight="10.199999999999999"/>
  <cols>
    <col min="1" max="1" width="13.33203125" style="250" customWidth="1"/>
    <col min="2" max="2" width="23.6640625" style="250" customWidth="1"/>
    <col min="3" max="11" width="11.44140625" style="250"/>
    <col min="12" max="12" width="10.6640625" style="250" customWidth="1"/>
    <col min="13" max="16384" width="11.44140625" style="250"/>
  </cols>
  <sheetData>
    <row r="1" spans="1:18" ht="21" thickBot="1">
      <c r="A1" s="257" t="s">
        <v>240</v>
      </c>
      <c r="B1" s="258" t="s">
        <v>241</v>
      </c>
      <c r="C1" s="247" t="s">
        <v>242</v>
      </c>
      <c r="D1" s="254" t="s">
        <v>243</v>
      </c>
      <c r="E1" s="251" t="s">
        <v>244</v>
      </c>
      <c r="F1" s="251" t="s">
        <v>236</v>
      </c>
      <c r="G1" s="259" t="s">
        <v>4</v>
      </c>
      <c r="H1" s="251" t="s">
        <v>5</v>
      </c>
      <c r="I1" s="251" t="s">
        <v>237</v>
      </c>
      <c r="J1" s="251" t="s">
        <v>45</v>
      </c>
      <c r="K1" s="260" t="s">
        <v>46</v>
      </c>
      <c r="L1" s="261" t="s">
        <v>76</v>
      </c>
      <c r="M1" s="248" t="s">
        <v>245</v>
      </c>
      <c r="N1" s="249" t="s">
        <v>4</v>
      </c>
      <c r="O1" s="249" t="s">
        <v>5</v>
      </c>
      <c r="P1" s="249" t="s">
        <v>6</v>
      </c>
      <c r="Q1" s="249" t="s">
        <v>7</v>
      </c>
      <c r="R1" s="252" t="s">
        <v>246</v>
      </c>
    </row>
    <row r="2" spans="1:18" hidden="1">
      <c r="A2" s="1347" t="s">
        <v>247</v>
      </c>
      <c r="B2" s="1321" t="s">
        <v>388</v>
      </c>
      <c r="C2" s="1195" t="s">
        <v>248</v>
      </c>
      <c r="D2" s="1199">
        <v>1.08112364E-2</v>
      </c>
      <c r="E2" s="262" t="s">
        <v>35</v>
      </c>
      <c r="F2" s="263">
        <v>25.903722414400001</v>
      </c>
      <c r="G2" s="264"/>
      <c r="H2" s="265">
        <v>25.903722414400001</v>
      </c>
      <c r="I2" s="266">
        <v>4.2759999999999998</v>
      </c>
      <c r="J2" s="265">
        <v>21.627722414400001</v>
      </c>
      <c r="K2" s="267">
        <v>0.16507280041045186</v>
      </c>
      <c r="L2" s="268" t="s">
        <v>30</v>
      </c>
      <c r="M2" s="1345">
        <v>40.8016061736</v>
      </c>
      <c r="N2" s="1194">
        <v>0</v>
      </c>
      <c r="O2" s="1194">
        <v>40.8016061736</v>
      </c>
      <c r="P2" s="1194">
        <v>4.2759999999999998</v>
      </c>
      <c r="Q2" s="1194">
        <v>36.525606173599996</v>
      </c>
      <c r="R2" s="1192">
        <v>0.10479979591506165</v>
      </c>
    </row>
    <row r="3" spans="1:18" hidden="1">
      <c r="A3" s="1348"/>
      <c r="B3" s="1350"/>
      <c r="C3" s="1195"/>
      <c r="D3" s="1199">
        <v>1.08112364E-2</v>
      </c>
      <c r="E3" s="269" t="s">
        <v>96</v>
      </c>
      <c r="F3" s="270">
        <v>14.897883759200001</v>
      </c>
      <c r="G3" s="271"/>
      <c r="H3" s="272">
        <v>36.525606173600004</v>
      </c>
      <c r="I3" s="273"/>
      <c r="J3" s="272">
        <v>36.525606173600004</v>
      </c>
      <c r="K3" s="274">
        <v>0</v>
      </c>
      <c r="L3" s="268" t="s">
        <v>30</v>
      </c>
      <c r="M3" s="1345"/>
      <c r="N3" s="1194"/>
      <c r="O3" s="1194"/>
      <c r="P3" s="1194"/>
      <c r="Q3" s="1194"/>
      <c r="R3" s="1192"/>
    </row>
    <row r="4" spans="1:18" hidden="1">
      <c r="A4" s="1348"/>
      <c r="B4" s="1321" t="s">
        <v>249</v>
      </c>
      <c r="C4" s="1195">
        <v>4452</v>
      </c>
      <c r="D4" s="1199">
        <v>1.2413368000000001E-3</v>
      </c>
      <c r="E4" s="269" t="s">
        <v>35</v>
      </c>
      <c r="F4" s="270">
        <v>2.9742429727999999</v>
      </c>
      <c r="G4" s="271"/>
      <c r="H4" s="272">
        <v>2.9742429727999999</v>
      </c>
      <c r="I4" s="275"/>
      <c r="J4" s="272">
        <v>2.9742429727999999</v>
      </c>
      <c r="K4" s="274">
        <v>0</v>
      </c>
      <c r="L4" s="268" t="s">
        <v>30</v>
      </c>
      <c r="M4" s="1345">
        <v>4.6848050832000006</v>
      </c>
      <c r="N4" s="1194">
        <v>0</v>
      </c>
      <c r="O4" s="1194">
        <v>4.6848050832000006</v>
      </c>
      <c r="P4" s="1194">
        <v>0</v>
      </c>
      <c r="Q4" s="1194">
        <v>4.6848050832000006</v>
      </c>
      <c r="R4" s="1192">
        <v>0</v>
      </c>
    </row>
    <row r="5" spans="1:18" hidden="1">
      <c r="A5" s="1348"/>
      <c r="B5" s="1321"/>
      <c r="C5" s="1195"/>
      <c r="D5" s="1199">
        <v>1.2413368000000001E-3</v>
      </c>
      <c r="E5" s="276" t="s">
        <v>96</v>
      </c>
      <c r="F5" s="277">
        <v>1.7105621104000002</v>
      </c>
      <c r="G5" s="278"/>
      <c r="H5" s="279">
        <v>4.6848050832000006</v>
      </c>
      <c r="I5" s="273"/>
      <c r="J5" s="280">
        <v>4.6848050832000006</v>
      </c>
      <c r="K5" s="281">
        <v>0</v>
      </c>
      <c r="L5" s="268" t="s">
        <v>30</v>
      </c>
      <c r="M5" s="1346"/>
      <c r="N5" s="1203"/>
      <c r="O5" s="1194"/>
      <c r="P5" s="1203"/>
      <c r="Q5" s="1203"/>
      <c r="R5" s="1193"/>
    </row>
    <row r="6" spans="1:18" hidden="1">
      <c r="A6" s="1348"/>
      <c r="B6" s="1321" t="s">
        <v>250</v>
      </c>
      <c r="C6" s="1195">
        <v>4309</v>
      </c>
      <c r="D6" s="1199">
        <v>1.5542385299999999E-2</v>
      </c>
      <c r="E6" s="269" t="s">
        <v>35</v>
      </c>
      <c r="F6" s="270">
        <v>37.239555178799996</v>
      </c>
      <c r="G6" s="271"/>
      <c r="H6" s="272">
        <v>37.239555178799996</v>
      </c>
      <c r="I6" s="275">
        <v>4.2229999999999999</v>
      </c>
      <c r="J6" s="272">
        <v>33.016555178799997</v>
      </c>
      <c r="K6" s="282">
        <v>0.11340092489622701</v>
      </c>
      <c r="L6" s="268" t="s">
        <v>30</v>
      </c>
      <c r="M6" s="1318">
        <v>58.656962122199999</v>
      </c>
      <c r="N6" s="1203">
        <v>0</v>
      </c>
      <c r="O6" s="1203">
        <v>58.656962122199999</v>
      </c>
      <c r="P6" s="1203">
        <v>4.2229999999999999</v>
      </c>
      <c r="Q6" s="1203">
        <v>54.433962122200001</v>
      </c>
      <c r="R6" s="1193">
        <v>7.1994863818590327E-2</v>
      </c>
    </row>
    <row r="7" spans="1:18" hidden="1">
      <c r="A7" s="1348"/>
      <c r="B7" s="1321"/>
      <c r="C7" s="1195"/>
      <c r="D7" s="1199"/>
      <c r="E7" s="269" t="s">
        <v>96</v>
      </c>
      <c r="F7" s="270">
        <v>21.4174069434</v>
      </c>
      <c r="G7" s="271"/>
      <c r="H7" s="272">
        <v>54.433962122200001</v>
      </c>
      <c r="I7" s="273"/>
      <c r="J7" s="272">
        <v>54.433962122200001</v>
      </c>
      <c r="K7" s="274">
        <v>0</v>
      </c>
      <c r="L7" s="268" t="s">
        <v>30</v>
      </c>
      <c r="M7" s="1320"/>
      <c r="N7" s="1225"/>
      <c r="O7" s="1225"/>
      <c r="P7" s="1225"/>
      <c r="Q7" s="1225"/>
      <c r="R7" s="1211"/>
    </row>
    <row r="8" spans="1:18" hidden="1">
      <c r="A8" s="1348"/>
      <c r="B8" s="1321" t="s">
        <v>251</v>
      </c>
      <c r="C8" s="1195">
        <v>4370</v>
      </c>
      <c r="D8" s="1199">
        <v>1.45138269E-2</v>
      </c>
      <c r="E8" s="269" t="s">
        <v>35</v>
      </c>
      <c r="F8" s="270">
        <v>34.775129252399999</v>
      </c>
      <c r="G8" s="271"/>
      <c r="H8" s="272">
        <v>34.775129252399999</v>
      </c>
      <c r="I8" s="275">
        <v>2.7029999999999998</v>
      </c>
      <c r="J8" s="272">
        <v>32.072129252399996</v>
      </c>
      <c r="K8" s="274">
        <v>7.7727964154538767E-2</v>
      </c>
      <c r="L8" s="268" t="s">
        <v>30</v>
      </c>
      <c r="M8" s="1318">
        <v>54.7751827206</v>
      </c>
      <c r="N8" s="1203">
        <v>0</v>
      </c>
      <c r="O8" s="1203">
        <v>54.7751827206</v>
      </c>
      <c r="P8" s="1203">
        <v>2.7029999999999998</v>
      </c>
      <c r="Q8" s="1203">
        <v>52.072182720599997</v>
      </c>
      <c r="R8" s="1193">
        <v>4.9347165372091918E-2</v>
      </c>
    </row>
    <row r="9" spans="1:18" hidden="1">
      <c r="A9" s="1348"/>
      <c r="B9" s="1321"/>
      <c r="C9" s="1195"/>
      <c r="D9" s="1199"/>
      <c r="E9" s="269" t="s">
        <v>96</v>
      </c>
      <c r="F9" s="270">
        <v>20.000053468200001</v>
      </c>
      <c r="G9" s="271"/>
      <c r="H9" s="272">
        <v>52.072182720599997</v>
      </c>
      <c r="I9" s="273"/>
      <c r="J9" s="272">
        <v>52.072182720599997</v>
      </c>
      <c r="K9" s="274">
        <v>0</v>
      </c>
      <c r="L9" s="268" t="s">
        <v>30</v>
      </c>
      <c r="M9" s="1320"/>
      <c r="N9" s="1225"/>
      <c r="O9" s="1225"/>
      <c r="P9" s="1225"/>
      <c r="Q9" s="1225"/>
      <c r="R9" s="1211"/>
    </row>
    <row r="10" spans="1:18" hidden="1">
      <c r="A10" s="1348"/>
      <c r="B10" s="1321" t="s">
        <v>405</v>
      </c>
      <c r="C10" s="1195" t="s">
        <v>252</v>
      </c>
      <c r="D10" s="1199">
        <v>4.7467391800000001E-2</v>
      </c>
      <c r="E10" s="269" t="s">
        <v>35</v>
      </c>
      <c r="F10" s="270">
        <v>113.73187075280001</v>
      </c>
      <c r="G10" s="271"/>
      <c r="H10" s="272">
        <v>113.73187075280001</v>
      </c>
      <c r="I10" s="275">
        <v>8.3610000000000007</v>
      </c>
      <c r="J10" s="272">
        <v>105.3708707528</v>
      </c>
      <c r="K10" s="274">
        <v>7.351501337890512E-2</v>
      </c>
      <c r="L10" s="268" t="s">
        <v>30</v>
      </c>
      <c r="M10" s="1318">
        <v>179.14193665319999</v>
      </c>
      <c r="N10" s="1203">
        <v>0</v>
      </c>
      <c r="O10" s="1203">
        <v>179.14193665319999</v>
      </c>
      <c r="P10" s="1203">
        <v>8.3610000000000007</v>
      </c>
      <c r="Q10" s="1203">
        <v>170.7809366532</v>
      </c>
      <c r="R10" s="1193">
        <v>4.6672488621053707E-2</v>
      </c>
    </row>
    <row r="11" spans="1:18" hidden="1">
      <c r="A11" s="1348"/>
      <c r="B11" s="1321"/>
      <c r="C11" s="1195"/>
      <c r="D11" s="1199"/>
      <c r="E11" s="276" t="s">
        <v>96</v>
      </c>
      <c r="F11" s="277">
        <v>65.410065900399999</v>
      </c>
      <c r="G11" s="283"/>
      <c r="H11" s="280">
        <v>170.7809366532</v>
      </c>
      <c r="I11" s="284"/>
      <c r="J11" s="280">
        <v>170.7809366532</v>
      </c>
      <c r="K11" s="285">
        <v>0</v>
      </c>
      <c r="L11" s="268" t="s">
        <v>30</v>
      </c>
      <c r="M11" s="1320"/>
      <c r="N11" s="1225"/>
      <c r="O11" s="1225"/>
      <c r="P11" s="1225"/>
      <c r="Q11" s="1225"/>
      <c r="R11" s="1211"/>
    </row>
    <row r="12" spans="1:18" hidden="1">
      <c r="A12" s="1348"/>
      <c r="B12" s="1321" t="s">
        <v>255</v>
      </c>
      <c r="C12" s="1195" t="s">
        <v>256</v>
      </c>
      <c r="D12" s="1199">
        <v>5.2291431999999999E-2</v>
      </c>
      <c r="E12" s="286" t="s">
        <v>35</v>
      </c>
      <c r="F12" s="270">
        <v>125.290271072</v>
      </c>
      <c r="G12" s="271"/>
      <c r="H12" s="272">
        <v>125.290271072</v>
      </c>
      <c r="I12" s="275">
        <v>17.329999999999998</v>
      </c>
      <c r="J12" s="272">
        <v>107.960271072</v>
      </c>
      <c r="K12" s="274">
        <v>0.13831880042817565</v>
      </c>
      <c r="L12" s="268" t="s">
        <v>30</v>
      </c>
      <c r="M12" s="1318">
        <v>197.34786436799999</v>
      </c>
      <c r="N12" s="1203">
        <v>0</v>
      </c>
      <c r="O12" s="1203">
        <v>197.34786436799999</v>
      </c>
      <c r="P12" s="1203">
        <v>17.329999999999998</v>
      </c>
      <c r="Q12" s="1203">
        <v>180.01786436800001</v>
      </c>
      <c r="R12" s="1193">
        <v>8.7814479551115238E-2</v>
      </c>
    </row>
    <row r="13" spans="1:18" hidden="1">
      <c r="A13" s="1348"/>
      <c r="B13" s="1321"/>
      <c r="C13" s="1195"/>
      <c r="D13" s="1199"/>
      <c r="E13" s="287" t="s">
        <v>96</v>
      </c>
      <c r="F13" s="277">
        <v>72.057593295999993</v>
      </c>
      <c r="G13" s="283"/>
      <c r="H13" s="280">
        <v>180.01786436800001</v>
      </c>
      <c r="I13" s="284"/>
      <c r="J13" s="280">
        <v>180.01786436800001</v>
      </c>
      <c r="K13" s="285">
        <v>0</v>
      </c>
      <c r="L13" s="268" t="s">
        <v>30</v>
      </c>
      <c r="M13" s="1320"/>
      <c r="N13" s="1225"/>
      <c r="O13" s="1225"/>
      <c r="P13" s="1225"/>
      <c r="Q13" s="1225"/>
      <c r="R13" s="1211"/>
    </row>
    <row r="14" spans="1:18" hidden="1">
      <c r="A14" s="1348"/>
      <c r="B14" s="1322" t="s">
        <v>410</v>
      </c>
      <c r="C14" s="1322" t="s">
        <v>253</v>
      </c>
      <c r="D14" s="1351">
        <v>1.3424028500000001E-2</v>
      </c>
      <c r="E14" s="286" t="s">
        <v>35</v>
      </c>
      <c r="F14" s="270">
        <v>32.163972286000003</v>
      </c>
      <c r="G14" s="288">
        <v>-50.661999999999999</v>
      </c>
      <c r="H14" s="272">
        <v>-18.498027713999996</v>
      </c>
      <c r="I14" s="275"/>
      <c r="J14" s="272">
        <v>-18.498027713999996</v>
      </c>
      <c r="K14" s="274">
        <v>0</v>
      </c>
      <c r="L14" s="289">
        <v>43508</v>
      </c>
      <c r="M14" s="1352">
        <v>50.662283559000002</v>
      </c>
      <c r="N14" s="1331">
        <v>-50.661999999999999</v>
      </c>
      <c r="O14" s="1331">
        <v>2.8355900000320844E-4</v>
      </c>
      <c r="P14" s="1331">
        <v>0</v>
      </c>
      <c r="Q14" s="1331">
        <v>2.8355900000320844E-4</v>
      </c>
      <c r="R14" s="1333">
        <v>0</v>
      </c>
    </row>
    <row r="15" spans="1:18" hidden="1">
      <c r="A15" s="1348"/>
      <c r="B15" s="1322"/>
      <c r="C15" s="1322"/>
      <c r="D15" s="1351"/>
      <c r="E15" s="287" t="s">
        <v>96</v>
      </c>
      <c r="F15" s="277">
        <v>18.498311273000002</v>
      </c>
      <c r="G15" s="283"/>
      <c r="H15" s="280">
        <v>2.8355900000676115E-4</v>
      </c>
      <c r="I15" s="284"/>
      <c r="J15" s="280">
        <v>2.8355900000676115E-4</v>
      </c>
      <c r="K15" s="285">
        <v>0</v>
      </c>
      <c r="L15" s="289">
        <v>43508</v>
      </c>
      <c r="M15" s="1353"/>
      <c r="N15" s="1332"/>
      <c r="O15" s="1332"/>
      <c r="P15" s="1332"/>
      <c r="Q15" s="1332"/>
      <c r="R15" s="1334"/>
    </row>
    <row r="16" spans="1:18" hidden="1">
      <c r="A16" s="1348"/>
      <c r="B16" s="1335" t="s">
        <v>418</v>
      </c>
      <c r="C16" s="1335" t="s">
        <v>258</v>
      </c>
      <c r="D16" s="1336">
        <v>1.5918523699999999E-2</v>
      </c>
      <c r="E16" s="290" t="s">
        <v>35</v>
      </c>
      <c r="F16" s="291">
        <v>38.140782785199995</v>
      </c>
      <c r="G16" s="292">
        <v>-59.545000000000002</v>
      </c>
      <c r="H16" s="293">
        <v>-21.404217214800006</v>
      </c>
      <c r="I16" s="275">
        <v>1.556</v>
      </c>
      <c r="J16" s="293">
        <v>-22.960217214800007</v>
      </c>
      <c r="K16" s="294">
        <v>-7.2695954464716397E-2</v>
      </c>
      <c r="L16" s="295" t="s">
        <v>30</v>
      </c>
      <c r="M16" s="1337">
        <v>60.076508443799995</v>
      </c>
      <c r="N16" s="1339">
        <v>-59.545000000000002</v>
      </c>
      <c r="O16" s="1339">
        <v>0.53150844379999285</v>
      </c>
      <c r="P16" s="1339">
        <v>1.556</v>
      </c>
      <c r="Q16" s="1341">
        <v>-1.0244915562000072</v>
      </c>
      <c r="R16" s="1343">
        <v>2.9275169908411169</v>
      </c>
    </row>
    <row r="17" spans="1:18" hidden="1">
      <c r="A17" s="1348"/>
      <c r="B17" s="1335"/>
      <c r="C17" s="1335"/>
      <c r="D17" s="1336"/>
      <c r="E17" s="290" t="s">
        <v>96</v>
      </c>
      <c r="F17" s="291">
        <v>21.935725658599999</v>
      </c>
      <c r="G17" s="292"/>
      <c r="H17" s="293">
        <v>-1.0244915562000081</v>
      </c>
      <c r="I17" s="290"/>
      <c r="J17" s="293">
        <v>-1.0244915562000081</v>
      </c>
      <c r="K17" s="294">
        <v>0</v>
      </c>
      <c r="L17" s="295" t="s">
        <v>30</v>
      </c>
      <c r="M17" s="1338"/>
      <c r="N17" s="1340"/>
      <c r="O17" s="1340"/>
      <c r="P17" s="1340"/>
      <c r="Q17" s="1342"/>
      <c r="R17" s="1344"/>
    </row>
    <row r="18" spans="1:18" hidden="1">
      <c r="A18" s="1348"/>
      <c r="B18" s="1322" t="s">
        <v>419</v>
      </c>
      <c r="C18" s="1323" t="s">
        <v>259</v>
      </c>
      <c r="D18" s="1324">
        <v>1.6476685500000001E-2</v>
      </c>
      <c r="E18" s="296" t="s">
        <v>35</v>
      </c>
      <c r="F18" s="263">
        <v>39.478138458000004</v>
      </c>
      <c r="G18" s="297">
        <v>-62.183</v>
      </c>
      <c r="H18" s="298">
        <v>-22.704861541999996</v>
      </c>
      <c r="I18" s="266"/>
      <c r="J18" s="265">
        <v>-22.704861541999996</v>
      </c>
      <c r="K18" s="267">
        <v>0</v>
      </c>
      <c r="L18" s="289">
        <v>43508</v>
      </c>
      <c r="M18" s="1325">
        <v>62.183011077000003</v>
      </c>
      <c r="N18" s="1327">
        <v>-62.183</v>
      </c>
      <c r="O18" s="1327">
        <v>1.1077000003467674E-5</v>
      </c>
      <c r="P18" s="1327">
        <v>0</v>
      </c>
      <c r="Q18" s="1327">
        <v>1.1077000003467674E-5</v>
      </c>
      <c r="R18" s="1329">
        <v>0</v>
      </c>
    </row>
    <row r="19" spans="1:18" hidden="1">
      <c r="A19" s="1348"/>
      <c r="B19" s="1322"/>
      <c r="C19" s="1323"/>
      <c r="D19" s="1324"/>
      <c r="E19" s="286" t="s">
        <v>96</v>
      </c>
      <c r="F19" s="270">
        <v>22.704872619000003</v>
      </c>
      <c r="G19" s="271"/>
      <c r="H19" s="299">
        <v>1.1077000007020388E-5</v>
      </c>
      <c r="I19" s="273"/>
      <c r="J19" s="272">
        <v>1.1077000007020388E-5</v>
      </c>
      <c r="K19" s="274">
        <v>0</v>
      </c>
      <c r="L19" s="289">
        <v>43508</v>
      </c>
      <c r="M19" s="1326"/>
      <c r="N19" s="1328"/>
      <c r="O19" s="1328"/>
      <c r="P19" s="1328"/>
      <c r="Q19" s="1328"/>
      <c r="R19" s="1330"/>
    </row>
    <row r="20" spans="1:18" hidden="1">
      <c r="A20" s="1348"/>
      <c r="B20" s="1195" t="s">
        <v>404</v>
      </c>
      <c r="C20" s="1195" t="s">
        <v>262</v>
      </c>
      <c r="D20" s="1199">
        <v>5.951998E-3</v>
      </c>
      <c r="E20" s="269" t="s">
        <v>35</v>
      </c>
      <c r="F20" s="270">
        <v>14.260987208</v>
      </c>
      <c r="G20" s="271"/>
      <c r="H20" s="272">
        <v>14.260987208</v>
      </c>
      <c r="I20" s="275"/>
      <c r="J20" s="272">
        <v>14.260987208</v>
      </c>
      <c r="K20" s="274">
        <v>0</v>
      </c>
      <c r="L20" s="268" t="s">
        <v>30</v>
      </c>
      <c r="M20" s="1318">
        <v>22.462840452000002</v>
      </c>
      <c r="N20" s="1203">
        <v>0</v>
      </c>
      <c r="O20" s="1203">
        <v>22.462840452000002</v>
      </c>
      <c r="P20" s="1203">
        <v>0</v>
      </c>
      <c r="Q20" s="1203">
        <v>22.462840452000002</v>
      </c>
      <c r="R20" s="1193">
        <v>0</v>
      </c>
    </row>
    <row r="21" spans="1:18" hidden="1">
      <c r="A21" s="1348"/>
      <c r="B21" s="1195"/>
      <c r="C21" s="1195"/>
      <c r="D21" s="1199"/>
      <c r="E21" s="269" t="s">
        <v>96</v>
      </c>
      <c r="F21" s="270">
        <v>8.2018532440000005</v>
      </c>
      <c r="G21" s="271"/>
      <c r="H21" s="272">
        <v>22.462840452000002</v>
      </c>
      <c r="I21" s="273"/>
      <c r="J21" s="272">
        <v>22.462840452000002</v>
      </c>
      <c r="K21" s="274">
        <v>0</v>
      </c>
      <c r="L21" s="268" t="s">
        <v>30</v>
      </c>
      <c r="M21" s="1320"/>
      <c r="N21" s="1225"/>
      <c r="O21" s="1225"/>
      <c r="P21" s="1225"/>
      <c r="Q21" s="1225"/>
      <c r="R21" s="1211"/>
    </row>
    <row r="22" spans="1:18" hidden="1">
      <c r="A22" s="1348"/>
      <c r="B22" s="1321" t="s">
        <v>408</v>
      </c>
      <c r="C22" s="1195" t="s">
        <v>263</v>
      </c>
      <c r="D22" s="1199">
        <v>1.6682712000000001E-3</v>
      </c>
      <c r="E22" s="269" t="s">
        <v>35</v>
      </c>
      <c r="F22" s="270">
        <v>3.9971777952000003</v>
      </c>
      <c r="G22" s="271"/>
      <c r="H22" s="272">
        <v>3.9971777952000003</v>
      </c>
      <c r="I22" s="275"/>
      <c r="J22" s="272">
        <v>3.9971777952000003</v>
      </c>
      <c r="K22" s="274">
        <v>0</v>
      </c>
      <c r="L22" s="268" t="s">
        <v>30</v>
      </c>
      <c r="M22" s="1318">
        <v>6.2960555088000003</v>
      </c>
      <c r="N22" s="1203">
        <v>0</v>
      </c>
      <c r="O22" s="1203">
        <v>6.2960555088000003</v>
      </c>
      <c r="P22" s="1203">
        <v>0</v>
      </c>
      <c r="Q22" s="1203">
        <v>6.2960555088000003</v>
      </c>
      <c r="R22" s="1193">
        <v>0</v>
      </c>
    </row>
    <row r="23" spans="1:18" hidden="1">
      <c r="A23" s="1348"/>
      <c r="B23" s="1321"/>
      <c r="C23" s="1195"/>
      <c r="D23" s="1199"/>
      <c r="E23" s="269" t="s">
        <v>96</v>
      </c>
      <c r="F23" s="270">
        <v>2.2988777136</v>
      </c>
      <c r="G23" s="271"/>
      <c r="H23" s="272">
        <v>6.2960555088000003</v>
      </c>
      <c r="I23" s="273"/>
      <c r="J23" s="272">
        <v>6.2960555088000003</v>
      </c>
      <c r="K23" s="274">
        <v>0</v>
      </c>
      <c r="L23" s="268" t="s">
        <v>30</v>
      </c>
      <c r="M23" s="1320"/>
      <c r="N23" s="1225"/>
      <c r="O23" s="1225"/>
      <c r="P23" s="1225"/>
      <c r="Q23" s="1225"/>
      <c r="R23" s="1211"/>
    </row>
    <row r="24" spans="1:18" hidden="1">
      <c r="A24" s="1348"/>
      <c r="B24" s="1317" t="s">
        <v>407</v>
      </c>
      <c r="C24" s="1195" t="s">
        <v>261</v>
      </c>
      <c r="D24" s="1199">
        <v>3.5111410000000002E-3</v>
      </c>
      <c r="E24" s="269" t="s">
        <v>35</v>
      </c>
      <c r="F24" s="270">
        <v>8.4126938360000008</v>
      </c>
      <c r="G24" s="271"/>
      <c r="H24" s="272">
        <v>8.4126938360000008</v>
      </c>
      <c r="I24" s="275">
        <v>0.54900000000000004</v>
      </c>
      <c r="J24" s="272">
        <v>7.8636938360000004</v>
      </c>
      <c r="K24" s="274">
        <v>6.5258526068153466E-2</v>
      </c>
      <c r="L24" s="268" t="s">
        <v>30</v>
      </c>
      <c r="M24" s="1318">
        <v>13.251046134000001</v>
      </c>
      <c r="N24" s="1203">
        <v>0</v>
      </c>
      <c r="O24" s="1203">
        <v>13.251046134000001</v>
      </c>
      <c r="P24" s="1203">
        <v>0.54900000000000004</v>
      </c>
      <c r="Q24" s="1203">
        <v>12.702046134000001</v>
      </c>
      <c r="R24" s="1193">
        <v>4.1430691165685138E-2</v>
      </c>
    </row>
    <row r="25" spans="1:18" hidden="1">
      <c r="A25" s="1348"/>
      <c r="B25" s="1317"/>
      <c r="C25" s="1195"/>
      <c r="D25" s="1199"/>
      <c r="E25" s="269" t="s">
        <v>96</v>
      </c>
      <c r="F25" s="270">
        <v>4.8383522980000002</v>
      </c>
      <c r="G25" s="271"/>
      <c r="H25" s="272">
        <v>12.702046134</v>
      </c>
      <c r="I25" s="273"/>
      <c r="J25" s="272">
        <v>12.702046134</v>
      </c>
      <c r="K25" s="274">
        <v>0</v>
      </c>
      <c r="L25" s="268" t="s">
        <v>30</v>
      </c>
      <c r="M25" s="1320"/>
      <c r="N25" s="1225"/>
      <c r="O25" s="1225"/>
      <c r="P25" s="1225"/>
      <c r="Q25" s="1225"/>
      <c r="R25" s="1211"/>
    </row>
    <row r="26" spans="1:18" hidden="1">
      <c r="A26" s="1348"/>
      <c r="B26" s="1321" t="s">
        <v>387</v>
      </c>
      <c r="C26" s="1195" t="s">
        <v>254</v>
      </c>
      <c r="D26" s="1199">
        <v>2.4172300599999998E-2</v>
      </c>
      <c r="E26" s="269" t="s">
        <v>35</v>
      </c>
      <c r="F26" s="270">
        <v>57.916832237599998</v>
      </c>
      <c r="G26" s="271"/>
      <c r="H26" s="272">
        <v>57.916832237599998</v>
      </c>
      <c r="I26" s="275">
        <v>1.5555555555555556</v>
      </c>
      <c r="J26" s="272">
        <v>56.361276682044441</v>
      </c>
      <c r="K26" s="274">
        <v>2.6858436407122391E-2</v>
      </c>
      <c r="L26" s="268" t="s">
        <v>30</v>
      </c>
      <c r="M26" s="1318">
        <v>91.226262464399994</v>
      </c>
      <c r="N26" s="1203">
        <v>0</v>
      </c>
      <c r="O26" s="1203">
        <v>91.226262464399994</v>
      </c>
      <c r="P26" s="1203">
        <v>1.5555555555555556</v>
      </c>
      <c r="Q26" s="1203">
        <v>89.670706908844437</v>
      </c>
      <c r="R26" s="1193">
        <v>1.7051619934145536E-2</v>
      </c>
    </row>
    <row r="27" spans="1:18" hidden="1">
      <c r="A27" s="1348"/>
      <c r="B27" s="1321"/>
      <c r="C27" s="1195"/>
      <c r="D27" s="1199"/>
      <c r="E27" s="269" t="s">
        <v>96</v>
      </c>
      <c r="F27" s="270">
        <v>33.309430226799996</v>
      </c>
      <c r="G27" s="271"/>
      <c r="H27" s="272">
        <v>89.670706908844437</v>
      </c>
      <c r="I27" s="273"/>
      <c r="J27" s="272">
        <v>89.670706908844437</v>
      </c>
      <c r="K27" s="274">
        <v>0</v>
      </c>
      <c r="L27" s="268" t="s">
        <v>30</v>
      </c>
      <c r="M27" s="1320"/>
      <c r="N27" s="1225"/>
      <c r="O27" s="1225"/>
      <c r="P27" s="1225"/>
      <c r="Q27" s="1225"/>
      <c r="R27" s="1211"/>
    </row>
    <row r="28" spans="1:18" hidden="1">
      <c r="A28" s="1348"/>
      <c r="B28" s="1317" t="s">
        <v>409</v>
      </c>
      <c r="C28" s="1195" t="s">
        <v>257</v>
      </c>
      <c r="D28" s="1199">
        <v>2.4624648E-3</v>
      </c>
      <c r="E28" s="269" t="s">
        <v>35</v>
      </c>
      <c r="F28" s="270">
        <v>5.9000656608000002</v>
      </c>
      <c r="G28" s="271"/>
      <c r="H28" s="272">
        <v>5.9000656608000002</v>
      </c>
      <c r="I28" s="275"/>
      <c r="J28" s="272">
        <v>5.9000656608000002</v>
      </c>
      <c r="K28" s="274">
        <v>0</v>
      </c>
      <c r="L28" s="268" t="s">
        <v>30</v>
      </c>
      <c r="M28" s="1318">
        <v>9.2933421551999995</v>
      </c>
      <c r="N28" s="1203">
        <v>0</v>
      </c>
      <c r="O28" s="1203">
        <v>9.2933421551999995</v>
      </c>
      <c r="P28" s="1203">
        <v>0</v>
      </c>
      <c r="Q28" s="1203">
        <v>9.2933421551999995</v>
      </c>
      <c r="R28" s="1193">
        <v>0</v>
      </c>
    </row>
    <row r="29" spans="1:18" hidden="1">
      <c r="A29" s="1348"/>
      <c r="B29" s="1317"/>
      <c r="C29" s="1195"/>
      <c r="D29" s="1199"/>
      <c r="E29" s="269" t="s">
        <v>96</v>
      </c>
      <c r="F29" s="270">
        <v>3.3932764943999998</v>
      </c>
      <c r="G29" s="271"/>
      <c r="H29" s="272">
        <v>9.2933421551999995</v>
      </c>
      <c r="I29" s="273"/>
      <c r="J29" s="272">
        <v>9.2933421551999995</v>
      </c>
      <c r="K29" s="274">
        <v>0</v>
      </c>
      <c r="L29" s="268" t="s">
        <v>30</v>
      </c>
      <c r="M29" s="1320"/>
      <c r="N29" s="1225"/>
      <c r="O29" s="1225"/>
      <c r="P29" s="1225"/>
      <c r="Q29" s="1225"/>
      <c r="R29" s="1211"/>
    </row>
    <row r="30" spans="1:18" hidden="1">
      <c r="A30" s="1348"/>
      <c r="B30" s="1317" t="s">
        <v>406</v>
      </c>
      <c r="C30" s="1195" t="s">
        <v>260</v>
      </c>
      <c r="D30" s="1199">
        <v>1.5012192999999999E-3</v>
      </c>
      <c r="E30" s="269" t="s">
        <v>35</v>
      </c>
      <c r="F30" s="270">
        <v>3.5969214427999998</v>
      </c>
      <c r="G30" s="271"/>
      <c r="H30" s="272">
        <v>3.5969214427999998</v>
      </c>
      <c r="I30" s="275"/>
      <c r="J30" s="272">
        <v>3.5969214427999998</v>
      </c>
      <c r="K30" s="274">
        <v>0</v>
      </c>
      <c r="L30" s="268" t="s">
        <v>30</v>
      </c>
      <c r="M30" s="1318">
        <v>5.6656016382000001</v>
      </c>
      <c r="N30" s="1203">
        <v>0</v>
      </c>
      <c r="O30" s="1203">
        <v>5.6656016382000001</v>
      </c>
      <c r="P30" s="1203">
        <v>0</v>
      </c>
      <c r="Q30" s="1203">
        <v>5.6656016382000001</v>
      </c>
      <c r="R30" s="1193">
        <v>0</v>
      </c>
    </row>
    <row r="31" spans="1:18" hidden="1">
      <c r="A31" s="1348"/>
      <c r="B31" s="1317"/>
      <c r="C31" s="1195"/>
      <c r="D31" s="1199"/>
      <c r="E31" s="269" t="s">
        <v>96</v>
      </c>
      <c r="F31" s="270">
        <v>2.0686801953999998</v>
      </c>
      <c r="G31" s="271"/>
      <c r="H31" s="272">
        <v>5.6656016382000001</v>
      </c>
      <c r="I31" s="273"/>
      <c r="J31" s="272">
        <v>5.6656016382000001</v>
      </c>
      <c r="K31" s="274">
        <v>0</v>
      </c>
      <c r="L31" s="268" t="s">
        <v>30</v>
      </c>
      <c r="M31" s="1320"/>
      <c r="N31" s="1225"/>
      <c r="O31" s="1225"/>
      <c r="P31" s="1225"/>
      <c r="Q31" s="1225"/>
      <c r="R31" s="1211"/>
    </row>
    <row r="32" spans="1:18" hidden="1">
      <c r="A32" s="1348"/>
      <c r="B32" s="1317" t="s">
        <v>264</v>
      </c>
      <c r="C32" s="1195"/>
      <c r="D32" s="1199">
        <v>1.2042085900000001E-2</v>
      </c>
      <c r="E32" s="269" t="s">
        <v>35</v>
      </c>
      <c r="F32" s="270">
        <v>28.852837816400001</v>
      </c>
      <c r="G32" s="271"/>
      <c r="H32" s="272">
        <v>28.852837816400001</v>
      </c>
      <c r="I32" s="275">
        <v>7.87</v>
      </c>
      <c r="J32" s="272">
        <v>20.9828378164</v>
      </c>
      <c r="K32" s="274">
        <v>0.27276346438015464</v>
      </c>
      <c r="L32" s="268" t="s">
        <v>30</v>
      </c>
      <c r="M32" s="1318">
        <v>45.446832186600005</v>
      </c>
      <c r="N32" s="1203">
        <v>0</v>
      </c>
      <c r="O32" s="1203">
        <v>45.446832186600005</v>
      </c>
      <c r="P32" s="1203">
        <v>7.87</v>
      </c>
      <c r="Q32" s="1203">
        <v>37.576832186600008</v>
      </c>
      <c r="R32" s="1193">
        <v>0.17316938544113683</v>
      </c>
    </row>
    <row r="33" spans="1:18" ht="18.45" hidden="1" customHeight="1" thickBot="1">
      <c r="A33" s="1349"/>
      <c r="B33" s="1317"/>
      <c r="C33" s="1195"/>
      <c r="D33" s="1199"/>
      <c r="E33" s="276" t="s">
        <v>96</v>
      </c>
      <c r="F33" s="277">
        <v>16.593994370200001</v>
      </c>
      <c r="G33" s="283"/>
      <c r="H33" s="280">
        <v>37.576832186600001</v>
      </c>
      <c r="I33" s="284"/>
      <c r="J33" s="280">
        <v>37.576832186600001</v>
      </c>
      <c r="K33" s="285">
        <v>0</v>
      </c>
      <c r="L33" s="268" t="s">
        <v>30</v>
      </c>
      <c r="M33" s="1319"/>
      <c r="N33" s="1315"/>
      <c r="O33" s="1315"/>
      <c r="P33" s="1315"/>
      <c r="Q33" s="1315"/>
      <c r="R33" s="1316"/>
    </row>
    <row r="34" spans="1:18">
      <c r="A34" s="1309" t="s">
        <v>266</v>
      </c>
      <c r="B34" s="1312" t="s">
        <v>389</v>
      </c>
      <c r="C34" s="1222" t="s">
        <v>267</v>
      </c>
      <c r="D34" s="1313">
        <v>5.9665625999999999E-2</v>
      </c>
      <c r="E34" s="296" t="s">
        <v>35</v>
      </c>
      <c r="F34" s="263">
        <v>142.958839896</v>
      </c>
      <c r="G34" s="300">
        <v>-207.38</v>
      </c>
      <c r="H34" s="265">
        <v>-64.421160103999995</v>
      </c>
      <c r="I34" s="296"/>
      <c r="J34" s="265">
        <v>-64.421160103999995</v>
      </c>
      <c r="K34" s="301">
        <v>0</v>
      </c>
      <c r="L34" s="302">
        <v>43508</v>
      </c>
      <c r="M34" s="1307">
        <v>225.17807252400002</v>
      </c>
      <c r="N34" s="1308">
        <v>-207.38</v>
      </c>
      <c r="O34" s="1308">
        <v>17.79807252400002</v>
      </c>
      <c r="P34" s="1308">
        <v>0</v>
      </c>
      <c r="Q34" s="1308">
        <v>17.79807252400002</v>
      </c>
      <c r="R34" s="1304">
        <v>0</v>
      </c>
    </row>
    <row r="35" spans="1:18">
      <c r="A35" s="1310"/>
      <c r="B35" s="1297"/>
      <c r="C35" s="1206"/>
      <c r="D35" s="1295">
        <v>5.9070873500000003E-2</v>
      </c>
      <c r="E35" s="286" t="s">
        <v>96</v>
      </c>
      <c r="F35" s="270">
        <v>82.219232628</v>
      </c>
      <c r="G35" s="271"/>
      <c r="H35" s="272">
        <v>17.798072524000006</v>
      </c>
      <c r="I35" s="286"/>
      <c r="J35" s="272">
        <v>17.798072524000006</v>
      </c>
      <c r="K35" s="274">
        <v>0</v>
      </c>
      <c r="L35" s="302">
        <v>43508</v>
      </c>
      <c r="M35" s="1288"/>
      <c r="N35" s="1284"/>
      <c r="O35" s="1284"/>
      <c r="P35" s="1284"/>
      <c r="Q35" s="1284"/>
      <c r="R35" s="1282"/>
    </row>
    <row r="36" spans="1:18" hidden="1">
      <c r="A36" s="1310"/>
      <c r="B36" s="1285" t="s">
        <v>268</v>
      </c>
      <c r="C36" s="1305">
        <v>4312</v>
      </c>
      <c r="D36" s="1306">
        <v>2.0576755999999999E-3</v>
      </c>
      <c r="E36" s="296" t="s">
        <v>35</v>
      </c>
      <c r="F36" s="263">
        <v>4.9301907375999994</v>
      </c>
      <c r="G36" s="264"/>
      <c r="H36" s="265">
        <v>4.9301907375999994</v>
      </c>
      <c r="I36" s="296">
        <v>1.778</v>
      </c>
      <c r="J36" s="265">
        <v>3.1521907375999993</v>
      </c>
      <c r="K36" s="267">
        <v>0.36063513454765944</v>
      </c>
      <c r="L36" s="303" t="s">
        <v>30</v>
      </c>
      <c r="M36" s="1307">
        <v>7.7656677143999993</v>
      </c>
      <c r="N36" s="1308">
        <v>0</v>
      </c>
      <c r="O36" s="1308">
        <v>7.7656677143999993</v>
      </c>
      <c r="P36" s="1308">
        <v>1.778</v>
      </c>
      <c r="Q36" s="1308">
        <v>5.9876677143999988</v>
      </c>
      <c r="R36" s="1304">
        <v>0.22895648711610808</v>
      </c>
    </row>
    <row r="37" spans="1:18" hidden="1">
      <c r="A37" s="1310"/>
      <c r="B37" s="1291"/>
      <c r="C37" s="1197"/>
      <c r="D37" s="1306"/>
      <c r="E37" s="286" t="s">
        <v>96</v>
      </c>
      <c r="F37" s="270">
        <v>2.8354769767999999</v>
      </c>
      <c r="G37" s="271"/>
      <c r="H37" s="272">
        <v>5.9876677143999988</v>
      </c>
      <c r="I37" s="286"/>
      <c r="J37" s="272">
        <v>5.9876677143999988</v>
      </c>
      <c r="K37" s="274">
        <v>0</v>
      </c>
      <c r="L37" s="303" t="s">
        <v>30</v>
      </c>
      <c r="M37" s="1288"/>
      <c r="N37" s="1284"/>
      <c r="O37" s="1284"/>
      <c r="P37" s="1284"/>
      <c r="Q37" s="1284"/>
      <c r="R37" s="1282"/>
    </row>
    <row r="38" spans="1:18" hidden="1">
      <c r="A38" s="1310"/>
      <c r="B38" s="1296" t="s">
        <v>390</v>
      </c>
      <c r="C38" s="1206" t="s">
        <v>269</v>
      </c>
      <c r="D38" s="1294">
        <v>1.4061789599999999E-2</v>
      </c>
      <c r="E38" s="286" t="s">
        <v>35</v>
      </c>
      <c r="F38" s="263">
        <v>33.692047881599997</v>
      </c>
      <c r="G38" s="300">
        <v>-13.84</v>
      </c>
      <c r="H38" s="272">
        <v>19.852047881599997</v>
      </c>
      <c r="I38" s="304">
        <v>1.0389999999999999</v>
      </c>
      <c r="J38" s="272">
        <v>18.813047881599996</v>
      </c>
      <c r="K38" s="274">
        <v>5.2337169756829165E-2</v>
      </c>
      <c r="L38" s="303" t="s">
        <v>30</v>
      </c>
      <c r="M38" s="1288">
        <v>53.069193950399992</v>
      </c>
      <c r="N38" s="1284">
        <v>-13.84</v>
      </c>
      <c r="O38" s="1284">
        <v>39.229193950399988</v>
      </c>
      <c r="P38" s="1284">
        <v>1.0389999999999999</v>
      </c>
      <c r="Q38" s="1284">
        <v>38.190193950399987</v>
      </c>
      <c r="R38" s="1282">
        <v>2.648537722476977E-2</v>
      </c>
    </row>
    <row r="39" spans="1:18" hidden="1">
      <c r="A39" s="1310"/>
      <c r="B39" s="1297"/>
      <c r="C39" s="1206"/>
      <c r="D39" s="1294">
        <v>1.4061789599999999E-2</v>
      </c>
      <c r="E39" s="286" t="s">
        <v>96</v>
      </c>
      <c r="F39" s="270">
        <v>19.377146068799998</v>
      </c>
      <c r="G39" s="271"/>
      <c r="H39" s="272">
        <v>38.190193950399994</v>
      </c>
      <c r="I39" s="286"/>
      <c r="J39" s="272">
        <v>38.190193950399994</v>
      </c>
      <c r="K39" s="274">
        <v>0</v>
      </c>
      <c r="L39" s="303" t="s">
        <v>30</v>
      </c>
      <c r="M39" s="1288"/>
      <c r="N39" s="1284"/>
      <c r="O39" s="1284"/>
      <c r="P39" s="1284"/>
      <c r="Q39" s="1284"/>
      <c r="R39" s="1282"/>
    </row>
    <row r="40" spans="1:18">
      <c r="A40" s="1310"/>
      <c r="B40" s="1296" t="s">
        <v>425</v>
      </c>
      <c r="C40" s="1206" t="s">
        <v>270</v>
      </c>
      <c r="D40" s="1294">
        <v>3.7086950000000001E-3</v>
      </c>
      <c r="E40" s="286" t="s">
        <v>35</v>
      </c>
      <c r="F40" s="263">
        <v>8.8860332199999998</v>
      </c>
      <c r="G40" s="300">
        <v>-13.997</v>
      </c>
      <c r="H40" s="272">
        <v>-5.11096678</v>
      </c>
      <c r="I40" s="286"/>
      <c r="J40" s="272">
        <v>-5.11096678</v>
      </c>
      <c r="K40" s="274">
        <v>0</v>
      </c>
      <c r="L40" s="302">
        <v>43508</v>
      </c>
      <c r="M40" s="1301">
        <v>13.99661493</v>
      </c>
      <c r="N40" s="1302">
        <v>-13.997</v>
      </c>
      <c r="O40" s="1302">
        <v>-3.8507000000009839E-4</v>
      </c>
      <c r="P40" s="1302">
        <v>0</v>
      </c>
      <c r="Q40" s="1302">
        <v>-3.8507000000009839E-4</v>
      </c>
      <c r="R40" s="1303">
        <v>0</v>
      </c>
    </row>
    <row r="41" spans="1:18">
      <c r="A41" s="1310"/>
      <c r="B41" s="1297"/>
      <c r="C41" s="1206"/>
      <c r="D41" s="1294">
        <v>3.7086950000000001E-3</v>
      </c>
      <c r="E41" s="286" t="s">
        <v>96</v>
      </c>
      <c r="F41" s="270">
        <v>5.1105817099999999</v>
      </c>
      <c r="G41" s="271"/>
      <c r="H41" s="272">
        <v>-3.8507000000009839E-4</v>
      </c>
      <c r="I41" s="286"/>
      <c r="J41" s="272">
        <v>-3.8507000000009839E-4</v>
      </c>
      <c r="K41" s="274">
        <v>0</v>
      </c>
      <c r="L41" s="302">
        <v>43508</v>
      </c>
      <c r="M41" s="1301"/>
      <c r="N41" s="1302"/>
      <c r="O41" s="1302"/>
      <c r="P41" s="1302"/>
      <c r="Q41" s="1302"/>
      <c r="R41" s="1303"/>
    </row>
    <row r="42" spans="1:18">
      <c r="A42" s="1310"/>
      <c r="B42" s="1314" t="s">
        <v>391</v>
      </c>
      <c r="C42" s="1205" t="s">
        <v>271</v>
      </c>
      <c r="D42" s="1294">
        <v>1.09012563E-2</v>
      </c>
      <c r="E42" s="286" t="s">
        <v>35</v>
      </c>
      <c r="F42" s="263">
        <v>26.119410094799999</v>
      </c>
      <c r="G42" s="300">
        <v>-54.293999999999997</v>
      </c>
      <c r="H42" s="272">
        <v>-28.174589905199998</v>
      </c>
      <c r="I42" s="286"/>
      <c r="J42" s="272">
        <v>-28.174589905199998</v>
      </c>
      <c r="K42" s="274">
        <v>0</v>
      </c>
      <c r="L42" s="302">
        <v>43508</v>
      </c>
      <c r="M42" s="1288">
        <v>41.141341276200002</v>
      </c>
      <c r="N42" s="1284">
        <v>-54.293999999999997</v>
      </c>
      <c r="O42" s="1284">
        <v>-13.152658723799995</v>
      </c>
      <c r="P42" s="1284">
        <v>0</v>
      </c>
      <c r="Q42" s="1284">
        <v>-13.152658723799995</v>
      </c>
      <c r="R42" s="1282">
        <v>0</v>
      </c>
    </row>
    <row r="43" spans="1:18">
      <c r="A43" s="1310"/>
      <c r="B43" s="1297"/>
      <c r="C43" s="1205"/>
      <c r="D43" s="1294">
        <v>1.14960093E-2</v>
      </c>
      <c r="E43" s="286" t="s">
        <v>96</v>
      </c>
      <c r="F43" s="270">
        <v>15.021931181400001</v>
      </c>
      <c r="G43" s="271"/>
      <c r="H43" s="272">
        <v>-13.152658723799997</v>
      </c>
      <c r="I43" s="286"/>
      <c r="J43" s="272">
        <v>-13.152658723799997</v>
      </c>
      <c r="K43" s="274">
        <v>0</v>
      </c>
      <c r="L43" s="302">
        <v>43508</v>
      </c>
      <c r="M43" s="1288"/>
      <c r="N43" s="1284"/>
      <c r="O43" s="1284"/>
      <c r="P43" s="1284"/>
      <c r="Q43" s="1284"/>
      <c r="R43" s="1282"/>
    </row>
    <row r="44" spans="1:18" hidden="1">
      <c r="A44" s="1310"/>
      <c r="B44" s="1233" t="s">
        <v>392</v>
      </c>
      <c r="C44" s="1197" t="s">
        <v>272</v>
      </c>
      <c r="D44" s="1295">
        <v>1.9725258700000001E-2</v>
      </c>
      <c r="E44" s="286" t="s">
        <v>273</v>
      </c>
      <c r="F44" s="263">
        <v>47.261719845200005</v>
      </c>
      <c r="G44" s="264"/>
      <c r="H44" s="272">
        <v>47.261719845200005</v>
      </c>
      <c r="I44" s="286"/>
      <c r="J44" s="272">
        <v>47.261719845200005</v>
      </c>
      <c r="K44" s="274">
        <v>0</v>
      </c>
      <c r="L44" s="303" t="s">
        <v>30</v>
      </c>
      <c r="M44" s="1288">
        <v>74.443126333800009</v>
      </c>
      <c r="N44" s="1284">
        <v>0</v>
      </c>
      <c r="O44" s="1284">
        <v>74.443126333800009</v>
      </c>
      <c r="P44" s="1284">
        <v>0</v>
      </c>
      <c r="Q44" s="1284">
        <v>74.443126333800009</v>
      </c>
      <c r="R44" s="1282">
        <v>0</v>
      </c>
    </row>
    <row r="45" spans="1:18" hidden="1">
      <c r="A45" s="1310"/>
      <c r="B45" s="1291"/>
      <c r="C45" s="1197"/>
      <c r="D45" s="1295">
        <v>1.9725258700000001E-2</v>
      </c>
      <c r="E45" s="286" t="s">
        <v>274</v>
      </c>
      <c r="F45" s="270">
        <v>27.1814064886</v>
      </c>
      <c r="G45" s="271"/>
      <c r="H45" s="272">
        <v>74.443126333800009</v>
      </c>
      <c r="I45" s="286"/>
      <c r="J45" s="272">
        <v>74.443126333800009</v>
      </c>
      <c r="K45" s="274">
        <v>0</v>
      </c>
      <c r="L45" s="303" t="s">
        <v>30</v>
      </c>
      <c r="M45" s="1288"/>
      <c r="N45" s="1284"/>
      <c r="O45" s="1284"/>
      <c r="P45" s="1284"/>
      <c r="Q45" s="1284"/>
      <c r="R45" s="1282"/>
    </row>
    <row r="46" spans="1:18" hidden="1">
      <c r="A46" s="1310"/>
      <c r="B46" s="1296" t="s">
        <v>275</v>
      </c>
      <c r="C46" s="1206" t="s">
        <v>276</v>
      </c>
      <c r="D46" s="1294">
        <v>6.0805267E-3</v>
      </c>
      <c r="E46" s="286" t="s">
        <v>35</v>
      </c>
      <c r="F46" s="263">
        <v>14.568941973199999</v>
      </c>
      <c r="G46" s="300">
        <v>-22.302</v>
      </c>
      <c r="H46" s="272">
        <v>-7.7330580268000002</v>
      </c>
      <c r="I46" s="286"/>
      <c r="J46" s="272">
        <v>-7.7330580268000002</v>
      </c>
      <c r="K46" s="274">
        <v>0</v>
      </c>
      <c r="L46" s="303" t="s">
        <v>30</v>
      </c>
      <c r="M46" s="1288">
        <v>22.9479077658</v>
      </c>
      <c r="N46" s="1284">
        <v>-22.302</v>
      </c>
      <c r="O46" s="1284">
        <v>0.64590776580000053</v>
      </c>
      <c r="P46" s="1284">
        <v>0</v>
      </c>
      <c r="Q46" s="1284">
        <v>0.64590776580000053</v>
      </c>
      <c r="R46" s="1282">
        <v>0</v>
      </c>
    </row>
    <row r="47" spans="1:18" hidden="1">
      <c r="A47" s="1310"/>
      <c r="B47" s="1297"/>
      <c r="C47" s="1206"/>
      <c r="D47" s="1294">
        <v>6.0805267E-3</v>
      </c>
      <c r="E47" s="286" t="s">
        <v>96</v>
      </c>
      <c r="F47" s="270">
        <v>8.3789657926000007</v>
      </c>
      <c r="G47" s="271"/>
      <c r="H47" s="272">
        <v>0.64590776580000053</v>
      </c>
      <c r="I47" s="286"/>
      <c r="J47" s="272">
        <v>0.64590776580000053</v>
      </c>
      <c r="K47" s="274">
        <v>0</v>
      </c>
      <c r="L47" s="303" t="s">
        <v>30</v>
      </c>
      <c r="M47" s="1288"/>
      <c r="N47" s="1284"/>
      <c r="O47" s="1284"/>
      <c r="P47" s="1284"/>
      <c r="Q47" s="1284"/>
      <c r="R47" s="1282"/>
    </row>
    <row r="48" spans="1:18" hidden="1">
      <c r="A48" s="1310"/>
      <c r="B48" s="1296" t="s">
        <v>277</v>
      </c>
      <c r="C48" s="1206" t="s">
        <v>278</v>
      </c>
      <c r="D48" s="1294">
        <v>1.3716607E-2</v>
      </c>
      <c r="E48" s="286" t="s">
        <v>35</v>
      </c>
      <c r="F48" s="263">
        <v>32.864990372000001</v>
      </c>
      <c r="G48" s="300">
        <v>-67.206999999999994</v>
      </c>
      <c r="H48" s="272">
        <v>-34.342009627999992</v>
      </c>
      <c r="I48" s="286"/>
      <c r="J48" s="272">
        <v>-34.342009627999992</v>
      </c>
      <c r="K48" s="274">
        <v>0</v>
      </c>
      <c r="L48" s="305" t="s">
        <v>30</v>
      </c>
      <c r="M48" s="1288">
        <v>51.766474818000006</v>
      </c>
      <c r="N48" s="1284">
        <v>-67.206999999999994</v>
      </c>
      <c r="O48" s="1284">
        <v>-15.440525181999988</v>
      </c>
      <c r="P48" s="1284">
        <v>0</v>
      </c>
      <c r="Q48" s="1284">
        <v>-15.440525181999988</v>
      </c>
      <c r="R48" s="1282">
        <v>0</v>
      </c>
    </row>
    <row r="49" spans="1:18" hidden="1">
      <c r="A49" s="1310"/>
      <c r="B49" s="1297"/>
      <c r="C49" s="1206"/>
      <c r="D49" s="1294">
        <v>1.6815305400000001E-2</v>
      </c>
      <c r="E49" s="286" t="s">
        <v>96</v>
      </c>
      <c r="F49" s="270">
        <v>18.901484446000001</v>
      </c>
      <c r="G49" s="271"/>
      <c r="H49" s="272">
        <v>-15.440525181999991</v>
      </c>
      <c r="I49" s="286"/>
      <c r="J49" s="272">
        <v>-15.440525181999991</v>
      </c>
      <c r="K49" s="274">
        <v>0</v>
      </c>
      <c r="L49" s="305" t="s">
        <v>30</v>
      </c>
      <c r="M49" s="1288"/>
      <c r="N49" s="1284"/>
      <c r="O49" s="1284"/>
      <c r="P49" s="1284"/>
      <c r="Q49" s="1284"/>
      <c r="R49" s="1282"/>
    </row>
    <row r="50" spans="1:18">
      <c r="A50" s="1310"/>
      <c r="B50" s="1314" t="s">
        <v>393</v>
      </c>
      <c r="C50" s="1205" t="s">
        <v>279</v>
      </c>
      <c r="D50" s="1294">
        <v>1.7517082E-2</v>
      </c>
      <c r="E50" s="286" t="s">
        <v>35</v>
      </c>
      <c r="F50" s="263">
        <v>41.970928471999997</v>
      </c>
      <c r="G50" s="300">
        <v>-66.11</v>
      </c>
      <c r="H50" s="272">
        <v>-24.139071528000002</v>
      </c>
      <c r="I50" s="286"/>
      <c r="J50" s="272">
        <v>-24.139071528000002</v>
      </c>
      <c r="K50" s="274">
        <v>0</v>
      </c>
      <c r="L50" s="302">
        <v>43508</v>
      </c>
      <c r="M50" s="1288">
        <v>66.109467467999991</v>
      </c>
      <c r="N50" s="1284">
        <v>-66.11</v>
      </c>
      <c r="O50" s="1284">
        <v>-5.3253200000824563E-4</v>
      </c>
      <c r="P50" s="1284">
        <v>0</v>
      </c>
      <c r="Q50" s="1284">
        <v>-5.3253200000824563E-4</v>
      </c>
      <c r="R50" s="1282">
        <v>0</v>
      </c>
    </row>
    <row r="51" spans="1:18">
      <c r="A51" s="1310"/>
      <c r="B51" s="1297"/>
      <c r="C51" s="1205"/>
      <c r="D51" s="1294">
        <v>1.7517082E-2</v>
      </c>
      <c r="E51" s="286" t="s">
        <v>96</v>
      </c>
      <c r="F51" s="270">
        <v>24.138538996000001</v>
      </c>
      <c r="G51" s="271"/>
      <c r="H51" s="272">
        <v>-5.325320000011402E-4</v>
      </c>
      <c r="I51" s="286"/>
      <c r="J51" s="272">
        <v>-5.325320000011402E-4</v>
      </c>
      <c r="K51" s="274">
        <v>0</v>
      </c>
      <c r="L51" s="302">
        <v>43508</v>
      </c>
      <c r="M51" s="1288"/>
      <c r="N51" s="1284"/>
      <c r="O51" s="1284"/>
      <c r="P51" s="1284"/>
      <c r="Q51" s="1284"/>
      <c r="R51" s="1282"/>
    </row>
    <row r="52" spans="1:18" hidden="1">
      <c r="A52" s="1310"/>
      <c r="B52" s="1233" t="s">
        <v>394</v>
      </c>
      <c r="C52" s="1197" t="s">
        <v>280</v>
      </c>
      <c r="D52" s="1295">
        <v>2.3606734099999999E-2</v>
      </c>
      <c r="E52" s="286" t="s">
        <v>35</v>
      </c>
      <c r="F52" s="263">
        <v>56.561734903599998</v>
      </c>
      <c r="G52" s="264"/>
      <c r="H52" s="272">
        <v>56.561734903599998</v>
      </c>
      <c r="I52" s="286">
        <v>5.94</v>
      </c>
      <c r="J52" s="272">
        <v>50.6217349036</v>
      </c>
      <c r="K52" s="274">
        <v>0.10501799511849726</v>
      </c>
      <c r="L52" s="303" t="s">
        <v>30</v>
      </c>
      <c r="M52" s="1288">
        <v>89.091814493399994</v>
      </c>
      <c r="N52" s="1284">
        <v>0</v>
      </c>
      <c r="O52" s="1284">
        <v>89.091814493399994</v>
      </c>
      <c r="P52" s="1284">
        <v>5.94</v>
      </c>
      <c r="Q52" s="1284">
        <v>83.151814493399996</v>
      </c>
      <c r="R52" s="1282">
        <v>6.6672791813439172E-2</v>
      </c>
    </row>
    <row r="53" spans="1:18" hidden="1">
      <c r="A53" s="1310"/>
      <c r="B53" s="1291"/>
      <c r="C53" s="1197"/>
      <c r="D53" s="1295">
        <v>2.3606734099999999E-2</v>
      </c>
      <c r="E53" s="286" t="s">
        <v>96</v>
      </c>
      <c r="F53" s="270">
        <v>32.530079589799996</v>
      </c>
      <c r="G53" s="271"/>
      <c r="H53" s="272">
        <v>83.151814493399996</v>
      </c>
      <c r="I53" s="286"/>
      <c r="J53" s="272">
        <v>83.151814493399996</v>
      </c>
      <c r="K53" s="274">
        <v>0</v>
      </c>
      <c r="L53" s="303" t="s">
        <v>30</v>
      </c>
      <c r="M53" s="1288"/>
      <c r="N53" s="1284"/>
      <c r="O53" s="1284"/>
      <c r="P53" s="1284"/>
      <c r="Q53" s="1284"/>
      <c r="R53" s="1282"/>
    </row>
    <row r="54" spans="1:18" hidden="1">
      <c r="A54" s="1310"/>
      <c r="B54" s="1298" t="s">
        <v>395</v>
      </c>
      <c r="C54" s="1252" t="s">
        <v>281</v>
      </c>
      <c r="D54" s="1300">
        <v>2.93809311E-2</v>
      </c>
      <c r="E54" s="286" t="s">
        <v>35</v>
      </c>
      <c r="F54" s="263">
        <v>70.396710915599996</v>
      </c>
      <c r="G54" s="306">
        <v>-97.352000000000004</v>
      </c>
      <c r="H54" s="272">
        <v>-26.955289084400007</v>
      </c>
      <c r="I54" s="286">
        <v>1.2</v>
      </c>
      <c r="J54" s="272">
        <v>-28.155289084400007</v>
      </c>
      <c r="K54" s="274">
        <v>-4.4518164737267947E-2</v>
      </c>
      <c r="L54" s="303" t="s">
        <v>30</v>
      </c>
      <c r="M54" s="1288">
        <v>110.8836339714</v>
      </c>
      <c r="N54" s="1284">
        <v>-97.352000000000004</v>
      </c>
      <c r="O54" s="1284">
        <v>13.531633971399998</v>
      </c>
      <c r="P54" s="1284">
        <v>1.2</v>
      </c>
      <c r="Q54" s="1284">
        <v>12.331633971399999</v>
      </c>
      <c r="R54" s="1282">
        <v>8.8681086300167383E-2</v>
      </c>
    </row>
    <row r="55" spans="1:18" hidden="1">
      <c r="A55" s="1310"/>
      <c r="B55" s="1299"/>
      <c r="C55" s="1252"/>
      <c r="D55" s="1300">
        <v>2.93809311E-2</v>
      </c>
      <c r="E55" s="286" t="s">
        <v>96</v>
      </c>
      <c r="F55" s="270">
        <v>40.486923055799998</v>
      </c>
      <c r="G55" s="271"/>
      <c r="H55" s="272">
        <v>12.331633971399992</v>
      </c>
      <c r="I55" s="286"/>
      <c r="J55" s="272">
        <v>12.331633971399992</v>
      </c>
      <c r="K55" s="274">
        <v>0</v>
      </c>
      <c r="L55" s="303" t="s">
        <v>30</v>
      </c>
      <c r="M55" s="1288"/>
      <c r="N55" s="1284"/>
      <c r="O55" s="1284"/>
      <c r="P55" s="1284"/>
      <c r="Q55" s="1284"/>
      <c r="R55" s="1282"/>
    </row>
    <row r="56" spans="1:18" hidden="1">
      <c r="A56" s="1310"/>
      <c r="B56" s="1296" t="s">
        <v>426</v>
      </c>
      <c r="C56" s="1206" t="s">
        <v>282</v>
      </c>
      <c r="D56" s="1294">
        <v>2.02514905E-2</v>
      </c>
      <c r="E56" s="286" t="s">
        <v>35</v>
      </c>
      <c r="F56" s="263">
        <v>48.522571237999998</v>
      </c>
      <c r="G56" s="300">
        <v>-49.030999999999999</v>
      </c>
      <c r="H56" s="272">
        <v>-0.5084287620000012</v>
      </c>
      <c r="I56" s="286">
        <v>1.778</v>
      </c>
      <c r="J56" s="272">
        <v>-2.2864287620000012</v>
      </c>
      <c r="K56" s="274">
        <v>-3.4970484222920413</v>
      </c>
      <c r="L56" s="303" t="s">
        <v>30</v>
      </c>
      <c r="M56" s="1288">
        <v>76.429125146999993</v>
      </c>
      <c r="N56" s="1284">
        <v>-49.030999999999999</v>
      </c>
      <c r="O56" s="1284">
        <v>27.398125146999995</v>
      </c>
      <c r="P56" s="1284">
        <v>1.778</v>
      </c>
      <c r="Q56" s="1284">
        <v>25.620125146999996</v>
      </c>
      <c r="R56" s="1282">
        <v>6.4894951404902437E-2</v>
      </c>
    </row>
    <row r="57" spans="1:18" hidden="1">
      <c r="A57" s="1310"/>
      <c r="B57" s="1297"/>
      <c r="C57" s="1206"/>
      <c r="D57" s="1294">
        <v>2.02514905E-2</v>
      </c>
      <c r="E57" s="286" t="s">
        <v>96</v>
      </c>
      <c r="F57" s="270">
        <v>27.906553908999999</v>
      </c>
      <c r="G57" s="271"/>
      <c r="H57" s="272">
        <v>25.620125147</v>
      </c>
      <c r="I57" s="286"/>
      <c r="J57" s="272">
        <v>25.620125147</v>
      </c>
      <c r="K57" s="274">
        <v>0</v>
      </c>
      <c r="L57" s="303" t="s">
        <v>30</v>
      </c>
      <c r="M57" s="1288"/>
      <c r="N57" s="1284"/>
      <c r="O57" s="1284"/>
      <c r="P57" s="1284"/>
      <c r="Q57" s="1284"/>
      <c r="R57" s="1282"/>
    </row>
    <row r="58" spans="1:18" hidden="1">
      <c r="A58" s="1310"/>
      <c r="B58" s="1296" t="s">
        <v>396</v>
      </c>
      <c r="C58" s="1206" t="s">
        <v>283</v>
      </c>
      <c r="D58" s="1294">
        <v>7.8781179999999999E-3</v>
      </c>
      <c r="E58" s="286" t="s">
        <v>35</v>
      </c>
      <c r="F58" s="263">
        <v>18.875970727999999</v>
      </c>
      <c r="G58" s="300">
        <v>-24.238</v>
      </c>
      <c r="H58" s="272">
        <v>-5.3620292720000009</v>
      </c>
      <c r="I58" s="286"/>
      <c r="J58" s="272">
        <v>-5.3620292720000009</v>
      </c>
      <c r="K58" s="274">
        <v>0</v>
      </c>
      <c r="L58" s="303" t="s">
        <v>30</v>
      </c>
      <c r="M58" s="1288">
        <v>29.732017331999998</v>
      </c>
      <c r="N58" s="1284">
        <v>-24.238</v>
      </c>
      <c r="O58" s="1284">
        <v>5.4940173319999985</v>
      </c>
      <c r="P58" s="1284">
        <v>0</v>
      </c>
      <c r="Q58" s="1284">
        <v>5.4940173319999985</v>
      </c>
      <c r="R58" s="1282">
        <v>0</v>
      </c>
    </row>
    <row r="59" spans="1:18" hidden="1">
      <c r="A59" s="1310"/>
      <c r="B59" s="1297"/>
      <c r="C59" s="1206"/>
      <c r="D59" s="1294">
        <v>6.5118729999999996E-3</v>
      </c>
      <c r="E59" s="286" t="s">
        <v>96</v>
      </c>
      <c r="F59" s="270">
        <v>10.856046603999999</v>
      </c>
      <c r="G59" s="271"/>
      <c r="H59" s="272">
        <v>5.4940173319999985</v>
      </c>
      <c r="I59" s="286"/>
      <c r="J59" s="272">
        <v>5.4940173319999985</v>
      </c>
      <c r="K59" s="274">
        <v>0</v>
      </c>
      <c r="L59" s="303" t="s">
        <v>30</v>
      </c>
      <c r="M59" s="1288"/>
      <c r="N59" s="1284"/>
      <c r="O59" s="1284"/>
      <c r="P59" s="1284"/>
      <c r="Q59" s="1284"/>
      <c r="R59" s="1282"/>
    </row>
    <row r="60" spans="1:18" hidden="1">
      <c r="A60" s="1310"/>
      <c r="B60" s="1233" t="s">
        <v>397</v>
      </c>
      <c r="C60" s="1197" t="s">
        <v>284</v>
      </c>
      <c r="D60" s="1295">
        <v>3.7391969000000001E-3</v>
      </c>
      <c r="E60" s="286" t="s">
        <v>35</v>
      </c>
      <c r="F60" s="263">
        <v>8.9591157724000006</v>
      </c>
      <c r="G60" s="264"/>
      <c r="H60" s="272">
        <v>8.9591157724000006</v>
      </c>
      <c r="I60" s="286">
        <v>7.2999999999999995E-2</v>
      </c>
      <c r="J60" s="272">
        <v>8.8861157724000002</v>
      </c>
      <c r="K60" s="274">
        <v>8.1481255354337815E-3</v>
      </c>
      <c r="L60" s="303" t="s">
        <v>30</v>
      </c>
      <c r="M60" s="1288">
        <v>14.111729100600002</v>
      </c>
      <c r="N60" s="1284">
        <v>0</v>
      </c>
      <c r="O60" s="1284">
        <v>14.111729100600002</v>
      </c>
      <c r="P60" s="1284">
        <v>7.2999999999999995E-2</v>
      </c>
      <c r="Q60" s="1284">
        <v>14.038729100600001</v>
      </c>
      <c r="R60" s="1282">
        <v>5.1730017972706254E-3</v>
      </c>
    </row>
    <row r="61" spans="1:18" hidden="1">
      <c r="A61" s="1310"/>
      <c r="B61" s="1291"/>
      <c r="C61" s="1197"/>
      <c r="D61" s="1295">
        <v>3.7391969000000001E-3</v>
      </c>
      <c r="E61" s="286" t="s">
        <v>96</v>
      </c>
      <c r="F61" s="270">
        <v>5.1526133282000002</v>
      </c>
      <c r="G61" s="271"/>
      <c r="H61" s="272">
        <v>14.038729100600001</v>
      </c>
      <c r="I61" s="286"/>
      <c r="J61" s="272">
        <v>14.038729100600001</v>
      </c>
      <c r="K61" s="274">
        <v>0</v>
      </c>
      <c r="L61" s="303" t="s">
        <v>30</v>
      </c>
      <c r="M61" s="1288"/>
      <c r="N61" s="1284"/>
      <c r="O61" s="1284"/>
      <c r="P61" s="1284"/>
      <c r="Q61" s="1284"/>
      <c r="R61" s="1282"/>
    </row>
    <row r="62" spans="1:18">
      <c r="A62" s="1310"/>
      <c r="B62" s="1292" t="s">
        <v>398</v>
      </c>
      <c r="C62" s="1205" t="s">
        <v>285</v>
      </c>
      <c r="D62" s="1294">
        <v>1.1437660000000001E-3</v>
      </c>
      <c r="E62" s="286" t="s">
        <v>35</v>
      </c>
      <c r="F62" s="263">
        <v>2.7404633359999999</v>
      </c>
      <c r="G62" s="300">
        <v>-4.3159999999999998</v>
      </c>
      <c r="H62" s="272">
        <v>-1.5755366639999999</v>
      </c>
      <c r="I62" s="286"/>
      <c r="J62" s="272">
        <v>-1.5755366639999999</v>
      </c>
      <c r="K62" s="274">
        <v>0</v>
      </c>
      <c r="L62" s="302">
        <v>43508</v>
      </c>
      <c r="M62" s="1288">
        <v>4.3165728840000002</v>
      </c>
      <c r="N62" s="1284">
        <v>-4.3159999999999998</v>
      </c>
      <c r="O62" s="1284">
        <v>5.728840000003288E-4</v>
      </c>
      <c r="P62" s="1284">
        <v>0</v>
      </c>
      <c r="Q62" s="1284">
        <v>5.728840000003288E-4</v>
      </c>
      <c r="R62" s="1282">
        <v>0</v>
      </c>
    </row>
    <row r="63" spans="1:18">
      <c r="A63" s="1310"/>
      <c r="B63" s="1293"/>
      <c r="C63" s="1205"/>
      <c r="D63" s="1294">
        <v>1.1437660000000001E-3</v>
      </c>
      <c r="E63" s="286" t="s">
        <v>96</v>
      </c>
      <c r="F63" s="270">
        <v>1.576109548</v>
      </c>
      <c r="G63" s="271"/>
      <c r="H63" s="272">
        <v>5.7288400000010675E-4</v>
      </c>
      <c r="I63" s="286"/>
      <c r="J63" s="272">
        <v>5.7288400000010675E-4</v>
      </c>
      <c r="K63" s="274">
        <v>0</v>
      </c>
      <c r="L63" s="302">
        <v>43508</v>
      </c>
      <c r="M63" s="1288"/>
      <c r="N63" s="1284"/>
      <c r="O63" s="1284"/>
      <c r="P63" s="1284"/>
      <c r="Q63" s="1284"/>
      <c r="R63" s="1282"/>
    </row>
    <row r="64" spans="1:18" hidden="1">
      <c r="A64" s="1310"/>
      <c r="B64" s="1233" t="s">
        <v>399</v>
      </c>
      <c r="C64" s="1195" t="s">
        <v>286</v>
      </c>
      <c r="D64" s="1286">
        <v>3.0986989999999999E-3</v>
      </c>
      <c r="E64" s="286" t="s">
        <v>35</v>
      </c>
      <c r="F64" s="263">
        <v>7.4244828040000002</v>
      </c>
      <c r="G64" s="264"/>
      <c r="H64" s="272">
        <v>7.4244828040000002</v>
      </c>
      <c r="I64" s="286">
        <v>0.55200000000000005</v>
      </c>
      <c r="J64" s="272">
        <v>6.8724828040000006</v>
      </c>
      <c r="K64" s="274">
        <v>7.4348613172436143E-2</v>
      </c>
      <c r="L64" s="303" t="s">
        <v>30</v>
      </c>
      <c r="M64" s="1288">
        <v>11.694490026</v>
      </c>
      <c r="N64" s="1284">
        <v>0</v>
      </c>
      <c r="O64" s="1284">
        <v>11.694490026</v>
      </c>
      <c r="P64" s="1284">
        <v>0.55200000000000005</v>
      </c>
      <c r="Q64" s="1284">
        <v>11.142490026000001</v>
      </c>
      <c r="R64" s="1282">
        <v>4.7201716258918121E-2</v>
      </c>
    </row>
    <row r="65" spans="1:18" hidden="1">
      <c r="A65" s="1310"/>
      <c r="B65" s="1291"/>
      <c r="C65" s="1195"/>
      <c r="D65" s="1286"/>
      <c r="E65" s="286" t="s">
        <v>96</v>
      </c>
      <c r="F65" s="270">
        <v>4.2700072220000003</v>
      </c>
      <c r="G65" s="271"/>
      <c r="H65" s="272">
        <v>11.142490026000001</v>
      </c>
      <c r="I65" s="286"/>
      <c r="J65" s="272">
        <v>11.142490026000001</v>
      </c>
      <c r="K65" s="274">
        <v>0</v>
      </c>
      <c r="L65" s="303" t="s">
        <v>30</v>
      </c>
      <c r="M65" s="1288"/>
      <c r="N65" s="1284"/>
      <c r="O65" s="1284"/>
      <c r="P65" s="1284"/>
      <c r="Q65" s="1284"/>
      <c r="R65" s="1282"/>
    </row>
    <row r="66" spans="1:18" hidden="1">
      <c r="A66" s="1310"/>
      <c r="B66" s="1233" t="s">
        <v>287</v>
      </c>
      <c r="C66" s="1197"/>
      <c r="D66" s="1286">
        <v>2.1869110000000001E-3</v>
      </c>
      <c r="E66" s="286" t="s">
        <v>35</v>
      </c>
      <c r="F66" s="263">
        <v>5.2398387560000002</v>
      </c>
      <c r="G66" s="264"/>
      <c r="H66" s="272">
        <v>5.2398387560000002</v>
      </c>
      <c r="I66" s="286"/>
      <c r="J66" s="272">
        <v>5.2398387560000002</v>
      </c>
      <c r="K66" s="274">
        <v>0</v>
      </c>
      <c r="L66" s="303" t="s">
        <v>30</v>
      </c>
      <c r="M66" s="1288">
        <v>8.253402114</v>
      </c>
      <c r="N66" s="1284">
        <v>0</v>
      </c>
      <c r="O66" s="1284">
        <v>8.253402114</v>
      </c>
      <c r="P66" s="1284">
        <v>0</v>
      </c>
      <c r="Q66" s="1284">
        <v>8.253402114</v>
      </c>
      <c r="R66" s="1282">
        <v>0</v>
      </c>
    </row>
    <row r="67" spans="1:18" hidden="1">
      <c r="A67" s="1311"/>
      <c r="B67" s="1285"/>
      <c r="C67" s="1234"/>
      <c r="D67" s="1287">
        <v>3.5531563000000001E-3</v>
      </c>
      <c r="E67" s="287" t="s">
        <v>96</v>
      </c>
      <c r="F67" s="277">
        <v>3.0135633580000003</v>
      </c>
      <c r="G67" s="283"/>
      <c r="H67" s="280">
        <v>8.253402114</v>
      </c>
      <c r="I67" s="287"/>
      <c r="J67" s="280">
        <v>8.253402114</v>
      </c>
      <c r="K67" s="285">
        <v>0</v>
      </c>
      <c r="L67" s="307" t="s">
        <v>30</v>
      </c>
      <c r="M67" s="1289"/>
      <c r="N67" s="1290"/>
      <c r="O67" s="1290"/>
      <c r="P67" s="1290"/>
      <c r="Q67" s="1290"/>
      <c r="R67" s="1283"/>
    </row>
    <row r="68" spans="1:18" hidden="1">
      <c r="A68" s="1275" t="s">
        <v>289</v>
      </c>
      <c r="B68" s="1278" t="s">
        <v>400</v>
      </c>
      <c r="C68" s="1280" t="s">
        <v>290</v>
      </c>
      <c r="D68" s="1281">
        <v>1.03097412E-2</v>
      </c>
      <c r="E68" s="296" t="s">
        <v>35</v>
      </c>
      <c r="F68" s="263">
        <v>24.7021399152</v>
      </c>
      <c r="G68" s="288">
        <v>-40.853999999999999</v>
      </c>
      <c r="H68" s="265">
        <v>-16.151860084799999</v>
      </c>
      <c r="I68" s="296"/>
      <c r="J68" s="308">
        <v>-16.151860084799999</v>
      </c>
      <c r="K68" s="267">
        <v>0</v>
      </c>
      <c r="L68" s="289">
        <v>43508</v>
      </c>
      <c r="M68" s="1258">
        <v>38.908963288800003</v>
      </c>
      <c r="N68" s="1259">
        <v>-40.853999999999999</v>
      </c>
      <c r="O68" s="1256">
        <v>-1.9450367111999967</v>
      </c>
      <c r="P68" s="1255">
        <v>0</v>
      </c>
      <c r="Q68" s="1256">
        <v>-1.9450367111999967</v>
      </c>
      <c r="R68" s="1257">
        <v>0</v>
      </c>
    </row>
    <row r="69" spans="1:18" hidden="1">
      <c r="A69" s="1276"/>
      <c r="B69" s="1279"/>
      <c r="C69" s="1252"/>
      <c r="D69" s="1253"/>
      <c r="E69" s="286" t="s">
        <v>96</v>
      </c>
      <c r="F69" s="270">
        <v>14.206823373600001</v>
      </c>
      <c r="G69" s="271"/>
      <c r="H69" s="272">
        <v>-1.9450367111999984</v>
      </c>
      <c r="I69" s="286"/>
      <c r="J69" s="309">
        <v>-1.9450367111999984</v>
      </c>
      <c r="K69" s="274">
        <v>0</v>
      </c>
      <c r="L69" s="289">
        <v>43508</v>
      </c>
      <c r="M69" s="1258"/>
      <c r="N69" s="1259"/>
      <c r="O69" s="1256"/>
      <c r="P69" s="1255"/>
      <c r="Q69" s="1256"/>
      <c r="R69" s="1257"/>
    </row>
    <row r="70" spans="1:18" hidden="1">
      <c r="A70" s="1276"/>
      <c r="B70" s="1272" t="s">
        <v>401</v>
      </c>
      <c r="C70" s="1197" t="s">
        <v>291</v>
      </c>
      <c r="D70" s="1235">
        <v>4.0591379999999999E-4</v>
      </c>
      <c r="E70" s="286" t="s">
        <v>35</v>
      </c>
      <c r="F70" s="270">
        <v>0.97256946479999995</v>
      </c>
      <c r="G70" s="271"/>
      <c r="H70" s="272">
        <v>0.97256946479999995</v>
      </c>
      <c r="I70" s="286"/>
      <c r="J70" s="309">
        <v>0.97256946479999995</v>
      </c>
      <c r="K70" s="274">
        <v>0</v>
      </c>
      <c r="L70" s="303" t="s">
        <v>30</v>
      </c>
      <c r="M70" s="1237">
        <v>1.5319186812000001</v>
      </c>
      <c r="N70" s="1239">
        <v>0</v>
      </c>
      <c r="O70" s="1228">
        <v>1.5319186812000001</v>
      </c>
      <c r="P70" s="1226">
        <v>0</v>
      </c>
      <c r="Q70" s="1228">
        <v>1.5319186812000001</v>
      </c>
      <c r="R70" s="1230">
        <v>0</v>
      </c>
    </row>
    <row r="71" spans="1:18" hidden="1">
      <c r="A71" s="1276"/>
      <c r="B71" s="1272"/>
      <c r="C71" s="1197"/>
      <c r="D71" s="1235">
        <v>4.0591379999999999E-4</v>
      </c>
      <c r="E71" s="286" t="s">
        <v>96</v>
      </c>
      <c r="F71" s="270">
        <v>0.55934921640000002</v>
      </c>
      <c r="G71" s="271"/>
      <c r="H71" s="272">
        <v>1.5319186812000001</v>
      </c>
      <c r="I71" s="286"/>
      <c r="J71" s="309">
        <v>1.5319186812000001</v>
      </c>
      <c r="K71" s="274">
        <v>0</v>
      </c>
      <c r="L71" s="303" t="s">
        <v>30</v>
      </c>
      <c r="M71" s="1237"/>
      <c r="N71" s="1239"/>
      <c r="O71" s="1228"/>
      <c r="P71" s="1226"/>
      <c r="Q71" s="1228"/>
      <c r="R71" s="1230"/>
    </row>
    <row r="72" spans="1:18" hidden="1">
      <c r="A72" s="1276"/>
      <c r="B72" s="1272" t="s">
        <v>292</v>
      </c>
      <c r="C72" s="1197" t="s">
        <v>293</v>
      </c>
      <c r="D72" s="1235">
        <v>6.4659199999999998E-4</v>
      </c>
      <c r="E72" s="286" t="s">
        <v>35</v>
      </c>
      <c r="F72" s="270">
        <v>1.549234432</v>
      </c>
      <c r="G72" s="271"/>
      <c r="H72" s="272">
        <v>1.549234432</v>
      </c>
      <c r="I72" s="286">
        <v>2.3530000000000002</v>
      </c>
      <c r="J72" s="309">
        <v>-0.80376556800000021</v>
      </c>
      <c r="K72" s="274">
        <v>1.5188146812373455</v>
      </c>
      <c r="L72" s="303" t="s">
        <v>30</v>
      </c>
      <c r="M72" s="1237">
        <v>2.4402382080000002</v>
      </c>
      <c r="N72" s="1239">
        <v>0</v>
      </c>
      <c r="O72" s="1228">
        <v>2.4402382080000002</v>
      </c>
      <c r="P72" s="1226">
        <v>2.3530000000000002</v>
      </c>
      <c r="Q72" s="1228">
        <v>8.7238208000000039E-2</v>
      </c>
      <c r="R72" s="1230">
        <v>0.96425012619095918</v>
      </c>
    </row>
    <row r="73" spans="1:18" hidden="1">
      <c r="A73" s="1276"/>
      <c r="B73" s="1272"/>
      <c r="C73" s="1197"/>
      <c r="D73" s="1235">
        <v>6.4659199999999998E-4</v>
      </c>
      <c r="E73" s="286" t="s">
        <v>96</v>
      </c>
      <c r="F73" s="270">
        <v>0.89100377600000003</v>
      </c>
      <c r="G73" s="271"/>
      <c r="H73" s="272">
        <v>8.7238207999999817E-2</v>
      </c>
      <c r="I73" s="286"/>
      <c r="J73" s="309">
        <v>8.7238207999999817E-2</v>
      </c>
      <c r="K73" s="274">
        <v>0</v>
      </c>
      <c r="L73" s="303" t="s">
        <v>30</v>
      </c>
      <c r="M73" s="1237"/>
      <c r="N73" s="1239"/>
      <c r="O73" s="1228"/>
      <c r="P73" s="1226"/>
      <c r="Q73" s="1228"/>
      <c r="R73" s="1230"/>
    </row>
    <row r="74" spans="1:18" hidden="1">
      <c r="A74" s="1276"/>
      <c r="B74" s="1272" t="s">
        <v>294</v>
      </c>
      <c r="C74" s="1197" t="s">
        <v>295</v>
      </c>
      <c r="D74" s="1235">
        <v>6.8654809999999997E-4</v>
      </c>
      <c r="E74" s="286" t="s">
        <v>35</v>
      </c>
      <c r="F74" s="270">
        <v>1.6449692476</v>
      </c>
      <c r="G74" s="271"/>
      <c r="H74" s="272">
        <v>1.6449692476</v>
      </c>
      <c r="I74" s="286">
        <v>0.46</v>
      </c>
      <c r="J74" s="309">
        <v>1.1849692476</v>
      </c>
      <c r="K74" s="274">
        <v>0.2796404860888051</v>
      </c>
      <c r="L74" s="303" t="s">
        <v>30</v>
      </c>
      <c r="M74" s="1237">
        <v>2.5910325294000001</v>
      </c>
      <c r="N74" s="1239">
        <v>0</v>
      </c>
      <c r="O74" s="1228">
        <v>2.5910325294000001</v>
      </c>
      <c r="P74" s="1226">
        <v>0.46</v>
      </c>
      <c r="Q74" s="1228">
        <v>2.1310325294000001</v>
      </c>
      <c r="R74" s="1230">
        <v>0.17753540134307819</v>
      </c>
    </row>
    <row r="75" spans="1:18" hidden="1">
      <c r="A75" s="1276"/>
      <c r="B75" s="1272"/>
      <c r="C75" s="1197"/>
      <c r="D75" s="1235">
        <v>6.8654809999999997E-4</v>
      </c>
      <c r="E75" s="286" t="s">
        <v>96</v>
      </c>
      <c r="F75" s="270">
        <v>0.94606328179999999</v>
      </c>
      <c r="G75" s="271"/>
      <c r="H75" s="272">
        <v>2.1310325294000001</v>
      </c>
      <c r="I75" s="286"/>
      <c r="J75" s="309">
        <v>2.1310325294000001</v>
      </c>
      <c r="K75" s="274">
        <v>0</v>
      </c>
      <c r="L75" s="303" t="s">
        <v>30</v>
      </c>
      <c r="M75" s="1237"/>
      <c r="N75" s="1239"/>
      <c r="O75" s="1228"/>
      <c r="P75" s="1226"/>
      <c r="Q75" s="1228"/>
      <c r="R75" s="1230"/>
    </row>
    <row r="76" spans="1:18" hidden="1">
      <c r="A76" s="1276"/>
      <c r="B76" s="1272" t="s">
        <v>296</v>
      </c>
      <c r="C76" s="1197" t="s">
        <v>297</v>
      </c>
      <c r="D76" s="1235">
        <v>1.4832458000000001E-3</v>
      </c>
      <c r="E76" s="286" t="s">
        <v>35</v>
      </c>
      <c r="F76" s="270">
        <v>3.5538569368000004</v>
      </c>
      <c r="G76" s="271"/>
      <c r="H76" s="272">
        <v>3.5538569368000004</v>
      </c>
      <c r="I76" s="286"/>
      <c r="J76" s="309">
        <v>3.5538569368000004</v>
      </c>
      <c r="K76" s="274">
        <v>0</v>
      </c>
      <c r="L76" s="303" t="s">
        <v>30</v>
      </c>
      <c r="M76" s="1237">
        <v>5.5977696492</v>
      </c>
      <c r="N76" s="1239">
        <v>0</v>
      </c>
      <c r="O76" s="1228">
        <v>5.5977696492</v>
      </c>
      <c r="P76" s="1226">
        <v>0</v>
      </c>
      <c r="Q76" s="1228">
        <v>5.5977696492</v>
      </c>
      <c r="R76" s="1230">
        <v>0</v>
      </c>
    </row>
    <row r="77" spans="1:18" hidden="1">
      <c r="A77" s="1276"/>
      <c r="B77" s="1272"/>
      <c r="C77" s="1197"/>
      <c r="D77" s="1235">
        <v>1.4832458000000001E-3</v>
      </c>
      <c r="E77" s="286" t="s">
        <v>96</v>
      </c>
      <c r="F77" s="270">
        <v>2.0439127124000001</v>
      </c>
      <c r="G77" s="271"/>
      <c r="H77" s="272">
        <v>5.5977696492</v>
      </c>
      <c r="I77" s="286"/>
      <c r="J77" s="309">
        <v>5.5977696492</v>
      </c>
      <c r="K77" s="274">
        <v>0</v>
      </c>
      <c r="L77" s="303" t="s">
        <v>30</v>
      </c>
      <c r="M77" s="1237"/>
      <c r="N77" s="1239"/>
      <c r="O77" s="1228"/>
      <c r="P77" s="1226"/>
      <c r="Q77" s="1228"/>
      <c r="R77" s="1230"/>
    </row>
    <row r="78" spans="1:18">
      <c r="A78" s="1276"/>
      <c r="B78" s="1273" t="s">
        <v>298</v>
      </c>
      <c r="C78" s="1206" t="s">
        <v>299</v>
      </c>
      <c r="D78" s="1247">
        <v>2.0477631999999998E-3</v>
      </c>
      <c r="E78" s="286" t="s">
        <v>35</v>
      </c>
      <c r="F78" s="270">
        <v>4.9064406271999994</v>
      </c>
      <c r="G78" s="300">
        <v>-7.7279999999999998</v>
      </c>
      <c r="H78" s="272">
        <v>-2.8215593728000004</v>
      </c>
      <c r="I78" s="286"/>
      <c r="J78" s="309">
        <v>-2.8215593728000004</v>
      </c>
      <c r="K78" s="274">
        <v>0</v>
      </c>
      <c r="L78" s="302">
        <v>43508</v>
      </c>
      <c r="M78" s="1237">
        <v>7.728258316799999</v>
      </c>
      <c r="N78" s="1239">
        <v>-7.7279999999999998</v>
      </c>
      <c r="O78" s="1228">
        <v>2.583167999992142E-4</v>
      </c>
      <c r="P78" s="1226">
        <v>0</v>
      </c>
      <c r="Q78" s="1228">
        <v>2.583167999992142E-4</v>
      </c>
      <c r="R78" s="1230">
        <v>0</v>
      </c>
    </row>
    <row r="79" spans="1:18">
      <c r="A79" s="1276"/>
      <c r="B79" s="1274"/>
      <c r="C79" s="1206"/>
      <c r="D79" s="1247">
        <v>2.0477631999999998E-3</v>
      </c>
      <c r="E79" s="286" t="s">
        <v>96</v>
      </c>
      <c r="F79" s="270">
        <v>2.8218176895999996</v>
      </c>
      <c r="G79" s="271"/>
      <c r="H79" s="272">
        <v>2.583167999992142E-4</v>
      </c>
      <c r="I79" s="286"/>
      <c r="J79" s="309">
        <v>2.583167999992142E-4</v>
      </c>
      <c r="K79" s="274">
        <v>0</v>
      </c>
      <c r="L79" s="302">
        <v>43508</v>
      </c>
      <c r="M79" s="1237"/>
      <c r="N79" s="1239"/>
      <c r="O79" s="1228"/>
      <c r="P79" s="1226"/>
      <c r="Q79" s="1228"/>
      <c r="R79" s="1230"/>
    </row>
    <row r="80" spans="1:18" hidden="1">
      <c r="A80" s="1276"/>
      <c r="B80" s="1260" t="s">
        <v>300</v>
      </c>
      <c r="C80" s="1206" t="s">
        <v>301</v>
      </c>
      <c r="D80" s="1247">
        <v>2.4852228999999999E-3</v>
      </c>
      <c r="E80" s="286" t="s">
        <v>35</v>
      </c>
      <c r="F80" s="270">
        <v>5.9545940683999996</v>
      </c>
      <c r="G80" s="300">
        <v>-5</v>
      </c>
      <c r="H80" s="272">
        <v>0.95459406839999961</v>
      </c>
      <c r="I80" s="286"/>
      <c r="J80" s="309">
        <v>0.95459406839999961</v>
      </c>
      <c r="K80" s="274">
        <v>0</v>
      </c>
      <c r="L80" s="303" t="s">
        <v>30</v>
      </c>
      <c r="M80" s="1237">
        <v>9.3792312245999998</v>
      </c>
      <c r="N80" s="1239">
        <v>-5</v>
      </c>
      <c r="O80" s="1228">
        <v>4.3792312245999998</v>
      </c>
      <c r="P80" s="1226">
        <v>0</v>
      </c>
      <c r="Q80" s="1228">
        <v>4.3792312245999998</v>
      </c>
      <c r="R80" s="1230">
        <v>0</v>
      </c>
    </row>
    <row r="81" spans="1:18" hidden="1">
      <c r="A81" s="1276"/>
      <c r="B81" s="1261"/>
      <c r="C81" s="1206"/>
      <c r="D81" s="1247">
        <v>2.4852228999999999E-3</v>
      </c>
      <c r="E81" s="286" t="s">
        <v>96</v>
      </c>
      <c r="F81" s="270">
        <v>3.4246371561999998</v>
      </c>
      <c r="G81" s="271"/>
      <c r="H81" s="272">
        <v>4.3792312245999998</v>
      </c>
      <c r="I81" s="286"/>
      <c r="J81" s="309">
        <v>4.3792312245999998</v>
      </c>
      <c r="K81" s="274">
        <v>0</v>
      </c>
      <c r="L81" s="303" t="s">
        <v>30</v>
      </c>
      <c r="M81" s="1237"/>
      <c r="N81" s="1239"/>
      <c r="O81" s="1228"/>
      <c r="P81" s="1226"/>
      <c r="Q81" s="1228"/>
      <c r="R81" s="1230"/>
    </row>
    <row r="82" spans="1:18">
      <c r="A82" s="1276"/>
      <c r="B82" s="1270" t="s">
        <v>302</v>
      </c>
      <c r="C82" s="1206" t="s">
        <v>303</v>
      </c>
      <c r="D82" s="1247">
        <v>2.4980152000000002E-3</v>
      </c>
      <c r="E82" s="286" t="s">
        <v>35</v>
      </c>
      <c r="F82" s="270">
        <v>5.9852444192000007</v>
      </c>
      <c r="G82" s="300">
        <v>-9.4269999999999996</v>
      </c>
      <c r="H82" s="272">
        <v>-3.4417555807999989</v>
      </c>
      <c r="I82" s="286">
        <v>0.27</v>
      </c>
      <c r="J82" s="309">
        <v>-3.7117555807999989</v>
      </c>
      <c r="K82" s="274">
        <v>-7.8448336513553776E-2</v>
      </c>
      <c r="L82" s="302">
        <v>43508</v>
      </c>
      <c r="M82" s="1258">
        <v>9.4275093648000006</v>
      </c>
      <c r="N82" s="1259">
        <v>-9.4269999999999996</v>
      </c>
      <c r="O82" s="1256">
        <v>5.0936480000096651E-4</v>
      </c>
      <c r="P82" s="1255">
        <v>0.27</v>
      </c>
      <c r="Q82" s="1256">
        <v>-0.26949063519999905</v>
      </c>
      <c r="R82" s="1257">
        <v>530.0719641394295</v>
      </c>
    </row>
    <row r="83" spans="1:18">
      <c r="A83" s="1276"/>
      <c r="B83" s="1263"/>
      <c r="C83" s="1206"/>
      <c r="D83" s="1247">
        <v>2.4980152000000002E-3</v>
      </c>
      <c r="E83" s="286" t="s">
        <v>96</v>
      </c>
      <c r="F83" s="270">
        <v>3.4422649456000003</v>
      </c>
      <c r="G83" s="271"/>
      <c r="H83" s="272">
        <v>-0.26949063519999861</v>
      </c>
      <c r="I83" s="286"/>
      <c r="J83" s="309">
        <v>-0.26949063519999861</v>
      </c>
      <c r="K83" s="274">
        <v>0</v>
      </c>
      <c r="L83" s="302">
        <v>43508</v>
      </c>
      <c r="M83" s="1258"/>
      <c r="N83" s="1259"/>
      <c r="O83" s="1256"/>
      <c r="P83" s="1255"/>
      <c r="Q83" s="1256"/>
      <c r="R83" s="1257"/>
    </row>
    <row r="84" spans="1:18" hidden="1">
      <c r="A84" s="1276"/>
      <c r="B84" s="1272" t="s">
        <v>304</v>
      </c>
      <c r="C84" s="1197" t="s">
        <v>305</v>
      </c>
      <c r="D84" s="1235">
        <v>1.4015631E-3</v>
      </c>
      <c r="E84" s="286" t="s">
        <v>35</v>
      </c>
      <c r="F84" s="270">
        <v>3.3581451875999999</v>
      </c>
      <c r="G84" s="271"/>
      <c r="H84" s="272">
        <v>3.3581451875999999</v>
      </c>
      <c r="I84" s="304"/>
      <c r="J84" s="309">
        <v>3.3581451875999999</v>
      </c>
      <c r="K84" s="274">
        <v>0</v>
      </c>
      <c r="L84" s="303" t="s">
        <v>30</v>
      </c>
      <c r="M84" s="1237">
        <v>5.2894991394000002</v>
      </c>
      <c r="N84" s="1239">
        <v>0</v>
      </c>
      <c r="O84" s="1228">
        <v>5.2894991394000002</v>
      </c>
      <c r="P84" s="1226">
        <v>0</v>
      </c>
      <c r="Q84" s="1228">
        <v>5.2894991394000002</v>
      </c>
      <c r="R84" s="1230">
        <v>0</v>
      </c>
    </row>
    <row r="85" spans="1:18" hidden="1">
      <c r="A85" s="1276"/>
      <c r="B85" s="1272"/>
      <c r="C85" s="1197"/>
      <c r="D85" s="1235">
        <v>1.4015631E-3</v>
      </c>
      <c r="E85" s="286" t="s">
        <v>96</v>
      </c>
      <c r="F85" s="270">
        <v>1.9313539518</v>
      </c>
      <c r="G85" s="271"/>
      <c r="H85" s="272">
        <v>5.2894991394000002</v>
      </c>
      <c r="I85" s="286"/>
      <c r="J85" s="309">
        <v>5.2894991394000002</v>
      </c>
      <c r="K85" s="274">
        <v>0</v>
      </c>
      <c r="L85" s="303" t="s">
        <v>30</v>
      </c>
      <c r="M85" s="1237"/>
      <c r="N85" s="1239"/>
      <c r="O85" s="1228"/>
      <c r="P85" s="1226"/>
      <c r="Q85" s="1228"/>
      <c r="R85" s="1230"/>
    </row>
    <row r="86" spans="1:18" hidden="1">
      <c r="A86" s="1276"/>
      <c r="B86" s="1272" t="s">
        <v>306</v>
      </c>
      <c r="C86" s="1197" t="s">
        <v>307</v>
      </c>
      <c r="D86" s="1235">
        <v>4.7307310000000002E-3</v>
      </c>
      <c r="E86" s="286" t="s">
        <v>35</v>
      </c>
      <c r="F86" s="270">
        <v>11.334831476</v>
      </c>
      <c r="G86" s="256"/>
      <c r="H86" s="253">
        <v>11.334831476</v>
      </c>
      <c r="I86" s="310"/>
      <c r="J86" s="311">
        <v>11.334831476</v>
      </c>
      <c r="K86" s="274">
        <v>0</v>
      </c>
      <c r="L86" s="303" t="s">
        <v>30</v>
      </c>
      <c r="M86" s="1237">
        <v>17.853778794</v>
      </c>
      <c r="N86" s="1239">
        <v>0</v>
      </c>
      <c r="O86" s="1228">
        <v>17.853778794</v>
      </c>
      <c r="P86" s="1226">
        <v>0</v>
      </c>
      <c r="Q86" s="1228">
        <v>17.853778794</v>
      </c>
      <c r="R86" s="1230">
        <v>0</v>
      </c>
    </row>
    <row r="87" spans="1:18" hidden="1">
      <c r="A87" s="1276"/>
      <c r="B87" s="1272"/>
      <c r="C87" s="1197"/>
      <c r="D87" s="1235">
        <v>4.7307310000000002E-3</v>
      </c>
      <c r="E87" s="286" t="s">
        <v>96</v>
      </c>
      <c r="F87" s="270">
        <v>6.5189473180000004</v>
      </c>
      <c r="G87" s="256"/>
      <c r="H87" s="253">
        <v>17.853778794</v>
      </c>
      <c r="I87" s="310"/>
      <c r="J87" s="311">
        <v>17.853778794</v>
      </c>
      <c r="K87" s="274">
        <v>0</v>
      </c>
      <c r="L87" s="303" t="s">
        <v>30</v>
      </c>
      <c r="M87" s="1237"/>
      <c r="N87" s="1239"/>
      <c r="O87" s="1228"/>
      <c r="P87" s="1226"/>
      <c r="Q87" s="1228"/>
      <c r="R87" s="1230"/>
    </row>
    <row r="88" spans="1:18" hidden="1">
      <c r="A88" s="1276"/>
      <c r="B88" s="1272" t="s">
        <v>403</v>
      </c>
      <c r="C88" s="1197" t="s">
        <v>308</v>
      </c>
      <c r="D88" s="1235">
        <v>3.8237229999999998E-3</v>
      </c>
      <c r="E88" s="286" t="s">
        <v>35</v>
      </c>
      <c r="F88" s="270">
        <v>9.1616403079999991</v>
      </c>
      <c r="G88" s="271"/>
      <c r="H88" s="272">
        <v>9.1616403079999991</v>
      </c>
      <c r="I88" s="304"/>
      <c r="J88" s="309">
        <v>9.1616403079999991</v>
      </c>
      <c r="K88" s="274">
        <v>0</v>
      </c>
      <c r="L88" s="303" t="s">
        <v>30</v>
      </c>
      <c r="M88" s="1237">
        <v>14.430730601999999</v>
      </c>
      <c r="N88" s="1239">
        <v>0</v>
      </c>
      <c r="O88" s="1228">
        <v>14.430730601999999</v>
      </c>
      <c r="P88" s="1226">
        <v>0</v>
      </c>
      <c r="Q88" s="1228">
        <v>14.430730601999999</v>
      </c>
      <c r="R88" s="1230">
        <v>0</v>
      </c>
    </row>
    <row r="89" spans="1:18" hidden="1">
      <c r="A89" s="1276"/>
      <c r="B89" s="1272"/>
      <c r="C89" s="1197"/>
      <c r="D89" s="1235">
        <v>3.8237229999999998E-3</v>
      </c>
      <c r="E89" s="286" t="s">
        <v>96</v>
      </c>
      <c r="F89" s="270">
        <v>5.2690902939999997</v>
      </c>
      <c r="G89" s="271"/>
      <c r="H89" s="272">
        <v>14.430730601999999</v>
      </c>
      <c r="I89" s="286"/>
      <c r="J89" s="309">
        <v>14.430730601999999</v>
      </c>
      <c r="K89" s="274">
        <v>0</v>
      </c>
      <c r="L89" s="303" t="s">
        <v>30</v>
      </c>
      <c r="M89" s="1237"/>
      <c r="N89" s="1239"/>
      <c r="O89" s="1228"/>
      <c r="P89" s="1226"/>
      <c r="Q89" s="1228"/>
      <c r="R89" s="1230"/>
    </row>
    <row r="90" spans="1:18">
      <c r="A90" s="1276"/>
      <c r="B90" s="1273" t="s">
        <v>309</v>
      </c>
      <c r="C90" s="1206" t="s">
        <v>310</v>
      </c>
      <c r="D90" s="1247">
        <v>1.8094541000000001E-3</v>
      </c>
      <c r="E90" s="286" t="s">
        <v>35</v>
      </c>
      <c r="F90" s="270">
        <v>4.3354520236000003</v>
      </c>
      <c r="G90" s="300">
        <v>-17.853999999999999</v>
      </c>
      <c r="H90" s="272">
        <v>-13.518547976399999</v>
      </c>
      <c r="I90" s="304"/>
      <c r="J90" s="309">
        <v>-13.518547976399999</v>
      </c>
      <c r="K90" s="274">
        <v>0</v>
      </c>
      <c r="L90" s="302">
        <v>43508</v>
      </c>
      <c r="M90" s="1237">
        <v>6.8288797734000006</v>
      </c>
      <c r="N90" s="1239">
        <v>-17.853999999999999</v>
      </c>
      <c r="O90" s="1228">
        <v>-11.025120226599999</v>
      </c>
      <c r="P90" s="1226">
        <v>0</v>
      </c>
      <c r="Q90" s="1228">
        <v>-11.025120226599999</v>
      </c>
      <c r="R90" s="1230">
        <v>0</v>
      </c>
    </row>
    <row r="91" spans="1:18">
      <c r="A91" s="1276"/>
      <c r="B91" s="1274"/>
      <c r="C91" s="1206"/>
      <c r="D91" s="1247">
        <v>1.8094541000000001E-3</v>
      </c>
      <c r="E91" s="286" t="s">
        <v>96</v>
      </c>
      <c r="F91" s="270">
        <v>2.4934277497999999</v>
      </c>
      <c r="G91" s="271"/>
      <c r="H91" s="272">
        <v>-11.025120226599999</v>
      </c>
      <c r="I91" s="286"/>
      <c r="J91" s="309">
        <v>-11.025120226599999</v>
      </c>
      <c r="K91" s="274">
        <v>0</v>
      </c>
      <c r="L91" s="302">
        <v>43508</v>
      </c>
      <c r="M91" s="1237"/>
      <c r="N91" s="1239"/>
      <c r="O91" s="1228"/>
      <c r="P91" s="1226"/>
      <c r="Q91" s="1228"/>
      <c r="R91" s="1230"/>
    </row>
    <row r="92" spans="1:18" hidden="1">
      <c r="A92" s="1276"/>
      <c r="B92" s="1260" t="s">
        <v>311</v>
      </c>
      <c r="C92" s="1206" t="s">
        <v>312</v>
      </c>
      <c r="D92" s="1247">
        <v>1.3139868000000001E-2</v>
      </c>
      <c r="E92" s="286" t="s">
        <v>35</v>
      </c>
      <c r="F92" s="270">
        <v>31.483123728000002</v>
      </c>
      <c r="G92" s="300">
        <v>-44.368000000000002</v>
      </c>
      <c r="H92" s="272">
        <v>-12.884876272</v>
      </c>
      <c r="I92" s="286"/>
      <c r="J92" s="309">
        <v>-12.884876272</v>
      </c>
      <c r="K92" s="274">
        <v>0</v>
      </c>
      <c r="L92" s="303" t="s">
        <v>30</v>
      </c>
      <c r="M92" s="1237">
        <v>49.589861832000004</v>
      </c>
      <c r="N92" s="1239">
        <v>-44.368000000000002</v>
      </c>
      <c r="O92" s="1228">
        <v>5.2218618320000019</v>
      </c>
      <c r="P92" s="1226">
        <v>0</v>
      </c>
      <c r="Q92" s="1228">
        <v>5.2218618320000019</v>
      </c>
      <c r="R92" s="1230">
        <v>0</v>
      </c>
    </row>
    <row r="93" spans="1:18" hidden="1">
      <c r="A93" s="1276"/>
      <c r="B93" s="1261"/>
      <c r="C93" s="1206"/>
      <c r="D93" s="1247">
        <v>1.3139868000000001E-2</v>
      </c>
      <c r="E93" s="286" t="s">
        <v>96</v>
      </c>
      <c r="F93" s="270">
        <v>18.106738104000001</v>
      </c>
      <c r="G93" s="271"/>
      <c r="H93" s="272">
        <v>5.2218618320000019</v>
      </c>
      <c r="I93" s="286"/>
      <c r="J93" s="309">
        <v>5.2218618320000019</v>
      </c>
      <c r="K93" s="274">
        <v>0</v>
      </c>
      <c r="L93" s="303" t="s">
        <v>30</v>
      </c>
      <c r="M93" s="1237"/>
      <c r="N93" s="1239"/>
      <c r="O93" s="1228"/>
      <c r="P93" s="1226"/>
      <c r="Q93" s="1228"/>
      <c r="R93" s="1230"/>
    </row>
    <row r="94" spans="1:18" hidden="1">
      <c r="A94" s="1276"/>
      <c r="B94" s="1264" t="s">
        <v>402</v>
      </c>
      <c r="C94" s="1252" t="s">
        <v>313</v>
      </c>
      <c r="D94" s="1253">
        <v>9.1363445000000008E-3</v>
      </c>
      <c r="E94" s="286" t="s">
        <v>35</v>
      </c>
      <c r="F94" s="270">
        <v>21.890681422000004</v>
      </c>
      <c r="G94" s="288">
        <v>-34.481000000000002</v>
      </c>
      <c r="H94" s="272">
        <v>-12.590318577999998</v>
      </c>
      <c r="I94" s="286"/>
      <c r="J94" s="309">
        <v>-12.590318577999998</v>
      </c>
      <c r="K94" s="274">
        <v>0</v>
      </c>
      <c r="L94" s="289">
        <v>43508</v>
      </c>
      <c r="M94" s="1266">
        <v>34.480564143000002</v>
      </c>
      <c r="N94" s="1267">
        <v>-34.481000000000002</v>
      </c>
      <c r="O94" s="1268">
        <v>-4.3585699999937333E-4</v>
      </c>
      <c r="P94" s="1269">
        <v>0</v>
      </c>
      <c r="Q94" s="1268">
        <v>-4.3585699999937333E-4</v>
      </c>
      <c r="R94" s="1271">
        <v>0</v>
      </c>
    </row>
    <row r="95" spans="1:18" hidden="1">
      <c r="A95" s="1276"/>
      <c r="B95" s="1265"/>
      <c r="C95" s="1252"/>
      <c r="D95" s="1253">
        <v>9.1363445000000008E-3</v>
      </c>
      <c r="E95" s="286" t="s">
        <v>96</v>
      </c>
      <c r="F95" s="270">
        <v>12.589882721</v>
      </c>
      <c r="G95" s="271"/>
      <c r="H95" s="272">
        <v>-4.3585699999759697E-4</v>
      </c>
      <c r="I95" s="286"/>
      <c r="J95" s="309">
        <v>-4.3585699999759697E-4</v>
      </c>
      <c r="K95" s="274">
        <v>0</v>
      </c>
      <c r="L95" s="289">
        <v>43508</v>
      </c>
      <c r="M95" s="1266"/>
      <c r="N95" s="1267"/>
      <c r="O95" s="1268"/>
      <c r="P95" s="1269"/>
      <c r="Q95" s="1268"/>
      <c r="R95" s="1271"/>
    </row>
    <row r="96" spans="1:18" hidden="1">
      <c r="A96" s="1276"/>
      <c r="B96" s="1272" t="s">
        <v>314</v>
      </c>
      <c r="C96" s="1197" t="s">
        <v>315</v>
      </c>
      <c r="D96" s="1235">
        <v>5.9917915000000004E-3</v>
      </c>
      <c r="E96" s="286" t="s">
        <v>35</v>
      </c>
      <c r="F96" s="270">
        <v>14.356332434</v>
      </c>
      <c r="G96" s="271"/>
      <c r="H96" s="272">
        <v>14.356332434</v>
      </c>
      <c r="I96" s="286"/>
      <c r="J96" s="309">
        <v>14.356332434</v>
      </c>
      <c r="K96" s="274">
        <v>0</v>
      </c>
      <c r="L96" s="303" t="s">
        <v>30</v>
      </c>
      <c r="M96" s="1237">
        <v>22.613021121000003</v>
      </c>
      <c r="N96" s="1239">
        <v>0</v>
      </c>
      <c r="O96" s="1228">
        <v>22.613021121000003</v>
      </c>
      <c r="P96" s="1226">
        <v>0</v>
      </c>
      <c r="Q96" s="1228">
        <v>22.613021121000003</v>
      </c>
      <c r="R96" s="1230">
        <v>0</v>
      </c>
    </row>
    <row r="97" spans="1:18" hidden="1">
      <c r="A97" s="1276"/>
      <c r="B97" s="1272"/>
      <c r="C97" s="1197"/>
      <c r="D97" s="1235">
        <v>5.9917915000000004E-3</v>
      </c>
      <c r="E97" s="286" t="s">
        <v>96</v>
      </c>
      <c r="F97" s="270">
        <v>8.2566886870000005</v>
      </c>
      <c r="G97" s="271"/>
      <c r="H97" s="272">
        <v>22.613021121000003</v>
      </c>
      <c r="I97" s="286"/>
      <c r="J97" s="309">
        <v>22.613021121000003</v>
      </c>
      <c r="K97" s="274">
        <v>0</v>
      </c>
      <c r="L97" s="303" t="s">
        <v>30</v>
      </c>
      <c r="M97" s="1237"/>
      <c r="N97" s="1239"/>
      <c r="O97" s="1228"/>
      <c r="P97" s="1226"/>
      <c r="Q97" s="1228"/>
      <c r="R97" s="1230"/>
    </row>
    <row r="98" spans="1:18">
      <c r="A98" s="1276"/>
      <c r="B98" s="1270" t="s">
        <v>316</v>
      </c>
      <c r="C98" s="1206" t="s">
        <v>317</v>
      </c>
      <c r="D98" s="1247">
        <v>1.1902403799999999E-2</v>
      </c>
      <c r="E98" s="286" t="s">
        <v>35</v>
      </c>
      <c r="F98" s="270">
        <v>28.518159504799996</v>
      </c>
      <c r="G98" s="300">
        <v>-49.555999999999997</v>
      </c>
      <c r="H98" s="272">
        <v>-21.037840495200001</v>
      </c>
      <c r="I98" s="286"/>
      <c r="J98" s="309">
        <v>-21.037840495200001</v>
      </c>
      <c r="K98" s="274">
        <v>0</v>
      </c>
      <c r="L98" s="302">
        <v>43508</v>
      </c>
      <c r="M98" s="1258">
        <v>44.919671941199994</v>
      </c>
      <c r="N98" s="1259">
        <v>-49.555999999999997</v>
      </c>
      <c r="O98" s="1256">
        <v>-4.6363280588000038</v>
      </c>
      <c r="P98" s="1255">
        <v>0</v>
      </c>
      <c r="Q98" s="1256">
        <v>-4.6363280588000038</v>
      </c>
      <c r="R98" s="1257">
        <v>0</v>
      </c>
    </row>
    <row r="99" spans="1:18">
      <c r="A99" s="1276"/>
      <c r="B99" s="1263"/>
      <c r="C99" s="1206"/>
      <c r="D99" s="1247">
        <v>1.1902403799999999E-2</v>
      </c>
      <c r="E99" s="286" t="s">
        <v>96</v>
      </c>
      <c r="F99" s="270">
        <v>16.401512436399997</v>
      </c>
      <c r="G99" s="271"/>
      <c r="H99" s="272">
        <v>-4.6363280588000038</v>
      </c>
      <c r="I99" s="286"/>
      <c r="J99" s="309">
        <v>-4.6363280588000038</v>
      </c>
      <c r="K99" s="274">
        <v>0</v>
      </c>
      <c r="L99" s="302">
        <v>43508</v>
      </c>
      <c r="M99" s="1258"/>
      <c r="N99" s="1259"/>
      <c r="O99" s="1256"/>
      <c r="P99" s="1255"/>
      <c r="Q99" s="1256"/>
      <c r="R99" s="1257"/>
    </row>
    <row r="100" spans="1:18" hidden="1">
      <c r="A100" s="1276"/>
      <c r="B100" s="1264" t="s">
        <v>420</v>
      </c>
      <c r="C100" s="1252" t="s">
        <v>318</v>
      </c>
      <c r="D100" s="1253">
        <v>1.22429215E-2</v>
      </c>
      <c r="E100" s="286" t="s">
        <v>35</v>
      </c>
      <c r="F100" s="270">
        <v>29.334039914000002</v>
      </c>
      <c r="G100" s="288">
        <v>-46.204999999999998</v>
      </c>
      <c r="H100" s="272">
        <v>-16.870960085999997</v>
      </c>
      <c r="I100" s="286"/>
      <c r="J100" s="309">
        <v>-16.870960085999997</v>
      </c>
      <c r="K100" s="274">
        <v>0</v>
      </c>
      <c r="L100" s="289">
        <v>43508</v>
      </c>
      <c r="M100" s="1266">
        <v>46.204785741000002</v>
      </c>
      <c r="N100" s="1267">
        <v>-46.204999999999998</v>
      </c>
      <c r="O100" s="1268">
        <v>-2.1425899999627518E-4</v>
      </c>
      <c r="P100" s="1269">
        <v>0</v>
      </c>
      <c r="Q100" s="1268">
        <v>-2.1425899999627518E-4</v>
      </c>
      <c r="R100" s="1271">
        <v>0</v>
      </c>
    </row>
    <row r="101" spans="1:18" hidden="1">
      <c r="A101" s="1276"/>
      <c r="B101" s="1265"/>
      <c r="C101" s="1252"/>
      <c r="D101" s="1253">
        <v>1.22429215E-2</v>
      </c>
      <c r="E101" s="286" t="s">
        <v>96</v>
      </c>
      <c r="F101" s="270">
        <v>16.870745827</v>
      </c>
      <c r="G101" s="271"/>
      <c r="H101" s="272">
        <v>-2.1425899999627518E-4</v>
      </c>
      <c r="I101" s="286"/>
      <c r="J101" s="309">
        <v>-2.1425899999627518E-4</v>
      </c>
      <c r="K101" s="274">
        <v>0</v>
      </c>
      <c r="L101" s="289">
        <v>43508</v>
      </c>
      <c r="M101" s="1266"/>
      <c r="N101" s="1267"/>
      <c r="O101" s="1268"/>
      <c r="P101" s="1269"/>
      <c r="Q101" s="1268"/>
      <c r="R101" s="1271"/>
    </row>
    <row r="102" spans="1:18">
      <c r="A102" s="1276"/>
      <c r="B102" s="1263" t="s">
        <v>319</v>
      </c>
      <c r="C102" s="1206" t="s">
        <v>320</v>
      </c>
      <c r="D102" s="1247">
        <v>2.2524875E-2</v>
      </c>
      <c r="E102" s="286" t="s">
        <v>35</v>
      </c>
      <c r="F102" s="270">
        <v>53.969600499999999</v>
      </c>
      <c r="G102" s="300">
        <v>-86.635000000000005</v>
      </c>
      <c r="H102" s="272">
        <v>-32.665399500000007</v>
      </c>
      <c r="I102" s="286"/>
      <c r="J102" s="309">
        <v>-32.665399500000007</v>
      </c>
      <c r="K102" s="274">
        <v>0</v>
      </c>
      <c r="L102" s="302">
        <v>43508</v>
      </c>
      <c r="M102" s="1237">
        <v>85.008878249999995</v>
      </c>
      <c r="N102" s="1239">
        <v>-86.635000000000005</v>
      </c>
      <c r="O102" s="1228">
        <v>-1.62612175000001</v>
      </c>
      <c r="P102" s="1226">
        <v>0</v>
      </c>
      <c r="Q102" s="1228">
        <v>-1.62612175000001</v>
      </c>
      <c r="R102" s="1230">
        <v>1</v>
      </c>
    </row>
    <row r="103" spans="1:18">
      <c r="A103" s="1276"/>
      <c r="B103" s="1263"/>
      <c r="C103" s="1206"/>
      <c r="D103" s="1247">
        <v>2.2940783100000001E-2</v>
      </c>
      <c r="E103" s="286" t="s">
        <v>96</v>
      </c>
      <c r="F103" s="270">
        <v>31.03927775</v>
      </c>
      <c r="G103" s="271"/>
      <c r="H103" s="272">
        <v>-1.6261217500000065</v>
      </c>
      <c r="I103" s="286"/>
      <c r="J103" s="309">
        <v>-1.6261217500000065</v>
      </c>
      <c r="K103" s="274">
        <v>0</v>
      </c>
      <c r="L103" s="302">
        <v>43508</v>
      </c>
      <c r="M103" s="1237"/>
      <c r="N103" s="1239"/>
      <c r="O103" s="1228"/>
      <c r="P103" s="1226"/>
      <c r="Q103" s="1228"/>
      <c r="R103" s="1230"/>
    </row>
    <row r="104" spans="1:18">
      <c r="A104" s="1276"/>
      <c r="B104" s="1262" t="s">
        <v>321</v>
      </c>
      <c r="C104" s="1206" t="s">
        <v>322</v>
      </c>
      <c r="D104" s="1247">
        <v>1.9612607800000001E-2</v>
      </c>
      <c r="E104" s="286" t="s">
        <v>35</v>
      </c>
      <c r="F104" s="270">
        <v>46.991808288800001</v>
      </c>
      <c r="G104" s="300">
        <v>-79.787999999999997</v>
      </c>
      <c r="H104" s="272">
        <v>-32.796191711199995</v>
      </c>
      <c r="I104" s="286"/>
      <c r="J104" s="309">
        <v>-32.796191711199995</v>
      </c>
      <c r="K104" s="274">
        <v>0</v>
      </c>
      <c r="L104" s="302">
        <v>43508</v>
      </c>
      <c r="M104" s="1237">
        <v>74.017981837200011</v>
      </c>
      <c r="N104" s="1239">
        <v>-79.787999999999997</v>
      </c>
      <c r="O104" s="1228">
        <v>-5.7700181627999854</v>
      </c>
      <c r="P104" s="1226">
        <v>0</v>
      </c>
      <c r="Q104" s="1228">
        <v>-5.7700181627999854</v>
      </c>
      <c r="R104" s="1230">
        <v>0</v>
      </c>
    </row>
    <row r="105" spans="1:18">
      <c r="A105" s="1276"/>
      <c r="B105" s="1246"/>
      <c r="C105" s="1206"/>
      <c r="D105" s="1247">
        <v>1.9612607800000001E-2</v>
      </c>
      <c r="E105" s="286" t="s">
        <v>96</v>
      </c>
      <c r="F105" s="270">
        <v>27.026173548400003</v>
      </c>
      <c r="G105" s="271"/>
      <c r="H105" s="272">
        <v>-5.7700181627999925</v>
      </c>
      <c r="I105" s="286"/>
      <c r="J105" s="309">
        <v>-5.7700181627999925</v>
      </c>
      <c r="K105" s="274">
        <v>0</v>
      </c>
      <c r="L105" s="302">
        <v>43508</v>
      </c>
      <c r="M105" s="1237"/>
      <c r="N105" s="1239"/>
      <c r="O105" s="1228"/>
      <c r="P105" s="1226"/>
      <c r="Q105" s="1228"/>
      <c r="R105" s="1230"/>
    </row>
    <row r="106" spans="1:18" hidden="1">
      <c r="A106" s="1276"/>
      <c r="B106" s="1241" t="s">
        <v>323</v>
      </c>
      <c r="C106" s="1242" t="s">
        <v>324</v>
      </c>
      <c r="D106" s="1243">
        <v>1.30862228E-2</v>
      </c>
      <c r="E106" s="286" t="s">
        <v>35</v>
      </c>
      <c r="F106" s="270">
        <v>31.354589828800002</v>
      </c>
      <c r="G106" s="312">
        <v>-46.652000000000001</v>
      </c>
      <c r="H106" s="272">
        <v>-15.297410171199999</v>
      </c>
      <c r="I106" s="286"/>
      <c r="J106" s="309">
        <v>-15.297410171199999</v>
      </c>
      <c r="K106" s="274">
        <v>0</v>
      </c>
      <c r="L106" s="303" t="s">
        <v>30</v>
      </c>
      <c r="M106" s="1237">
        <v>49.387404847200003</v>
      </c>
      <c r="N106" s="1239">
        <v>-46.652000000000001</v>
      </c>
      <c r="O106" s="1228">
        <v>2.7354048472000017</v>
      </c>
      <c r="P106" s="1226">
        <v>0</v>
      </c>
      <c r="Q106" s="1228">
        <v>2.7354048472000017</v>
      </c>
      <c r="R106" s="1230">
        <v>0</v>
      </c>
    </row>
    <row r="107" spans="1:18" hidden="1">
      <c r="A107" s="1276"/>
      <c r="B107" s="1241"/>
      <c r="C107" s="1242"/>
      <c r="D107" s="1243">
        <v>1.30862228E-2</v>
      </c>
      <c r="E107" s="286" t="s">
        <v>96</v>
      </c>
      <c r="F107" s="270">
        <v>18.032815018400001</v>
      </c>
      <c r="G107" s="271"/>
      <c r="H107" s="272">
        <v>2.7354048472000017</v>
      </c>
      <c r="I107" s="286"/>
      <c r="J107" s="309">
        <v>2.7354048472000017</v>
      </c>
      <c r="K107" s="274">
        <v>0</v>
      </c>
      <c r="L107" s="303" t="s">
        <v>30</v>
      </c>
      <c r="M107" s="1237"/>
      <c r="N107" s="1239"/>
      <c r="O107" s="1228"/>
      <c r="P107" s="1226"/>
      <c r="Q107" s="1228"/>
      <c r="R107" s="1230"/>
    </row>
    <row r="108" spans="1:18" hidden="1">
      <c r="A108" s="1276"/>
      <c r="B108" s="1246" t="s">
        <v>325</v>
      </c>
      <c r="C108" s="1206" t="s">
        <v>326</v>
      </c>
      <c r="D108" s="1247">
        <v>1.41230929E-2</v>
      </c>
      <c r="E108" s="286" t="s">
        <v>35</v>
      </c>
      <c r="F108" s="270">
        <v>33.838930588400004</v>
      </c>
      <c r="G108" s="300">
        <v>-49.481000000000002</v>
      </c>
      <c r="H108" s="272">
        <v>-15.642069411599998</v>
      </c>
      <c r="I108" s="286">
        <v>0.111</v>
      </c>
      <c r="J108" s="309">
        <v>-15.753069411599999</v>
      </c>
      <c r="K108" s="274">
        <v>-7.0962477584764804E-3</v>
      </c>
      <c r="L108" s="303" t="s">
        <v>30</v>
      </c>
      <c r="M108" s="1237">
        <v>53.3005526046</v>
      </c>
      <c r="N108" s="1239">
        <v>-49.481000000000002</v>
      </c>
      <c r="O108" s="1228">
        <v>3.8195526045999983</v>
      </c>
      <c r="P108" s="1226">
        <v>0.111</v>
      </c>
      <c r="Q108" s="1228">
        <v>3.7085526045999981</v>
      </c>
      <c r="R108" s="1230">
        <v>2.9060995223974522E-2</v>
      </c>
    </row>
    <row r="109" spans="1:18" hidden="1">
      <c r="A109" s="1276"/>
      <c r="B109" s="1246"/>
      <c r="C109" s="1206"/>
      <c r="D109" s="1247">
        <v>1.3707184799999999E-2</v>
      </c>
      <c r="E109" s="286" t="s">
        <v>96</v>
      </c>
      <c r="F109" s="270">
        <v>19.4616220162</v>
      </c>
      <c r="G109" s="271"/>
      <c r="H109" s="272">
        <v>3.7085526046000012</v>
      </c>
      <c r="I109" s="286"/>
      <c r="J109" s="309">
        <v>3.7085526046000012</v>
      </c>
      <c r="K109" s="274">
        <v>0</v>
      </c>
      <c r="L109" s="303" t="s">
        <v>30</v>
      </c>
      <c r="M109" s="1237"/>
      <c r="N109" s="1239"/>
      <c r="O109" s="1228"/>
      <c r="P109" s="1226"/>
      <c r="Q109" s="1228"/>
      <c r="R109" s="1230"/>
    </row>
    <row r="110" spans="1:18">
      <c r="A110" s="1276"/>
      <c r="B110" s="1260" t="s">
        <v>327</v>
      </c>
      <c r="C110" s="1206" t="s">
        <v>328</v>
      </c>
      <c r="D110" s="1247">
        <v>2.0106202E-2</v>
      </c>
      <c r="E110" s="286" t="s">
        <v>35</v>
      </c>
      <c r="F110" s="270">
        <v>48.174459992000003</v>
      </c>
      <c r="G110" s="300">
        <v>-75.88</v>
      </c>
      <c r="H110" s="272">
        <v>-27.705540007999993</v>
      </c>
      <c r="I110" s="286"/>
      <c r="J110" s="309">
        <v>-27.705540007999993</v>
      </c>
      <c r="K110" s="274">
        <v>0</v>
      </c>
      <c r="L110" s="302">
        <v>43508</v>
      </c>
      <c r="M110" s="1237">
        <v>75.880806348000007</v>
      </c>
      <c r="N110" s="1239">
        <v>-75.88</v>
      </c>
      <c r="O110" s="1228">
        <v>8.0634800001178064E-4</v>
      </c>
      <c r="P110" s="1226">
        <v>0</v>
      </c>
      <c r="Q110" s="1228">
        <v>8.0634800001178064E-4</v>
      </c>
      <c r="R110" s="1230">
        <v>0</v>
      </c>
    </row>
    <row r="111" spans="1:18">
      <c r="A111" s="1276"/>
      <c r="B111" s="1261"/>
      <c r="C111" s="1206"/>
      <c r="D111" s="1247">
        <v>2.0106202E-2</v>
      </c>
      <c r="E111" s="286" t="s">
        <v>96</v>
      </c>
      <c r="F111" s="270">
        <v>27.706346356000001</v>
      </c>
      <c r="G111" s="271"/>
      <c r="H111" s="272">
        <v>8.0634800000822793E-4</v>
      </c>
      <c r="I111" s="286"/>
      <c r="J111" s="309">
        <v>8.0634800000822793E-4</v>
      </c>
      <c r="K111" s="274">
        <v>0</v>
      </c>
      <c r="L111" s="302">
        <v>43508</v>
      </c>
      <c r="M111" s="1237"/>
      <c r="N111" s="1239"/>
      <c r="O111" s="1228"/>
      <c r="P111" s="1226"/>
      <c r="Q111" s="1228"/>
      <c r="R111" s="1230"/>
    </row>
    <row r="112" spans="1:18" hidden="1">
      <c r="A112" s="1276"/>
      <c r="B112" s="1232" t="s">
        <v>329</v>
      </c>
      <c r="C112" s="1197" t="s">
        <v>330</v>
      </c>
      <c r="D112" s="1235">
        <v>1.7566709999999999E-2</v>
      </c>
      <c r="E112" s="286" t="s">
        <v>35</v>
      </c>
      <c r="F112" s="270">
        <v>42.089837159999995</v>
      </c>
      <c r="G112" s="271"/>
      <c r="H112" s="272">
        <v>42.089837159999995</v>
      </c>
      <c r="I112" s="286"/>
      <c r="J112" s="309">
        <v>42.089837159999995</v>
      </c>
      <c r="K112" s="274">
        <v>0</v>
      </c>
      <c r="L112" s="303" t="s">
        <v>30</v>
      </c>
      <c r="M112" s="1237">
        <v>66.296763540000001</v>
      </c>
      <c r="N112" s="1239">
        <v>0</v>
      </c>
      <c r="O112" s="1228">
        <v>66.296763540000001</v>
      </c>
      <c r="P112" s="1226">
        <v>0</v>
      </c>
      <c r="Q112" s="1228">
        <v>66.296763540000001</v>
      </c>
      <c r="R112" s="1230">
        <v>0</v>
      </c>
    </row>
    <row r="113" spans="1:18" hidden="1">
      <c r="A113" s="1276"/>
      <c r="B113" s="1232"/>
      <c r="C113" s="1197"/>
      <c r="D113" s="1235">
        <v>1.92966044E-2</v>
      </c>
      <c r="E113" s="286" t="s">
        <v>96</v>
      </c>
      <c r="F113" s="270">
        <v>24.206926379999999</v>
      </c>
      <c r="G113" s="271"/>
      <c r="H113" s="272">
        <v>66.296763540000001</v>
      </c>
      <c r="I113" s="286"/>
      <c r="J113" s="309">
        <v>66.296763540000001</v>
      </c>
      <c r="K113" s="274">
        <v>0</v>
      </c>
      <c r="L113" s="303" t="s">
        <v>30</v>
      </c>
      <c r="M113" s="1237"/>
      <c r="N113" s="1239"/>
      <c r="O113" s="1228"/>
      <c r="P113" s="1226"/>
      <c r="Q113" s="1228"/>
      <c r="R113" s="1230"/>
    </row>
    <row r="114" spans="1:18" hidden="1">
      <c r="A114" s="1276"/>
      <c r="B114" s="1251" t="s">
        <v>331</v>
      </c>
      <c r="C114" s="1252" t="s">
        <v>332</v>
      </c>
      <c r="D114" s="1253">
        <v>1.7914275600000001E-2</v>
      </c>
      <c r="E114" s="286" t="s">
        <v>35</v>
      </c>
      <c r="F114" s="270">
        <v>42.922604337600006</v>
      </c>
      <c r="G114" s="288">
        <v>-73.206000000000003</v>
      </c>
      <c r="H114" s="272">
        <v>-30.283395662399997</v>
      </c>
      <c r="I114" s="286"/>
      <c r="J114" s="309">
        <v>-30.283395662399997</v>
      </c>
      <c r="K114" s="274">
        <v>0</v>
      </c>
      <c r="L114" s="289">
        <v>43508</v>
      </c>
      <c r="M114" s="1258">
        <v>67.608476114400005</v>
      </c>
      <c r="N114" s="1259">
        <v>-73.206000000000003</v>
      </c>
      <c r="O114" s="1256">
        <v>-5.5975238855999976</v>
      </c>
      <c r="P114" s="1255">
        <v>0</v>
      </c>
      <c r="Q114" s="1256">
        <v>-5.5975238855999976</v>
      </c>
      <c r="R114" s="1257">
        <v>0</v>
      </c>
    </row>
    <row r="115" spans="1:18" hidden="1">
      <c r="A115" s="1276"/>
      <c r="B115" s="1251"/>
      <c r="C115" s="1252"/>
      <c r="D115" s="1253">
        <v>1.7914275600000001E-2</v>
      </c>
      <c r="E115" s="286" t="s">
        <v>96</v>
      </c>
      <c r="F115" s="270">
        <v>24.685871776800003</v>
      </c>
      <c r="G115" s="271"/>
      <c r="H115" s="272">
        <v>-5.597523885599994</v>
      </c>
      <c r="I115" s="286"/>
      <c r="J115" s="309">
        <v>-5.597523885599994</v>
      </c>
      <c r="K115" s="274">
        <v>0</v>
      </c>
      <c r="L115" s="289">
        <v>43508</v>
      </c>
      <c r="M115" s="1258"/>
      <c r="N115" s="1259"/>
      <c r="O115" s="1256"/>
      <c r="P115" s="1255"/>
      <c r="Q115" s="1256"/>
      <c r="R115" s="1257"/>
    </row>
    <row r="116" spans="1:18" hidden="1">
      <c r="A116" s="1276"/>
      <c r="B116" s="1241" t="s">
        <v>416</v>
      </c>
      <c r="C116" s="1242" t="s">
        <v>333</v>
      </c>
      <c r="D116" s="1243">
        <v>2.8822000399999999E-2</v>
      </c>
      <c r="E116" s="286" t="s">
        <v>35</v>
      </c>
      <c r="F116" s="270">
        <v>69.057512958399997</v>
      </c>
      <c r="G116" s="312">
        <v>-108.84</v>
      </c>
      <c r="H116" s="272">
        <v>-39.782487041600007</v>
      </c>
      <c r="I116" s="286"/>
      <c r="J116" s="309">
        <v>-39.782487041600007</v>
      </c>
      <c r="K116" s="274">
        <v>0</v>
      </c>
      <c r="L116" s="303" t="s">
        <v>30</v>
      </c>
      <c r="M116" s="1258">
        <v>108.77422950959999</v>
      </c>
      <c r="N116" s="1259">
        <v>-108.84</v>
      </c>
      <c r="O116" s="1256">
        <v>-6.5770490400012704E-2</v>
      </c>
      <c r="P116" s="1255">
        <v>0</v>
      </c>
      <c r="Q116" s="1256">
        <v>-6.5770490400012704E-2</v>
      </c>
      <c r="R116" s="1257">
        <v>0</v>
      </c>
    </row>
    <row r="117" spans="1:18" hidden="1">
      <c r="A117" s="1276"/>
      <c r="B117" s="1241"/>
      <c r="C117" s="1242"/>
      <c r="D117" s="1243">
        <v>2.8822000399999999E-2</v>
      </c>
      <c r="E117" s="286" t="s">
        <v>96</v>
      </c>
      <c r="F117" s="270">
        <v>39.716716551200001</v>
      </c>
      <c r="G117" s="271"/>
      <c r="H117" s="272">
        <v>-6.5770490400005599E-2</v>
      </c>
      <c r="I117" s="286"/>
      <c r="J117" s="309">
        <v>-6.5770490400005599E-2</v>
      </c>
      <c r="K117" s="274">
        <v>0</v>
      </c>
      <c r="L117" s="303" t="s">
        <v>30</v>
      </c>
      <c r="M117" s="1258"/>
      <c r="N117" s="1259"/>
      <c r="O117" s="1256"/>
      <c r="P117" s="1255"/>
      <c r="Q117" s="1256"/>
      <c r="R117" s="1257"/>
    </row>
    <row r="118" spans="1:18" hidden="1">
      <c r="A118" s="1276"/>
      <c r="B118" s="1251" t="s">
        <v>334</v>
      </c>
      <c r="C118" s="1252" t="s">
        <v>335</v>
      </c>
      <c r="D118" s="1253">
        <v>2.7236206400000001E-2</v>
      </c>
      <c r="E118" s="286" t="s">
        <v>35</v>
      </c>
      <c r="F118" s="270">
        <v>65.257950534399995</v>
      </c>
      <c r="G118" s="288">
        <v>-93.686999999999998</v>
      </c>
      <c r="H118" s="272">
        <v>-28.429049465600002</v>
      </c>
      <c r="I118" s="286"/>
      <c r="J118" s="309">
        <v>-28.429049465600002</v>
      </c>
      <c r="K118" s="274">
        <v>0</v>
      </c>
      <c r="L118" s="303" t="s">
        <v>30</v>
      </c>
      <c r="M118" s="1237">
        <v>102.7894429536</v>
      </c>
      <c r="N118" s="1239">
        <v>-93.686999999999998</v>
      </c>
      <c r="O118" s="1228">
        <v>9.1024429536000042</v>
      </c>
      <c r="P118" s="1226">
        <v>0</v>
      </c>
      <c r="Q118" s="1228">
        <v>9.1024429536000042</v>
      </c>
      <c r="R118" s="1230">
        <v>0</v>
      </c>
    </row>
    <row r="119" spans="1:18" hidden="1">
      <c r="A119" s="1276"/>
      <c r="B119" s="1251"/>
      <c r="C119" s="1252"/>
      <c r="D119" s="1253">
        <v>2.7236206400000001E-2</v>
      </c>
      <c r="E119" s="286" t="s">
        <v>96</v>
      </c>
      <c r="F119" s="270">
        <v>37.531492419199999</v>
      </c>
      <c r="G119" s="271"/>
      <c r="H119" s="272">
        <v>9.1024429535999971</v>
      </c>
      <c r="I119" s="286"/>
      <c r="J119" s="309">
        <v>9.1024429535999971</v>
      </c>
      <c r="K119" s="274">
        <v>0</v>
      </c>
      <c r="L119" s="303" t="s">
        <v>30</v>
      </c>
      <c r="M119" s="1237"/>
      <c r="N119" s="1239"/>
      <c r="O119" s="1228"/>
      <c r="P119" s="1226"/>
      <c r="Q119" s="1228"/>
      <c r="R119" s="1230"/>
    </row>
    <row r="120" spans="1:18" hidden="1">
      <c r="A120" s="1276"/>
      <c r="B120" s="1232" t="s">
        <v>336</v>
      </c>
      <c r="C120" s="1197" t="s">
        <v>337</v>
      </c>
      <c r="D120" s="1235">
        <v>3.3778456999999998E-3</v>
      </c>
      <c r="E120" s="286" t="s">
        <v>35</v>
      </c>
      <c r="F120" s="270">
        <v>8.0933182971999997</v>
      </c>
      <c r="G120" s="271"/>
      <c r="H120" s="272">
        <v>8.0933182971999997</v>
      </c>
      <c r="I120" s="286"/>
      <c r="J120" s="309">
        <v>8.0933182971999997</v>
      </c>
      <c r="K120" s="274">
        <v>0</v>
      </c>
      <c r="L120" s="303" t="s">
        <v>30</v>
      </c>
      <c r="M120" s="1237">
        <v>12.747989671799999</v>
      </c>
      <c r="N120" s="1239">
        <v>0</v>
      </c>
      <c r="O120" s="1228">
        <v>12.747989671799999</v>
      </c>
      <c r="P120" s="1226">
        <v>0</v>
      </c>
      <c r="Q120" s="1228">
        <v>12.747989671799999</v>
      </c>
      <c r="R120" s="1230">
        <v>0</v>
      </c>
    </row>
    <row r="121" spans="1:18" hidden="1">
      <c r="A121" s="1276"/>
      <c r="B121" s="1232"/>
      <c r="C121" s="1197"/>
      <c r="D121" s="1235">
        <v>3.3778456999999998E-3</v>
      </c>
      <c r="E121" s="286" t="s">
        <v>96</v>
      </c>
      <c r="F121" s="270">
        <v>4.6546713745999995</v>
      </c>
      <c r="G121" s="271"/>
      <c r="H121" s="272">
        <v>12.747989671799999</v>
      </c>
      <c r="I121" s="286"/>
      <c r="J121" s="309">
        <v>12.747989671799999</v>
      </c>
      <c r="K121" s="274">
        <v>0</v>
      </c>
      <c r="L121" s="303" t="s">
        <v>30</v>
      </c>
      <c r="M121" s="1237"/>
      <c r="N121" s="1239"/>
      <c r="O121" s="1228"/>
      <c r="P121" s="1226"/>
      <c r="Q121" s="1228"/>
      <c r="R121" s="1230"/>
    </row>
    <row r="122" spans="1:18" hidden="1">
      <c r="A122" s="1276"/>
      <c r="B122" s="1251" t="s">
        <v>338</v>
      </c>
      <c r="C122" s="1252" t="s">
        <v>339</v>
      </c>
      <c r="D122" s="1253">
        <v>6.1819585999999998E-3</v>
      </c>
      <c r="E122" s="286" t="s">
        <v>35</v>
      </c>
      <c r="F122" s="270">
        <v>14.8119728056</v>
      </c>
      <c r="G122" s="288">
        <v>-23.331</v>
      </c>
      <c r="H122" s="272">
        <v>-8.5190271943999996</v>
      </c>
      <c r="I122" s="286"/>
      <c r="J122" s="309">
        <v>-8.5190271943999996</v>
      </c>
      <c r="K122" s="274">
        <v>0</v>
      </c>
      <c r="L122" s="289">
        <v>43508</v>
      </c>
      <c r="M122" s="1244">
        <v>23.3307117564</v>
      </c>
      <c r="N122" s="1254">
        <v>-23.331</v>
      </c>
      <c r="O122" s="1249">
        <v>-2.8824360000001548E-4</v>
      </c>
      <c r="P122" s="1248">
        <v>0</v>
      </c>
      <c r="Q122" s="1249">
        <v>-2.8824360000001548E-4</v>
      </c>
      <c r="R122" s="1250">
        <v>0</v>
      </c>
    </row>
    <row r="123" spans="1:18" hidden="1">
      <c r="A123" s="1276"/>
      <c r="B123" s="1251"/>
      <c r="C123" s="1252"/>
      <c r="D123" s="1253">
        <v>6.1819585999999998E-3</v>
      </c>
      <c r="E123" s="286" t="s">
        <v>96</v>
      </c>
      <c r="F123" s="270">
        <v>8.5187389507999995</v>
      </c>
      <c r="G123" s="271"/>
      <c r="H123" s="272">
        <v>-2.8824360000001548E-4</v>
      </c>
      <c r="I123" s="286"/>
      <c r="J123" s="309">
        <v>-2.8824360000001548E-4</v>
      </c>
      <c r="K123" s="274">
        <v>0</v>
      </c>
      <c r="L123" s="289">
        <v>43508</v>
      </c>
      <c r="M123" s="1244"/>
      <c r="N123" s="1254"/>
      <c r="O123" s="1249"/>
      <c r="P123" s="1248"/>
      <c r="Q123" s="1249"/>
      <c r="R123" s="1250"/>
    </row>
    <row r="124" spans="1:18" hidden="1">
      <c r="A124" s="1276"/>
      <c r="B124" s="1251" t="s">
        <v>340</v>
      </c>
      <c r="C124" s="1252" t="s">
        <v>341</v>
      </c>
      <c r="D124" s="1253">
        <v>5.6303055000000001E-3</v>
      </c>
      <c r="E124" s="286" t="s">
        <v>35</v>
      </c>
      <c r="F124" s="270">
        <v>13.490211978</v>
      </c>
      <c r="G124" s="288">
        <v>-21.248999999999999</v>
      </c>
      <c r="H124" s="272">
        <v>-7.7587880219999992</v>
      </c>
      <c r="I124" s="286"/>
      <c r="J124" s="309">
        <v>-7.7587880219999992</v>
      </c>
      <c r="K124" s="274">
        <v>0</v>
      </c>
      <c r="L124" s="289">
        <v>43508</v>
      </c>
      <c r="M124" s="1244">
        <v>21.248772957</v>
      </c>
      <c r="N124" s="1254">
        <v>-21.248999999999999</v>
      </c>
      <c r="O124" s="1249">
        <v>-2.2704299999887212E-4</v>
      </c>
      <c r="P124" s="1248">
        <v>0</v>
      </c>
      <c r="Q124" s="1249">
        <v>-2.2704299999887212E-4</v>
      </c>
      <c r="R124" s="1250">
        <v>0</v>
      </c>
    </row>
    <row r="125" spans="1:18" hidden="1">
      <c r="A125" s="1276"/>
      <c r="B125" s="1251"/>
      <c r="C125" s="1252"/>
      <c r="D125" s="1253">
        <v>5.6303055000000001E-3</v>
      </c>
      <c r="E125" s="286" t="s">
        <v>96</v>
      </c>
      <c r="F125" s="270">
        <v>7.7585609790000003</v>
      </c>
      <c r="G125" s="271"/>
      <c r="H125" s="272">
        <v>-2.2704299999887212E-4</v>
      </c>
      <c r="I125" s="286"/>
      <c r="J125" s="309">
        <v>-2.2704299999887212E-4</v>
      </c>
      <c r="K125" s="274">
        <v>0</v>
      </c>
      <c r="L125" s="289">
        <v>43508</v>
      </c>
      <c r="M125" s="1244"/>
      <c r="N125" s="1254"/>
      <c r="O125" s="1249"/>
      <c r="P125" s="1248"/>
      <c r="Q125" s="1249"/>
      <c r="R125" s="1250"/>
    </row>
    <row r="126" spans="1:18">
      <c r="A126" s="1276"/>
      <c r="B126" s="1245" t="s">
        <v>342</v>
      </c>
      <c r="C126" s="1206" t="s">
        <v>343</v>
      </c>
      <c r="D126" s="1247">
        <v>1.3602421E-3</v>
      </c>
      <c r="E126" s="286" t="s">
        <v>35</v>
      </c>
      <c r="F126" s="270">
        <v>3.2591400716000001</v>
      </c>
      <c r="G126" s="300">
        <v>-5.133</v>
      </c>
      <c r="H126" s="272">
        <v>-1.8738599283999999</v>
      </c>
      <c r="I126" s="286"/>
      <c r="J126" s="309">
        <v>-1.8738599283999999</v>
      </c>
      <c r="K126" s="274">
        <v>0</v>
      </c>
      <c r="L126" s="302">
        <v>43508</v>
      </c>
      <c r="M126" s="1237">
        <v>5.1335536853999999</v>
      </c>
      <c r="N126" s="1239">
        <v>-5.133</v>
      </c>
      <c r="O126" s="1228">
        <v>5.5368539999989252E-4</v>
      </c>
      <c r="P126" s="1226">
        <v>0</v>
      </c>
      <c r="Q126" s="1228">
        <v>5.5368539999989252E-4</v>
      </c>
      <c r="R126" s="1230">
        <v>0</v>
      </c>
    </row>
    <row r="127" spans="1:18">
      <c r="A127" s="1276"/>
      <c r="B127" s="1246"/>
      <c r="C127" s="1206"/>
      <c r="D127" s="1247">
        <v>1.3602421E-3</v>
      </c>
      <c r="E127" s="286" t="s">
        <v>96</v>
      </c>
      <c r="F127" s="270">
        <v>1.8744136138</v>
      </c>
      <c r="G127" s="271"/>
      <c r="H127" s="272">
        <v>5.5368540000011457E-4</v>
      </c>
      <c r="I127" s="286"/>
      <c r="J127" s="309">
        <v>5.5368540000011457E-4</v>
      </c>
      <c r="K127" s="274">
        <v>0</v>
      </c>
      <c r="L127" s="302">
        <v>43508</v>
      </c>
      <c r="M127" s="1237"/>
      <c r="N127" s="1239"/>
      <c r="O127" s="1228"/>
      <c r="P127" s="1226"/>
      <c r="Q127" s="1228"/>
      <c r="R127" s="1230"/>
    </row>
    <row r="128" spans="1:18" hidden="1">
      <c r="A128" s="1276"/>
      <c r="B128" s="1232" t="s">
        <v>344</v>
      </c>
      <c r="C128" s="1197" t="s">
        <v>345</v>
      </c>
      <c r="D128" s="1235">
        <v>1.7838174E-3</v>
      </c>
      <c r="E128" s="286" t="s">
        <v>35</v>
      </c>
      <c r="F128" s="270">
        <v>4.2740264903999998</v>
      </c>
      <c r="G128" s="292"/>
      <c r="H128" s="272">
        <v>4.2740264903999998</v>
      </c>
      <c r="I128" s="286"/>
      <c r="J128" s="309">
        <v>4.2740264903999998</v>
      </c>
      <c r="K128" s="274">
        <v>0</v>
      </c>
      <c r="L128" s="303" t="s">
        <v>30</v>
      </c>
      <c r="M128" s="1237">
        <v>6.7321268675999999</v>
      </c>
      <c r="N128" s="1239">
        <v>0</v>
      </c>
      <c r="O128" s="1228">
        <v>6.7321268675999999</v>
      </c>
      <c r="P128" s="1226">
        <v>0</v>
      </c>
      <c r="Q128" s="1228">
        <v>6.7321268675999999</v>
      </c>
      <c r="R128" s="1230">
        <v>0</v>
      </c>
    </row>
    <row r="129" spans="1:18" hidden="1">
      <c r="A129" s="1276"/>
      <c r="B129" s="1232"/>
      <c r="C129" s="1197"/>
      <c r="D129" s="1235">
        <v>1.7838174E-3</v>
      </c>
      <c r="E129" s="286" t="s">
        <v>96</v>
      </c>
      <c r="F129" s="270">
        <v>2.4581003772000001</v>
      </c>
      <c r="G129" s="292"/>
      <c r="H129" s="272">
        <v>6.7321268675999999</v>
      </c>
      <c r="I129" s="286"/>
      <c r="J129" s="309">
        <v>6.7321268675999999</v>
      </c>
      <c r="K129" s="274">
        <v>0</v>
      </c>
      <c r="L129" s="303" t="s">
        <v>30</v>
      </c>
      <c r="M129" s="1237"/>
      <c r="N129" s="1239"/>
      <c r="O129" s="1228"/>
      <c r="P129" s="1226"/>
      <c r="Q129" s="1228"/>
      <c r="R129" s="1230"/>
    </row>
    <row r="130" spans="1:18" hidden="1">
      <c r="A130" s="1276"/>
      <c r="B130" s="1232" t="s">
        <v>346</v>
      </c>
      <c r="C130" s="1197" t="s">
        <v>347</v>
      </c>
      <c r="D130" s="1235">
        <v>4.2194629999999997E-3</v>
      </c>
      <c r="E130" s="286" t="s">
        <v>35</v>
      </c>
      <c r="F130" s="270">
        <v>10.109833347999999</v>
      </c>
      <c r="G130" s="271"/>
      <c r="H130" s="272">
        <v>10.109833347999999</v>
      </c>
      <c r="I130" s="286"/>
      <c r="J130" s="309">
        <v>10.109833347999999</v>
      </c>
      <c r="K130" s="274">
        <v>0</v>
      </c>
      <c r="L130" s="303" t="s">
        <v>30</v>
      </c>
      <c r="M130" s="1237">
        <v>15.924253361999998</v>
      </c>
      <c r="N130" s="1239">
        <v>0</v>
      </c>
      <c r="O130" s="1228">
        <v>15.924253361999998</v>
      </c>
      <c r="P130" s="1226">
        <v>0</v>
      </c>
      <c r="Q130" s="1228">
        <v>15.924253361999998</v>
      </c>
      <c r="R130" s="1230">
        <v>0</v>
      </c>
    </row>
    <row r="131" spans="1:18" hidden="1">
      <c r="A131" s="1276"/>
      <c r="B131" s="1232"/>
      <c r="C131" s="1197"/>
      <c r="D131" s="1235">
        <v>4.2194629999999997E-3</v>
      </c>
      <c r="E131" s="286" t="s">
        <v>96</v>
      </c>
      <c r="F131" s="270">
        <v>5.8144200139999995</v>
      </c>
      <c r="G131" s="271"/>
      <c r="H131" s="272">
        <v>15.924253361999998</v>
      </c>
      <c r="I131" s="286"/>
      <c r="J131" s="309">
        <v>15.924253361999998</v>
      </c>
      <c r="K131" s="274">
        <v>0</v>
      </c>
      <c r="L131" s="303" t="s">
        <v>30</v>
      </c>
      <c r="M131" s="1237"/>
      <c r="N131" s="1239"/>
      <c r="O131" s="1228"/>
      <c r="P131" s="1226"/>
      <c r="Q131" s="1228"/>
      <c r="R131" s="1230"/>
    </row>
    <row r="132" spans="1:18" hidden="1">
      <c r="A132" s="1276"/>
      <c r="B132" s="1241" t="s">
        <v>348</v>
      </c>
      <c r="C132" s="1242" t="s">
        <v>415</v>
      </c>
      <c r="D132" s="1243">
        <v>9.70231E-4</v>
      </c>
      <c r="E132" s="286" t="s">
        <v>35</v>
      </c>
      <c r="F132" s="270">
        <v>2.3246734760000001</v>
      </c>
      <c r="G132" s="312">
        <v>-3.6619999999999999</v>
      </c>
      <c r="H132" s="272">
        <v>-1.3373265239999998</v>
      </c>
      <c r="I132" s="286"/>
      <c r="J132" s="309">
        <v>-1.3373265239999998</v>
      </c>
      <c r="K132" s="274">
        <v>0</v>
      </c>
      <c r="L132" s="303" t="s">
        <v>30</v>
      </c>
      <c r="M132" s="1244">
        <v>3.661651794</v>
      </c>
      <c r="N132" s="1239">
        <v>-3.6619999999999999</v>
      </c>
      <c r="O132" s="1228">
        <v>-3.4820599999996205E-4</v>
      </c>
      <c r="P132" s="1226">
        <v>0</v>
      </c>
      <c r="Q132" s="1228">
        <v>-3.4820599999996205E-4</v>
      </c>
      <c r="R132" s="1230">
        <v>0</v>
      </c>
    </row>
    <row r="133" spans="1:18" hidden="1">
      <c r="A133" s="1276"/>
      <c r="B133" s="1241"/>
      <c r="C133" s="1242"/>
      <c r="D133" s="1243">
        <v>9.70231E-4</v>
      </c>
      <c r="E133" s="286" t="s">
        <v>96</v>
      </c>
      <c r="F133" s="270">
        <v>1.3369783180000001</v>
      </c>
      <c r="G133" s="271"/>
      <c r="H133" s="272">
        <v>-3.4820599999974E-4</v>
      </c>
      <c r="I133" s="286"/>
      <c r="J133" s="309">
        <v>-3.4820599999974E-4</v>
      </c>
      <c r="K133" s="274">
        <v>0</v>
      </c>
      <c r="L133" s="303" t="s">
        <v>30</v>
      </c>
      <c r="M133" s="1244"/>
      <c r="N133" s="1239"/>
      <c r="O133" s="1228"/>
      <c r="P133" s="1226"/>
      <c r="Q133" s="1228"/>
      <c r="R133" s="1230"/>
    </row>
    <row r="134" spans="1:18" hidden="1">
      <c r="A134" s="1276"/>
      <c r="B134" s="1232" t="s">
        <v>349</v>
      </c>
      <c r="C134" s="1197"/>
      <c r="D134" s="1235">
        <v>1.729895E-3</v>
      </c>
      <c r="E134" s="286" t="s">
        <v>35</v>
      </c>
      <c r="F134" s="270">
        <v>4.1448284199999996</v>
      </c>
      <c r="G134" s="271"/>
      <c r="H134" s="272">
        <v>4.1448284199999996</v>
      </c>
      <c r="I134" s="313">
        <v>1.308888888888889</v>
      </c>
      <c r="J134" s="309">
        <v>2.8359395311111104</v>
      </c>
      <c r="K134" s="274">
        <v>0.3157884371215755</v>
      </c>
      <c r="L134" s="303" t="s">
        <v>30</v>
      </c>
      <c r="M134" s="1237">
        <v>6.5286237299999996</v>
      </c>
      <c r="N134" s="1239">
        <v>0</v>
      </c>
      <c r="O134" s="1228">
        <v>6.5286237299999996</v>
      </c>
      <c r="P134" s="1226">
        <v>1.308888888888889</v>
      </c>
      <c r="Q134" s="1228">
        <v>5.2197348411111104</v>
      </c>
      <c r="R134" s="1230">
        <v>0.20048465695370823</v>
      </c>
    </row>
    <row r="135" spans="1:18" hidden="1">
      <c r="A135" s="1276"/>
      <c r="B135" s="1232"/>
      <c r="C135" s="1197"/>
      <c r="D135" s="1235">
        <v>1.729895E-3</v>
      </c>
      <c r="E135" s="286" t="s">
        <v>96</v>
      </c>
      <c r="F135" s="270">
        <v>2.38379531</v>
      </c>
      <c r="G135" s="271"/>
      <c r="H135" s="272">
        <v>5.2197348411111104</v>
      </c>
      <c r="I135" s="314"/>
      <c r="J135" s="309">
        <v>5.2197348411111104</v>
      </c>
      <c r="K135" s="274">
        <v>0</v>
      </c>
      <c r="L135" s="303" t="s">
        <v>30</v>
      </c>
      <c r="M135" s="1237"/>
      <c r="N135" s="1239"/>
      <c r="O135" s="1228"/>
      <c r="P135" s="1226"/>
      <c r="Q135" s="1228"/>
      <c r="R135" s="1230"/>
    </row>
    <row r="136" spans="1:18" hidden="1">
      <c r="A136" s="1276"/>
      <c r="B136" s="1232" t="s">
        <v>350</v>
      </c>
      <c r="C136" s="1197"/>
      <c r="D136" s="1235">
        <v>1.1470409999999999E-3</v>
      </c>
      <c r="E136" s="286" t="s">
        <v>35</v>
      </c>
      <c r="F136" s="270">
        <v>2.7483102359999996</v>
      </c>
      <c r="G136" s="271"/>
      <c r="H136" s="272">
        <v>2.7483102359999996</v>
      </c>
      <c r="I136" s="313">
        <v>0.27</v>
      </c>
      <c r="J136" s="309">
        <v>2.4783102359999996</v>
      </c>
      <c r="K136" s="274">
        <v>9.8242184038498062E-2</v>
      </c>
      <c r="L136" s="303" t="s">
        <v>30</v>
      </c>
      <c r="M136" s="1237">
        <v>4.3289327339999994</v>
      </c>
      <c r="N136" s="1239">
        <v>0</v>
      </c>
      <c r="O136" s="1228">
        <v>4.3289327339999994</v>
      </c>
      <c r="P136" s="1226">
        <v>0.27</v>
      </c>
      <c r="Q136" s="1228">
        <v>4.058932733999999</v>
      </c>
      <c r="R136" s="1230">
        <v>6.2371031519936768E-2</v>
      </c>
    </row>
    <row r="137" spans="1:18" hidden="1">
      <c r="A137" s="1276"/>
      <c r="B137" s="1232"/>
      <c r="C137" s="1197"/>
      <c r="D137" s="1235">
        <v>1.729895E-3</v>
      </c>
      <c r="E137" s="286" t="s">
        <v>96</v>
      </c>
      <c r="F137" s="270">
        <v>1.5806224979999999</v>
      </c>
      <c r="G137" s="271"/>
      <c r="H137" s="272">
        <v>4.058932733999999</v>
      </c>
      <c r="I137" s="314"/>
      <c r="J137" s="309">
        <v>4.058932733999999</v>
      </c>
      <c r="K137" s="274">
        <v>0</v>
      </c>
      <c r="L137" s="303" t="s">
        <v>30</v>
      </c>
      <c r="M137" s="1237"/>
      <c r="N137" s="1239"/>
      <c r="O137" s="1228"/>
      <c r="P137" s="1226"/>
      <c r="Q137" s="1228"/>
      <c r="R137" s="1230"/>
    </row>
    <row r="138" spans="1:18" hidden="1">
      <c r="A138" s="1276"/>
      <c r="B138" s="1232" t="s">
        <v>351</v>
      </c>
      <c r="C138" s="1197"/>
      <c r="D138" s="1235">
        <v>8.2242600000000002E-4</v>
      </c>
      <c r="E138" s="286" t="s">
        <v>35</v>
      </c>
      <c r="F138" s="270">
        <v>1.970532696</v>
      </c>
      <c r="G138" s="271"/>
      <c r="H138" s="272">
        <v>1.970532696</v>
      </c>
      <c r="I138" s="314">
        <v>1.111</v>
      </c>
      <c r="J138" s="309">
        <v>0.85953269600000004</v>
      </c>
      <c r="K138" s="274">
        <v>0.56380693517810065</v>
      </c>
      <c r="L138" s="303" t="s">
        <v>30</v>
      </c>
      <c r="M138" s="1237">
        <v>3.1038357240000001</v>
      </c>
      <c r="N138" s="1239">
        <v>0</v>
      </c>
      <c r="O138" s="1228">
        <v>3.1038357240000001</v>
      </c>
      <c r="P138" s="1226">
        <v>1.111</v>
      </c>
      <c r="Q138" s="1228">
        <v>1.9928357240000001</v>
      </c>
      <c r="R138" s="1230">
        <v>0.35794420155981166</v>
      </c>
    </row>
    <row r="139" spans="1:18" hidden="1">
      <c r="A139" s="1277"/>
      <c r="B139" s="1233"/>
      <c r="C139" s="1234"/>
      <c r="D139" s="1236">
        <v>8.2242600000000002E-4</v>
      </c>
      <c r="E139" s="287" t="s">
        <v>96</v>
      </c>
      <c r="F139" s="277">
        <v>1.133303028</v>
      </c>
      <c r="G139" s="283"/>
      <c r="H139" s="280">
        <v>1.9928357240000001</v>
      </c>
      <c r="I139" s="315"/>
      <c r="J139" s="316">
        <v>1.9928357240000001</v>
      </c>
      <c r="K139" s="285">
        <v>0</v>
      </c>
      <c r="L139" s="303" t="s">
        <v>30</v>
      </c>
      <c r="M139" s="1238"/>
      <c r="N139" s="1240"/>
      <c r="O139" s="1229"/>
      <c r="P139" s="1227"/>
      <c r="Q139" s="1229"/>
      <c r="R139" s="1231"/>
    </row>
    <row r="140" spans="1:18" hidden="1">
      <c r="A140" s="1216" t="s">
        <v>353</v>
      </c>
      <c r="B140" s="1219" t="s">
        <v>354</v>
      </c>
      <c r="C140" s="1219">
        <v>4313</v>
      </c>
      <c r="D140" s="1220">
        <v>8.0575730999999998E-3</v>
      </c>
      <c r="E140" s="296" t="s">
        <v>35</v>
      </c>
      <c r="F140" s="317">
        <v>19.305945147599999</v>
      </c>
      <c r="G140" s="264"/>
      <c r="H140" s="265">
        <v>19.305945147599999</v>
      </c>
      <c r="I140" s="296"/>
      <c r="J140" s="308">
        <v>19.305945147599999</v>
      </c>
      <c r="K140" s="318">
        <v>0</v>
      </c>
      <c r="L140" s="319" t="s">
        <v>30</v>
      </c>
      <c r="M140" s="1201">
        <v>30.409280879400001</v>
      </c>
      <c r="N140" s="1194">
        <v>0</v>
      </c>
      <c r="O140" s="1194">
        <v>30.409280879400001</v>
      </c>
      <c r="P140" s="1194">
        <v>0</v>
      </c>
      <c r="Q140" s="1194">
        <v>30.409280879400001</v>
      </c>
      <c r="R140" s="1192">
        <v>0</v>
      </c>
    </row>
    <row r="141" spans="1:18" hidden="1">
      <c r="A141" s="1217"/>
      <c r="B141" s="1195"/>
      <c r="C141" s="1195"/>
      <c r="D141" s="1199">
        <v>8.0575730999999998E-3</v>
      </c>
      <c r="E141" s="286" t="s">
        <v>96</v>
      </c>
      <c r="F141" s="320">
        <v>11.1033357318</v>
      </c>
      <c r="G141" s="271"/>
      <c r="H141" s="272">
        <v>30.409280879400001</v>
      </c>
      <c r="I141" s="286"/>
      <c r="J141" s="309">
        <v>30.409280879400001</v>
      </c>
      <c r="K141" s="321">
        <v>0</v>
      </c>
      <c r="L141" s="303" t="s">
        <v>30</v>
      </c>
      <c r="M141" s="1201"/>
      <c r="N141" s="1194"/>
      <c r="O141" s="1194"/>
      <c r="P141" s="1194"/>
      <c r="Q141" s="1194"/>
      <c r="R141" s="1192"/>
    </row>
    <row r="142" spans="1:18" hidden="1">
      <c r="A142" s="1217"/>
      <c r="B142" s="1195" t="s">
        <v>355</v>
      </c>
      <c r="C142" s="1195">
        <v>4410</v>
      </c>
      <c r="D142" s="1199">
        <v>9.2118057000000007E-3</v>
      </c>
      <c r="E142" s="286" t="s">
        <v>35</v>
      </c>
      <c r="F142" s="320">
        <v>22.071486457200002</v>
      </c>
      <c r="G142" s="271"/>
      <c r="H142" s="272">
        <v>22.071486457200002</v>
      </c>
      <c r="I142" s="286"/>
      <c r="J142" s="309">
        <v>22.071486457200002</v>
      </c>
      <c r="K142" s="321">
        <v>0</v>
      </c>
      <c r="L142" s="303" t="s">
        <v>30</v>
      </c>
      <c r="M142" s="1201">
        <v>34.765354711800001</v>
      </c>
      <c r="N142" s="1194">
        <v>0</v>
      </c>
      <c r="O142" s="1194">
        <v>34.765354711800001</v>
      </c>
      <c r="P142" s="1194">
        <v>0</v>
      </c>
      <c r="Q142" s="1194">
        <v>34.765354711800001</v>
      </c>
      <c r="R142" s="1192">
        <v>0</v>
      </c>
    </row>
    <row r="143" spans="1:18" hidden="1">
      <c r="A143" s="1217"/>
      <c r="B143" s="1195"/>
      <c r="C143" s="1195"/>
      <c r="D143" s="1199">
        <v>9.2118057000000007E-3</v>
      </c>
      <c r="E143" s="286" t="s">
        <v>96</v>
      </c>
      <c r="F143" s="320">
        <v>12.693868254600002</v>
      </c>
      <c r="G143" s="271"/>
      <c r="H143" s="272">
        <v>34.765354711800001</v>
      </c>
      <c r="I143" s="286"/>
      <c r="J143" s="309">
        <v>34.765354711800001</v>
      </c>
      <c r="K143" s="321">
        <v>0</v>
      </c>
      <c r="L143" s="303" t="s">
        <v>30</v>
      </c>
      <c r="M143" s="1201"/>
      <c r="N143" s="1194"/>
      <c r="O143" s="1194"/>
      <c r="P143" s="1194"/>
      <c r="Q143" s="1194"/>
      <c r="R143" s="1192"/>
    </row>
    <row r="144" spans="1:18" hidden="1">
      <c r="A144" s="1217"/>
      <c r="B144" s="1195" t="s">
        <v>356</v>
      </c>
      <c r="C144" s="1195" t="s">
        <v>357</v>
      </c>
      <c r="D144" s="1199">
        <v>2.52421127E-2</v>
      </c>
      <c r="E144" s="286" t="s">
        <v>35</v>
      </c>
      <c r="F144" s="320">
        <v>60.480102029199998</v>
      </c>
      <c r="G144" s="271"/>
      <c r="H144" s="272">
        <v>60.480102029199998</v>
      </c>
      <c r="I144" s="286">
        <v>1.7310000000000001</v>
      </c>
      <c r="J144" s="309">
        <v>58.749102029199996</v>
      </c>
      <c r="K144" s="321">
        <v>2.8620983462697657E-2</v>
      </c>
      <c r="L144" s="303" t="s">
        <v>30</v>
      </c>
      <c r="M144" s="1201">
        <v>95.263733329800004</v>
      </c>
      <c r="N144" s="1194">
        <v>0</v>
      </c>
      <c r="O144" s="1194">
        <v>95.263733329800004</v>
      </c>
      <c r="P144" s="1194">
        <v>1.7310000000000001</v>
      </c>
      <c r="Q144" s="1194">
        <v>93.53273332980001</v>
      </c>
      <c r="R144" s="1192">
        <v>1.8170608472873231E-2</v>
      </c>
    </row>
    <row r="145" spans="1:18" hidden="1">
      <c r="A145" s="1217"/>
      <c r="B145" s="1195"/>
      <c r="C145" s="1195"/>
      <c r="D145" s="1199">
        <v>2.52421127E-2</v>
      </c>
      <c r="E145" s="286" t="s">
        <v>96</v>
      </c>
      <c r="F145" s="320">
        <v>34.7836313006</v>
      </c>
      <c r="G145" s="271"/>
      <c r="H145" s="272">
        <v>93.532733329799996</v>
      </c>
      <c r="I145" s="286"/>
      <c r="J145" s="309">
        <v>93.532733329799996</v>
      </c>
      <c r="K145" s="321">
        <v>0</v>
      </c>
      <c r="L145" s="303" t="s">
        <v>30</v>
      </c>
      <c r="M145" s="1201"/>
      <c r="N145" s="1194"/>
      <c r="O145" s="1194"/>
      <c r="P145" s="1194"/>
      <c r="Q145" s="1194"/>
      <c r="R145" s="1192"/>
    </row>
    <row r="146" spans="1:18" hidden="1">
      <c r="A146" s="1217"/>
      <c r="B146" s="1214" t="s">
        <v>417</v>
      </c>
      <c r="C146" s="1214" t="s">
        <v>358</v>
      </c>
      <c r="D146" s="1215">
        <v>9.2013249999999998E-3</v>
      </c>
      <c r="E146" s="286" t="s">
        <v>35</v>
      </c>
      <c r="F146" s="320">
        <v>22.046374700000001</v>
      </c>
      <c r="G146" s="312">
        <v>-34.725000000000001</v>
      </c>
      <c r="H146" s="272">
        <v>-12.6786253</v>
      </c>
      <c r="I146" s="286"/>
      <c r="J146" s="309">
        <v>-12.6786253</v>
      </c>
      <c r="K146" s="321">
        <v>0</v>
      </c>
      <c r="L146" s="303" t="s">
        <v>30</v>
      </c>
      <c r="M146" s="1201">
        <v>34.725800550000002</v>
      </c>
      <c r="N146" s="1194">
        <v>-34.725000000000001</v>
      </c>
      <c r="O146" s="1194">
        <v>8.0055000000101018E-4</v>
      </c>
      <c r="P146" s="1194">
        <v>0</v>
      </c>
      <c r="Q146" s="1194">
        <v>8.0055000000101018E-4</v>
      </c>
      <c r="R146" s="1192">
        <v>0</v>
      </c>
    </row>
    <row r="147" spans="1:18" hidden="1">
      <c r="A147" s="1217"/>
      <c r="B147" s="1214"/>
      <c r="C147" s="1214"/>
      <c r="D147" s="1215">
        <v>9.2013249999999998E-3</v>
      </c>
      <c r="E147" s="286" t="s">
        <v>96</v>
      </c>
      <c r="F147" s="320">
        <v>12.679425849999999</v>
      </c>
      <c r="G147" s="271"/>
      <c r="H147" s="272">
        <v>8.0054999999923382E-4</v>
      </c>
      <c r="I147" s="286"/>
      <c r="J147" s="309">
        <v>8.0054999999923382E-4</v>
      </c>
      <c r="K147" s="321">
        <v>0</v>
      </c>
      <c r="L147" s="303" t="s">
        <v>30</v>
      </c>
      <c r="M147" s="1201"/>
      <c r="N147" s="1194"/>
      <c r="O147" s="1194"/>
      <c r="P147" s="1194"/>
      <c r="Q147" s="1194"/>
      <c r="R147" s="1192"/>
    </row>
    <row r="148" spans="1:18" hidden="1">
      <c r="A148" s="1217"/>
      <c r="B148" s="1221" t="s">
        <v>424</v>
      </c>
      <c r="C148" s="1222" t="s">
        <v>359</v>
      </c>
      <c r="D148" s="1223">
        <v>2.11414194E-2</v>
      </c>
      <c r="E148" s="286" t="s">
        <v>35</v>
      </c>
      <c r="F148" s="317">
        <v>50.654840882400002</v>
      </c>
      <c r="G148" s="300">
        <v>-61.341999999999999</v>
      </c>
      <c r="H148" s="265">
        <v>-10.687159117599997</v>
      </c>
      <c r="I148" s="296"/>
      <c r="J148" s="308">
        <v>-10.687159117599997</v>
      </c>
      <c r="K148" s="318">
        <v>0</v>
      </c>
      <c r="L148" s="303" t="s">
        <v>30</v>
      </c>
      <c r="M148" s="1224">
        <v>79.787716815600007</v>
      </c>
      <c r="N148" s="1225">
        <v>-61.341999999999999</v>
      </c>
      <c r="O148" s="1225">
        <v>18.445716815600008</v>
      </c>
      <c r="P148" s="1225">
        <v>0</v>
      </c>
      <c r="Q148" s="1225">
        <v>18.445716815600008</v>
      </c>
      <c r="R148" s="1211">
        <v>0</v>
      </c>
    </row>
    <row r="149" spans="1:18" hidden="1">
      <c r="A149" s="1217"/>
      <c r="B149" s="1205"/>
      <c r="C149" s="1206"/>
      <c r="D149" s="1207"/>
      <c r="E149" s="286" t="s">
        <v>96</v>
      </c>
      <c r="F149" s="320">
        <v>29.132875933200001</v>
      </c>
      <c r="G149" s="271"/>
      <c r="H149" s="272">
        <v>18.445716815600004</v>
      </c>
      <c r="I149" s="286"/>
      <c r="J149" s="309">
        <v>18.445716815600004</v>
      </c>
      <c r="K149" s="321">
        <v>0</v>
      </c>
      <c r="L149" s="303" t="s">
        <v>30</v>
      </c>
      <c r="M149" s="1201"/>
      <c r="N149" s="1194"/>
      <c r="O149" s="1194"/>
      <c r="P149" s="1194"/>
      <c r="Q149" s="1194"/>
      <c r="R149" s="1192"/>
    </row>
    <row r="150" spans="1:18" hidden="1">
      <c r="A150" s="1217"/>
      <c r="B150" s="1212" t="s">
        <v>423</v>
      </c>
      <c r="C150" s="1212" t="s">
        <v>360</v>
      </c>
      <c r="D150" s="1213">
        <v>3.1669227299999998E-2</v>
      </c>
      <c r="E150" s="286" t="s">
        <v>35</v>
      </c>
      <c r="F150" s="320">
        <v>75.879468610799989</v>
      </c>
      <c r="G150" s="288">
        <v>-119.51900000000001</v>
      </c>
      <c r="H150" s="272">
        <v>-43.639531389200016</v>
      </c>
      <c r="I150" s="286"/>
      <c r="J150" s="309">
        <v>-43.639531389200016</v>
      </c>
      <c r="K150" s="321">
        <v>0</v>
      </c>
      <c r="L150" s="289">
        <v>43508</v>
      </c>
      <c r="M150" s="1201">
        <v>119.51966383019999</v>
      </c>
      <c r="N150" s="1194">
        <v>-119.51900000000001</v>
      </c>
      <c r="O150" s="1194">
        <v>6.6383019998283999E-4</v>
      </c>
      <c r="P150" s="1194">
        <v>0</v>
      </c>
      <c r="Q150" s="1194">
        <v>6.6383019998283999E-4</v>
      </c>
      <c r="R150" s="1192">
        <v>0</v>
      </c>
    </row>
    <row r="151" spans="1:18" hidden="1">
      <c r="A151" s="1217"/>
      <c r="B151" s="1212"/>
      <c r="C151" s="1212"/>
      <c r="D151" s="1213">
        <v>3.1669227299999998E-2</v>
      </c>
      <c r="E151" s="286" t="s">
        <v>96</v>
      </c>
      <c r="F151" s="320">
        <v>43.640195219399999</v>
      </c>
      <c r="G151" s="271"/>
      <c r="H151" s="272">
        <v>6.6383019998283999E-4</v>
      </c>
      <c r="I151" s="286"/>
      <c r="J151" s="309">
        <v>6.6383019998283999E-4</v>
      </c>
      <c r="K151" s="321">
        <v>0</v>
      </c>
      <c r="L151" s="289">
        <v>43508</v>
      </c>
      <c r="M151" s="1201"/>
      <c r="N151" s="1194"/>
      <c r="O151" s="1194"/>
      <c r="P151" s="1194"/>
      <c r="Q151" s="1194"/>
      <c r="R151" s="1192"/>
    </row>
    <row r="152" spans="1:18">
      <c r="A152" s="1217"/>
      <c r="B152" s="1204" t="s">
        <v>379</v>
      </c>
      <c r="C152" s="1205" t="s">
        <v>361</v>
      </c>
      <c r="D152" s="1207">
        <v>6.9147745E-3</v>
      </c>
      <c r="E152" s="286" t="s">
        <v>35</v>
      </c>
      <c r="F152" s="320">
        <v>16.567799701999999</v>
      </c>
      <c r="G152" s="300">
        <v>-26.097000000000001</v>
      </c>
      <c r="H152" s="272">
        <v>-9.5292002980000028</v>
      </c>
      <c r="I152" s="286"/>
      <c r="J152" s="309">
        <v>-9.5292002980000028</v>
      </c>
      <c r="K152" s="321">
        <v>0</v>
      </c>
      <c r="L152" s="302">
        <v>43508</v>
      </c>
      <c r="M152" s="1208">
        <v>26.096358963</v>
      </c>
      <c r="N152" s="1209">
        <v>-26.097000000000001</v>
      </c>
      <c r="O152" s="1209">
        <v>-6.4103700000117669E-4</v>
      </c>
      <c r="P152" s="1209">
        <v>0</v>
      </c>
      <c r="Q152" s="1209">
        <v>-6.4103700000117669E-4</v>
      </c>
      <c r="R152" s="1210">
        <v>0</v>
      </c>
    </row>
    <row r="153" spans="1:18">
      <c r="A153" s="1217"/>
      <c r="B153" s="1204"/>
      <c r="C153" s="1205"/>
      <c r="D153" s="1207">
        <v>6.9147745E-3</v>
      </c>
      <c r="E153" s="286" t="s">
        <v>96</v>
      </c>
      <c r="F153" s="320">
        <v>9.5285592609999998</v>
      </c>
      <c r="G153" s="271"/>
      <c r="H153" s="272">
        <v>-6.4103700000295305E-4</v>
      </c>
      <c r="I153" s="286"/>
      <c r="J153" s="309">
        <v>-6.4103700000295305E-4</v>
      </c>
      <c r="K153" s="321">
        <v>0</v>
      </c>
      <c r="L153" s="302">
        <v>43508</v>
      </c>
      <c r="M153" s="1208"/>
      <c r="N153" s="1209"/>
      <c r="O153" s="1209"/>
      <c r="P153" s="1209"/>
      <c r="Q153" s="1209"/>
      <c r="R153" s="1210"/>
    </row>
    <row r="154" spans="1:18">
      <c r="A154" s="1217"/>
      <c r="B154" s="1205" t="s">
        <v>380</v>
      </c>
      <c r="C154" s="1206" t="s">
        <v>362</v>
      </c>
      <c r="D154" s="1207">
        <v>1.83231378E-2</v>
      </c>
      <c r="E154" s="286" t="s">
        <v>35</v>
      </c>
      <c r="F154" s="320">
        <v>43.902238168799997</v>
      </c>
      <c r="G154" s="300">
        <v>-69.150999999999996</v>
      </c>
      <c r="H154" s="272">
        <v>-25.2487618312</v>
      </c>
      <c r="I154" s="286"/>
      <c r="J154" s="309">
        <v>-25.2487618312</v>
      </c>
      <c r="K154" s="321">
        <v>0</v>
      </c>
      <c r="L154" s="302">
        <v>43508</v>
      </c>
      <c r="M154" s="1201">
        <v>69.151522057199998</v>
      </c>
      <c r="N154" s="1194">
        <v>-69.150999999999996</v>
      </c>
      <c r="O154" s="1194">
        <v>5.220572000013135E-4</v>
      </c>
      <c r="P154" s="1194">
        <v>0</v>
      </c>
      <c r="Q154" s="1194">
        <v>5.220572000013135E-4</v>
      </c>
      <c r="R154" s="1192">
        <v>0</v>
      </c>
    </row>
    <row r="155" spans="1:18">
      <c r="A155" s="1217"/>
      <c r="B155" s="1205"/>
      <c r="C155" s="1206"/>
      <c r="D155" s="1207">
        <v>1.83231378E-2</v>
      </c>
      <c r="E155" s="286" t="s">
        <v>96</v>
      </c>
      <c r="F155" s="320">
        <v>25.249283888400001</v>
      </c>
      <c r="G155" s="271"/>
      <c r="H155" s="272">
        <v>5.220572000013135E-4</v>
      </c>
      <c r="I155" s="286"/>
      <c r="J155" s="309">
        <v>5.220572000013135E-4</v>
      </c>
      <c r="K155" s="321">
        <v>0</v>
      </c>
      <c r="L155" s="302">
        <v>43508</v>
      </c>
      <c r="M155" s="1201"/>
      <c r="N155" s="1194"/>
      <c r="O155" s="1194"/>
      <c r="P155" s="1194"/>
      <c r="Q155" s="1194"/>
      <c r="R155" s="1192"/>
    </row>
    <row r="156" spans="1:18">
      <c r="A156" s="1217"/>
      <c r="B156" s="1204" t="s">
        <v>381</v>
      </c>
      <c r="C156" s="1206" t="s">
        <v>363</v>
      </c>
      <c r="D156" s="1207">
        <v>2.39364964E-2</v>
      </c>
      <c r="E156" s="286" t="s">
        <v>35</v>
      </c>
      <c r="F156" s="320">
        <v>57.3518453744</v>
      </c>
      <c r="G156" s="300">
        <v>-90.335999999999999</v>
      </c>
      <c r="H156" s="272">
        <v>-32.984154625599999</v>
      </c>
      <c r="I156" s="286"/>
      <c r="J156" s="309">
        <v>-32.984154625599999</v>
      </c>
      <c r="K156" s="321">
        <v>0</v>
      </c>
      <c r="L156" s="302">
        <v>43508</v>
      </c>
      <c r="M156" s="1201">
        <v>90.336337413600006</v>
      </c>
      <c r="N156" s="1194">
        <v>-90.335999999999999</v>
      </c>
      <c r="O156" s="1194">
        <v>3.3741360000760778E-4</v>
      </c>
      <c r="P156" s="1194">
        <v>0</v>
      </c>
      <c r="Q156" s="1194">
        <v>3.3741360000760778E-4</v>
      </c>
      <c r="R156" s="1192">
        <v>0</v>
      </c>
    </row>
    <row r="157" spans="1:18">
      <c r="A157" s="1217"/>
      <c r="B157" s="1204"/>
      <c r="C157" s="1206"/>
      <c r="D157" s="1207">
        <v>2.39364964E-2</v>
      </c>
      <c r="E157" s="286" t="s">
        <v>96</v>
      </c>
      <c r="F157" s="320">
        <v>32.984492039199999</v>
      </c>
      <c r="G157" s="271"/>
      <c r="H157" s="272">
        <v>3.3741360000050236E-4</v>
      </c>
      <c r="I157" s="286"/>
      <c r="J157" s="309">
        <v>3.3741360000050236E-4</v>
      </c>
      <c r="K157" s="321">
        <v>0</v>
      </c>
      <c r="L157" s="302">
        <v>43508</v>
      </c>
      <c r="M157" s="1201"/>
      <c r="N157" s="1194"/>
      <c r="O157" s="1194"/>
      <c r="P157" s="1194"/>
      <c r="Q157" s="1194"/>
      <c r="R157" s="1192"/>
    </row>
    <row r="158" spans="1:18" hidden="1">
      <c r="A158" s="1217"/>
      <c r="B158" s="1195" t="s">
        <v>382</v>
      </c>
      <c r="C158" s="1195" t="s">
        <v>364</v>
      </c>
      <c r="D158" s="1199">
        <v>1.6824903700000001E-2</v>
      </c>
      <c r="E158" s="286" t="s">
        <v>35</v>
      </c>
      <c r="F158" s="320">
        <v>40.312469265200001</v>
      </c>
      <c r="G158" s="271"/>
      <c r="H158" s="272">
        <v>40.312469265200001</v>
      </c>
      <c r="I158" s="286"/>
      <c r="J158" s="309">
        <v>40.312469265200001</v>
      </c>
      <c r="K158" s="321">
        <v>0</v>
      </c>
      <c r="L158" s="303" t="s">
        <v>30</v>
      </c>
      <c r="M158" s="1201">
        <v>63.4971865638</v>
      </c>
      <c r="N158" s="1194">
        <v>0</v>
      </c>
      <c r="O158" s="1194">
        <v>63.4971865638</v>
      </c>
      <c r="P158" s="1194">
        <v>0</v>
      </c>
      <c r="Q158" s="1194">
        <v>63.4971865638</v>
      </c>
      <c r="R158" s="1192">
        <v>0</v>
      </c>
    </row>
    <row r="159" spans="1:18" hidden="1">
      <c r="A159" s="1217"/>
      <c r="B159" s="1195"/>
      <c r="C159" s="1195"/>
      <c r="D159" s="1199">
        <v>1.6824903700000001E-2</v>
      </c>
      <c r="E159" s="286" t="s">
        <v>96</v>
      </c>
      <c r="F159" s="320">
        <v>23.184717298600003</v>
      </c>
      <c r="G159" s="271"/>
      <c r="H159" s="272">
        <v>63.4971865638</v>
      </c>
      <c r="I159" s="286"/>
      <c r="J159" s="309">
        <v>63.4971865638</v>
      </c>
      <c r="K159" s="321">
        <v>0</v>
      </c>
      <c r="L159" s="303" t="s">
        <v>30</v>
      </c>
      <c r="M159" s="1201"/>
      <c r="N159" s="1194"/>
      <c r="O159" s="1194"/>
      <c r="P159" s="1194"/>
      <c r="Q159" s="1194"/>
      <c r="R159" s="1192"/>
    </row>
    <row r="160" spans="1:18" hidden="1">
      <c r="A160" s="1217"/>
      <c r="B160" s="1205" t="s">
        <v>383</v>
      </c>
      <c r="C160" s="1205" t="s">
        <v>365</v>
      </c>
      <c r="D160" s="1207">
        <v>1.0717428899999999E-2</v>
      </c>
      <c r="E160" s="286" t="s">
        <v>35</v>
      </c>
      <c r="F160" s="320">
        <v>25.678959644399999</v>
      </c>
      <c r="G160" s="300">
        <v>-37.067999999999998</v>
      </c>
      <c r="H160" s="272">
        <v>-11.389040355599999</v>
      </c>
      <c r="I160" s="286"/>
      <c r="J160" s="309">
        <v>-11.389040355599999</v>
      </c>
      <c r="K160" s="321">
        <v>0</v>
      </c>
      <c r="L160" s="303" t="s">
        <v>30</v>
      </c>
      <c r="M160" s="1201">
        <v>40.4475766686</v>
      </c>
      <c r="N160" s="1194">
        <v>-37.067999999999998</v>
      </c>
      <c r="O160" s="1194">
        <v>3.3795766686000022</v>
      </c>
      <c r="P160" s="1194">
        <v>0</v>
      </c>
      <c r="Q160" s="1194">
        <v>3.3795766686000022</v>
      </c>
      <c r="R160" s="1192">
        <v>0</v>
      </c>
    </row>
    <row r="161" spans="1:18" hidden="1">
      <c r="A161" s="1217"/>
      <c r="B161" s="1205"/>
      <c r="C161" s="1205"/>
      <c r="D161" s="1207">
        <v>1.0717428899999999E-2</v>
      </c>
      <c r="E161" s="286" t="s">
        <v>96</v>
      </c>
      <c r="F161" s="320">
        <v>14.768617024199999</v>
      </c>
      <c r="G161" s="271"/>
      <c r="H161" s="272">
        <v>3.3795766686000004</v>
      </c>
      <c r="I161" s="286"/>
      <c r="J161" s="309">
        <v>3.3795766686000004</v>
      </c>
      <c r="K161" s="321">
        <v>0</v>
      </c>
      <c r="L161" s="303" t="s">
        <v>30</v>
      </c>
      <c r="M161" s="1201"/>
      <c r="N161" s="1194"/>
      <c r="O161" s="1194"/>
      <c r="P161" s="1194"/>
      <c r="Q161" s="1194"/>
      <c r="R161" s="1192"/>
    </row>
    <row r="162" spans="1:18">
      <c r="A162" s="1217"/>
      <c r="B162" s="1204" t="s">
        <v>384</v>
      </c>
      <c r="C162" s="1205" t="s">
        <v>366</v>
      </c>
      <c r="D162" s="1207">
        <v>1.2828120599999999E-2</v>
      </c>
      <c r="E162" s="286" t="s">
        <v>35</v>
      </c>
      <c r="F162" s="320">
        <v>30.736176957599998</v>
      </c>
      <c r="G162" s="300">
        <v>-48.412999999999997</v>
      </c>
      <c r="H162" s="272">
        <v>-17.676823042399999</v>
      </c>
      <c r="I162" s="286"/>
      <c r="J162" s="309">
        <v>-17.676823042399999</v>
      </c>
      <c r="K162" s="321">
        <v>0</v>
      </c>
      <c r="L162" s="302">
        <v>43508</v>
      </c>
      <c r="M162" s="1201">
        <v>48.4133271444</v>
      </c>
      <c r="N162" s="1194">
        <v>-48.412999999999997</v>
      </c>
      <c r="O162" s="1194">
        <v>3.2714440000347622E-4</v>
      </c>
      <c r="P162" s="1194">
        <v>0</v>
      </c>
      <c r="Q162" s="1194">
        <v>3.2714440000347622E-4</v>
      </c>
      <c r="R162" s="1192">
        <v>0</v>
      </c>
    </row>
    <row r="163" spans="1:18">
      <c r="A163" s="1217"/>
      <c r="B163" s="1205"/>
      <c r="C163" s="1205"/>
      <c r="D163" s="1207">
        <v>1.2828120599999999E-2</v>
      </c>
      <c r="E163" s="286" t="s">
        <v>96</v>
      </c>
      <c r="F163" s="320">
        <v>17.677150186799999</v>
      </c>
      <c r="G163" s="271"/>
      <c r="H163" s="272">
        <v>3.2714439999992351E-4</v>
      </c>
      <c r="I163" s="286"/>
      <c r="J163" s="309">
        <v>3.2714439999992351E-4</v>
      </c>
      <c r="K163" s="321">
        <v>0</v>
      </c>
      <c r="L163" s="302">
        <v>43508</v>
      </c>
      <c r="M163" s="1201"/>
      <c r="N163" s="1194"/>
      <c r="O163" s="1194"/>
      <c r="P163" s="1194"/>
      <c r="Q163" s="1194"/>
      <c r="R163" s="1192"/>
    </row>
    <row r="164" spans="1:18">
      <c r="A164" s="1217"/>
      <c r="B164" s="1204" t="s">
        <v>421</v>
      </c>
      <c r="C164" s="1205" t="s">
        <v>367</v>
      </c>
      <c r="D164" s="1207">
        <v>9.5119834E-3</v>
      </c>
      <c r="E164" s="286" t="s">
        <v>35</v>
      </c>
      <c r="F164" s="320">
        <v>22.7907122264</v>
      </c>
      <c r="G164" s="300">
        <v>-35.898000000000003</v>
      </c>
      <c r="H164" s="272">
        <v>-13.107287773600003</v>
      </c>
      <c r="I164" s="286"/>
      <c r="J164" s="309">
        <v>-13.107287773600003</v>
      </c>
      <c r="K164" s="321">
        <v>0</v>
      </c>
      <c r="L164" s="302">
        <v>43508</v>
      </c>
      <c r="M164" s="1208">
        <v>35.898225351600004</v>
      </c>
      <c r="N164" s="1209">
        <v>-35.898000000000003</v>
      </c>
      <c r="O164" s="1209">
        <v>2.253516000010336E-4</v>
      </c>
      <c r="P164" s="1209">
        <v>0</v>
      </c>
      <c r="Q164" s="1209">
        <v>2.253516000010336E-4</v>
      </c>
      <c r="R164" s="1210">
        <v>0</v>
      </c>
    </row>
    <row r="165" spans="1:18">
      <c r="A165" s="1217"/>
      <c r="B165" s="1205"/>
      <c r="C165" s="1205"/>
      <c r="D165" s="1207">
        <v>9.5119834E-3</v>
      </c>
      <c r="E165" s="286" t="s">
        <v>96</v>
      </c>
      <c r="F165" s="320">
        <v>13.107513125200001</v>
      </c>
      <c r="G165" s="271"/>
      <c r="H165" s="272">
        <v>2.2535159999748089E-4</v>
      </c>
      <c r="I165" s="286"/>
      <c r="J165" s="309">
        <v>2.2535159999748089E-4</v>
      </c>
      <c r="K165" s="321">
        <v>0</v>
      </c>
      <c r="L165" s="302">
        <v>43508</v>
      </c>
      <c r="M165" s="1208"/>
      <c r="N165" s="1209"/>
      <c r="O165" s="1209"/>
      <c r="P165" s="1209"/>
      <c r="Q165" s="1209"/>
      <c r="R165" s="1210"/>
    </row>
    <row r="166" spans="1:18">
      <c r="A166" s="1217"/>
      <c r="B166" s="1205" t="s">
        <v>385</v>
      </c>
      <c r="C166" s="1205" t="s">
        <v>368</v>
      </c>
      <c r="D166" s="1207">
        <v>5.5353395999999996E-3</v>
      </c>
      <c r="E166" s="286" t="s">
        <v>35</v>
      </c>
      <c r="F166" s="320">
        <v>13.262673681599999</v>
      </c>
      <c r="G166" s="300">
        <v>-20.89</v>
      </c>
      <c r="H166" s="272">
        <v>-7.6273263184000015</v>
      </c>
      <c r="I166" s="286"/>
      <c r="J166" s="309">
        <v>-7.6273263184000015</v>
      </c>
      <c r="K166" s="321">
        <v>0</v>
      </c>
      <c r="L166" s="302">
        <v>43508</v>
      </c>
      <c r="M166" s="1208">
        <v>20.890371650399999</v>
      </c>
      <c r="N166" s="1209">
        <v>-20.89</v>
      </c>
      <c r="O166" s="1209">
        <v>3.7165039999820237E-4</v>
      </c>
      <c r="P166" s="1209">
        <v>0</v>
      </c>
      <c r="Q166" s="1209">
        <v>3.7165039999820237E-4</v>
      </c>
      <c r="R166" s="1210">
        <v>0</v>
      </c>
    </row>
    <row r="167" spans="1:18">
      <c r="A167" s="1217"/>
      <c r="B167" s="1205"/>
      <c r="C167" s="1205"/>
      <c r="D167" s="1207">
        <v>5.5353395999999996E-3</v>
      </c>
      <c r="E167" s="286" t="s">
        <v>96</v>
      </c>
      <c r="F167" s="320">
        <v>7.6276979687999997</v>
      </c>
      <c r="G167" s="271"/>
      <c r="H167" s="272">
        <v>3.7165039999820237E-4</v>
      </c>
      <c r="I167" s="286"/>
      <c r="J167" s="309">
        <v>3.7165039999820237E-4</v>
      </c>
      <c r="K167" s="321">
        <v>0</v>
      </c>
      <c r="L167" s="302">
        <v>43508</v>
      </c>
      <c r="M167" s="1208"/>
      <c r="N167" s="1209"/>
      <c r="O167" s="1209"/>
      <c r="P167" s="1209"/>
      <c r="Q167" s="1209"/>
      <c r="R167" s="1210"/>
    </row>
    <row r="168" spans="1:18">
      <c r="A168" s="1217"/>
      <c r="B168" s="1205" t="s">
        <v>386</v>
      </c>
      <c r="C168" s="1206" t="s">
        <v>369</v>
      </c>
      <c r="D168" s="1207">
        <v>1.521573E-2</v>
      </c>
      <c r="E168" s="286" t="s">
        <v>35</v>
      </c>
      <c r="F168" s="320">
        <v>36.456889080000003</v>
      </c>
      <c r="G168" s="300">
        <v>-57.423999999999999</v>
      </c>
      <c r="H168" s="272">
        <v>-20.967110919999996</v>
      </c>
      <c r="I168" s="286"/>
      <c r="J168" s="309">
        <v>-20.967110919999996</v>
      </c>
      <c r="K168" s="321">
        <v>0</v>
      </c>
      <c r="L168" s="302">
        <v>43508</v>
      </c>
      <c r="M168" s="1201">
        <v>57.424165020000004</v>
      </c>
      <c r="N168" s="1194">
        <v>-57.423999999999999</v>
      </c>
      <c r="O168" s="1194">
        <v>1.6502000000429007E-4</v>
      </c>
      <c r="P168" s="1194">
        <v>0</v>
      </c>
      <c r="Q168" s="1194">
        <v>1.6502000000429007E-4</v>
      </c>
      <c r="R168" s="1192">
        <v>0</v>
      </c>
    </row>
    <row r="169" spans="1:18">
      <c r="A169" s="1217"/>
      <c r="B169" s="1205"/>
      <c r="C169" s="1206"/>
      <c r="D169" s="1207">
        <v>1.521573E-2</v>
      </c>
      <c r="E169" s="286" t="s">
        <v>96</v>
      </c>
      <c r="F169" s="320">
        <v>20.96727594</v>
      </c>
      <c r="G169" s="271"/>
      <c r="H169" s="272">
        <v>1.6502000000429007E-4</v>
      </c>
      <c r="I169" s="286"/>
      <c r="J169" s="309">
        <v>1.6502000000429007E-4</v>
      </c>
      <c r="K169" s="321">
        <v>0</v>
      </c>
      <c r="L169" s="302">
        <v>43508</v>
      </c>
      <c r="M169" s="1201"/>
      <c r="N169" s="1194"/>
      <c r="O169" s="1194"/>
      <c r="P169" s="1194"/>
      <c r="Q169" s="1194"/>
      <c r="R169" s="1192"/>
    </row>
    <row r="170" spans="1:18">
      <c r="A170" s="1217"/>
      <c r="B170" s="1204" t="s">
        <v>422</v>
      </c>
      <c r="C170" s="1206" t="s">
        <v>370</v>
      </c>
      <c r="D170" s="1207">
        <v>6.7761519999999997E-4</v>
      </c>
      <c r="E170" s="286" t="s">
        <v>35</v>
      </c>
      <c r="F170" s="320">
        <v>1.6235660191999999</v>
      </c>
      <c r="G170" s="300">
        <v>-2.5569999999999999</v>
      </c>
      <c r="H170" s="272">
        <v>-0.93343398080000006</v>
      </c>
      <c r="I170" s="286"/>
      <c r="J170" s="309">
        <v>-0.93343398080000006</v>
      </c>
      <c r="K170" s="321">
        <v>0</v>
      </c>
      <c r="L170" s="302">
        <v>43508</v>
      </c>
      <c r="M170" s="1201">
        <v>2.5573197647999999</v>
      </c>
      <c r="N170" s="1194">
        <v>-2.5569999999999999</v>
      </c>
      <c r="O170" s="1194">
        <v>3.1976479999995533E-4</v>
      </c>
      <c r="P170" s="1194">
        <v>0</v>
      </c>
      <c r="Q170" s="1194">
        <v>3.1976479999995533E-4</v>
      </c>
      <c r="R170" s="1192">
        <v>0</v>
      </c>
    </row>
    <row r="171" spans="1:18">
      <c r="A171" s="1217"/>
      <c r="B171" s="1205"/>
      <c r="C171" s="1206"/>
      <c r="D171" s="1207">
        <v>6.7761519999999997E-4</v>
      </c>
      <c r="E171" s="286" t="s">
        <v>96</v>
      </c>
      <c r="F171" s="320">
        <v>0.93375374559999991</v>
      </c>
      <c r="G171" s="271"/>
      <c r="H171" s="272">
        <v>3.1976479999984431E-4</v>
      </c>
      <c r="I171" s="286"/>
      <c r="J171" s="309">
        <v>3.1976479999984431E-4</v>
      </c>
      <c r="K171" s="321">
        <v>0</v>
      </c>
      <c r="L171" s="302">
        <v>43508</v>
      </c>
      <c r="M171" s="1201"/>
      <c r="N171" s="1194"/>
      <c r="O171" s="1194"/>
      <c r="P171" s="1194"/>
      <c r="Q171" s="1194"/>
      <c r="R171" s="1192"/>
    </row>
    <row r="172" spans="1:18" hidden="1">
      <c r="A172" s="1217"/>
      <c r="B172" s="1195" t="s">
        <v>371</v>
      </c>
      <c r="C172" s="1197"/>
      <c r="D172" s="1199">
        <v>4.3170543000000004E-3</v>
      </c>
      <c r="E172" s="286" t="s">
        <v>35</v>
      </c>
      <c r="F172" s="320">
        <v>10.343662102800002</v>
      </c>
      <c r="G172" s="271"/>
      <c r="H172" s="272">
        <v>10.343662102800002</v>
      </c>
      <c r="I172" s="286">
        <v>0.98699999999999999</v>
      </c>
      <c r="J172" s="309">
        <v>9.3566621028000014</v>
      </c>
      <c r="K172" s="321">
        <v>9.5420750425791817E-2</v>
      </c>
      <c r="L172" s="303" t="s">
        <v>30</v>
      </c>
      <c r="M172" s="1201">
        <v>16.292562928200002</v>
      </c>
      <c r="N172" s="1194">
        <v>0</v>
      </c>
      <c r="O172" s="1194">
        <v>16.292562928200002</v>
      </c>
      <c r="P172" s="1194">
        <v>0.98699999999999999</v>
      </c>
      <c r="Q172" s="1194">
        <v>15.305562928200002</v>
      </c>
      <c r="R172" s="1192">
        <v>6.0579787498727403E-2</v>
      </c>
    </row>
    <row r="173" spans="1:18" hidden="1">
      <c r="A173" s="1218"/>
      <c r="B173" s="1196"/>
      <c r="C173" s="1198"/>
      <c r="D173" s="1200">
        <v>4.3170543000000004E-3</v>
      </c>
      <c r="E173" s="322" t="s">
        <v>96</v>
      </c>
      <c r="F173" s="323">
        <v>5.9489008254000009</v>
      </c>
      <c r="G173" s="278"/>
      <c r="H173" s="279">
        <v>15.305562928200002</v>
      </c>
      <c r="I173" s="322"/>
      <c r="J173" s="324">
        <v>15.305562928200002</v>
      </c>
      <c r="K173" s="325">
        <v>0</v>
      </c>
      <c r="L173" s="303" t="s">
        <v>30</v>
      </c>
      <c r="M173" s="1202"/>
      <c r="N173" s="1203"/>
      <c r="O173" s="1203"/>
      <c r="P173" s="1203"/>
      <c r="Q173" s="1203"/>
      <c r="R173" s="1193"/>
    </row>
  </sheetData>
  <autoFilter ref="A1:L173">
    <filterColumn colId="11">
      <colorFilter dxfId="11"/>
    </filterColumn>
  </autoFilter>
  <mergeCells count="778">
    <mergeCell ref="A2:A33"/>
    <mergeCell ref="B2:B3"/>
    <mergeCell ref="C2:C3"/>
    <mergeCell ref="D2:D3"/>
    <mergeCell ref="M2:M3"/>
    <mergeCell ref="N2:N3"/>
    <mergeCell ref="B12:B13"/>
    <mergeCell ref="C12:C13"/>
    <mergeCell ref="D12:D13"/>
    <mergeCell ref="M12:M13"/>
    <mergeCell ref="B6:B7"/>
    <mergeCell ref="C6:C7"/>
    <mergeCell ref="D6:D7"/>
    <mergeCell ref="M6:M7"/>
    <mergeCell ref="N6:N7"/>
    <mergeCell ref="B10:B11"/>
    <mergeCell ref="C10:C11"/>
    <mergeCell ref="D10:D11"/>
    <mergeCell ref="M10:M11"/>
    <mergeCell ref="N10:N11"/>
    <mergeCell ref="B14:B15"/>
    <mergeCell ref="C14:C15"/>
    <mergeCell ref="D14:D15"/>
    <mergeCell ref="M14:M15"/>
    <mergeCell ref="O2:O3"/>
    <mergeCell ref="P2:P3"/>
    <mergeCell ref="Q2:Q3"/>
    <mergeCell ref="R2:R3"/>
    <mergeCell ref="B4:B5"/>
    <mergeCell ref="C4:C5"/>
    <mergeCell ref="D4:D5"/>
    <mergeCell ref="M4:M5"/>
    <mergeCell ref="N4:N5"/>
    <mergeCell ref="O4:O5"/>
    <mergeCell ref="P4:P5"/>
    <mergeCell ref="Q4:Q5"/>
    <mergeCell ref="R4:R5"/>
    <mergeCell ref="O6:O7"/>
    <mergeCell ref="P6:P7"/>
    <mergeCell ref="Q6:Q7"/>
    <mergeCell ref="R6:R7"/>
    <mergeCell ref="B8:B9"/>
    <mergeCell ref="C8:C9"/>
    <mergeCell ref="D8:D9"/>
    <mergeCell ref="M8:M9"/>
    <mergeCell ref="N8:N9"/>
    <mergeCell ref="O8:O9"/>
    <mergeCell ref="P8:P9"/>
    <mergeCell ref="Q8:Q9"/>
    <mergeCell ref="R8:R9"/>
    <mergeCell ref="O10:O11"/>
    <mergeCell ref="P10:P11"/>
    <mergeCell ref="Q10:Q11"/>
    <mergeCell ref="R10:R11"/>
    <mergeCell ref="N12:N13"/>
    <mergeCell ref="O12:O13"/>
    <mergeCell ref="P12:P13"/>
    <mergeCell ref="Q12:Q13"/>
    <mergeCell ref="R12:R13"/>
    <mergeCell ref="N14:N15"/>
    <mergeCell ref="O14:O15"/>
    <mergeCell ref="P14:P15"/>
    <mergeCell ref="Q14:Q15"/>
    <mergeCell ref="R14:R15"/>
    <mergeCell ref="B16:B17"/>
    <mergeCell ref="C16:C17"/>
    <mergeCell ref="D16:D17"/>
    <mergeCell ref="M16:M17"/>
    <mergeCell ref="N16:N17"/>
    <mergeCell ref="O16:O17"/>
    <mergeCell ref="P16:P17"/>
    <mergeCell ref="Q16:Q17"/>
    <mergeCell ref="R16:R17"/>
    <mergeCell ref="B18:B19"/>
    <mergeCell ref="C18:C19"/>
    <mergeCell ref="D18:D19"/>
    <mergeCell ref="M18:M19"/>
    <mergeCell ref="N18:N19"/>
    <mergeCell ref="O18:O19"/>
    <mergeCell ref="P18:P19"/>
    <mergeCell ref="Q18:Q19"/>
    <mergeCell ref="R18:R19"/>
    <mergeCell ref="B20:B21"/>
    <mergeCell ref="C20:C21"/>
    <mergeCell ref="D20:D21"/>
    <mergeCell ref="M20:M21"/>
    <mergeCell ref="N20:N21"/>
    <mergeCell ref="O20:O21"/>
    <mergeCell ref="P20:P21"/>
    <mergeCell ref="Q20:Q21"/>
    <mergeCell ref="R20:R21"/>
    <mergeCell ref="B22:B23"/>
    <mergeCell ref="C22:C23"/>
    <mergeCell ref="D22:D23"/>
    <mergeCell ref="M22:M23"/>
    <mergeCell ref="N22:N23"/>
    <mergeCell ref="O22:O23"/>
    <mergeCell ref="P22:P23"/>
    <mergeCell ref="Q22:Q23"/>
    <mergeCell ref="R22:R23"/>
    <mergeCell ref="P24:P25"/>
    <mergeCell ref="Q24:Q25"/>
    <mergeCell ref="R24:R25"/>
    <mergeCell ref="B26:B27"/>
    <mergeCell ref="C26:C27"/>
    <mergeCell ref="D26:D27"/>
    <mergeCell ref="M26:M27"/>
    <mergeCell ref="N26:N27"/>
    <mergeCell ref="O26:O27"/>
    <mergeCell ref="P26:P27"/>
    <mergeCell ref="B24:B25"/>
    <mergeCell ref="C24:C25"/>
    <mergeCell ref="D24:D25"/>
    <mergeCell ref="M24:M25"/>
    <mergeCell ref="N24:N25"/>
    <mergeCell ref="O24:O25"/>
    <mergeCell ref="Q26:Q27"/>
    <mergeCell ref="R26:R27"/>
    <mergeCell ref="B28:B29"/>
    <mergeCell ref="C28:C29"/>
    <mergeCell ref="D28:D29"/>
    <mergeCell ref="M28:M29"/>
    <mergeCell ref="N28:N29"/>
    <mergeCell ref="O28:O29"/>
    <mergeCell ref="P28:P29"/>
    <mergeCell ref="Q28:Q29"/>
    <mergeCell ref="R28:R29"/>
    <mergeCell ref="B30:B31"/>
    <mergeCell ref="C30:C31"/>
    <mergeCell ref="D30:D31"/>
    <mergeCell ref="M30:M31"/>
    <mergeCell ref="N30:N31"/>
    <mergeCell ref="O30:O31"/>
    <mergeCell ref="P30:P31"/>
    <mergeCell ref="Q30:Q31"/>
    <mergeCell ref="R30:R31"/>
    <mergeCell ref="P32:P33"/>
    <mergeCell ref="Q32:Q33"/>
    <mergeCell ref="R32:R33"/>
    <mergeCell ref="B32:B33"/>
    <mergeCell ref="C32:C33"/>
    <mergeCell ref="D32:D33"/>
    <mergeCell ref="M32:M33"/>
    <mergeCell ref="N32:N33"/>
    <mergeCell ref="O32:O33"/>
    <mergeCell ref="A34:A67"/>
    <mergeCell ref="B34:B35"/>
    <mergeCell ref="C34:C35"/>
    <mergeCell ref="D34:D35"/>
    <mergeCell ref="M34:M35"/>
    <mergeCell ref="N34:N35"/>
    <mergeCell ref="O34:O35"/>
    <mergeCell ref="P34:P35"/>
    <mergeCell ref="Q34:Q35"/>
    <mergeCell ref="P38:P39"/>
    <mergeCell ref="Q38:Q39"/>
    <mergeCell ref="B42:B43"/>
    <mergeCell ref="C42:C43"/>
    <mergeCell ref="D42:D43"/>
    <mergeCell ref="M42:M43"/>
    <mergeCell ref="N42:N43"/>
    <mergeCell ref="O42:O43"/>
    <mergeCell ref="P42:P43"/>
    <mergeCell ref="Q42:Q43"/>
    <mergeCell ref="P46:P47"/>
    <mergeCell ref="Q46:Q47"/>
    <mergeCell ref="B50:B51"/>
    <mergeCell ref="C50:C51"/>
    <mergeCell ref="D50:D51"/>
    <mergeCell ref="R34:R35"/>
    <mergeCell ref="B36:B37"/>
    <mergeCell ref="C36:C37"/>
    <mergeCell ref="D36:D37"/>
    <mergeCell ref="M36:M37"/>
    <mergeCell ref="N36:N37"/>
    <mergeCell ref="O36:O37"/>
    <mergeCell ref="P36:P37"/>
    <mergeCell ref="Q36:Q37"/>
    <mergeCell ref="R36:R37"/>
    <mergeCell ref="R38:R39"/>
    <mergeCell ref="B40:B41"/>
    <mergeCell ref="C40:C41"/>
    <mergeCell ref="D40:D41"/>
    <mergeCell ref="M40:M41"/>
    <mergeCell ref="N40:N41"/>
    <mergeCell ref="O40:O41"/>
    <mergeCell ref="P40:P41"/>
    <mergeCell ref="B38:B39"/>
    <mergeCell ref="C38:C39"/>
    <mergeCell ref="D38:D39"/>
    <mergeCell ref="M38:M39"/>
    <mergeCell ref="N38:N39"/>
    <mergeCell ref="O38:O39"/>
    <mergeCell ref="Q40:Q41"/>
    <mergeCell ref="R40:R41"/>
    <mergeCell ref="R42:R43"/>
    <mergeCell ref="B44:B45"/>
    <mergeCell ref="C44:C45"/>
    <mergeCell ref="D44:D45"/>
    <mergeCell ref="M44:M45"/>
    <mergeCell ref="N44:N45"/>
    <mergeCell ref="O44:O45"/>
    <mergeCell ref="P44:P45"/>
    <mergeCell ref="Q44:Q45"/>
    <mergeCell ref="R44:R45"/>
    <mergeCell ref="R46:R47"/>
    <mergeCell ref="B48:B49"/>
    <mergeCell ref="C48:C49"/>
    <mergeCell ref="D48:D49"/>
    <mergeCell ref="M48:M49"/>
    <mergeCell ref="N48:N49"/>
    <mergeCell ref="O48:O49"/>
    <mergeCell ref="P48:P49"/>
    <mergeCell ref="B46:B47"/>
    <mergeCell ref="C46:C47"/>
    <mergeCell ref="D46:D47"/>
    <mergeCell ref="M46:M47"/>
    <mergeCell ref="N46:N47"/>
    <mergeCell ref="O46:O47"/>
    <mergeCell ref="Q48:Q49"/>
    <mergeCell ref="R48:R49"/>
    <mergeCell ref="M50:M51"/>
    <mergeCell ref="N50:N51"/>
    <mergeCell ref="O50:O51"/>
    <mergeCell ref="P50:P51"/>
    <mergeCell ref="Q50:Q51"/>
    <mergeCell ref="R50:R51"/>
    <mergeCell ref="B52:B53"/>
    <mergeCell ref="C52:C53"/>
    <mergeCell ref="D52:D53"/>
    <mergeCell ref="M52:M53"/>
    <mergeCell ref="N52:N53"/>
    <mergeCell ref="O52:O53"/>
    <mergeCell ref="P52:P53"/>
    <mergeCell ref="Q52:Q53"/>
    <mergeCell ref="R52:R53"/>
    <mergeCell ref="P54:P55"/>
    <mergeCell ref="Q54:Q55"/>
    <mergeCell ref="R54:R55"/>
    <mergeCell ref="B56:B57"/>
    <mergeCell ref="C56:C57"/>
    <mergeCell ref="D56:D57"/>
    <mergeCell ref="M56:M57"/>
    <mergeCell ref="N56:N57"/>
    <mergeCell ref="O56:O57"/>
    <mergeCell ref="P56:P57"/>
    <mergeCell ref="B54:B55"/>
    <mergeCell ref="C54:C55"/>
    <mergeCell ref="D54:D55"/>
    <mergeCell ref="M54:M55"/>
    <mergeCell ref="N54:N55"/>
    <mergeCell ref="O54:O55"/>
    <mergeCell ref="Q56:Q57"/>
    <mergeCell ref="R56:R57"/>
    <mergeCell ref="B58:B59"/>
    <mergeCell ref="C58:C59"/>
    <mergeCell ref="D58:D59"/>
    <mergeCell ref="M58:M59"/>
    <mergeCell ref="N58:N59"/>
    <mergeCell ref="O58:O59"/>
    <mergeCell ref="P58:P59"/>
    <mergeCell ref="Q58:Q59"/>
    <mergeCell ref="R58:R59"/>
    <mergeCell ref="B60:B61"/>
    <mergeCell ref="C60:C61"/>
    <mergeCell ref="D60:D61"/>
    <mergeCell ref="M60:M61"/>
    <mergeCell ref="N60:N61"/>
    <mergeCell ref="O60:O61"/>
    <mergeCell ref="P60:P61"/>
    <mergeCell ref="Q60:Q61"/>
    <mergeCell ref="R60:R61"/>
    <mergeCell ref="P62:P63"/>
    <mergeCell ref="Q62:Q63"/>
    <mergeCell ref="R62:R63"/>
    <mergeCell ref="B64:B65"/>
    <mergeCell ref="C64:C65"/>
    <mergeCell ref="D64:D65"/>
    <mergeCell ref="M64:M65"/>
    <mergeCell ref="N64:N65"/>
    <mergeCell ref="O64:O65"/>
    <mergeCell ref="P64:P65"/>
    <mergeCell ref="B62:B63"/>
    <mergeCell ref="C62:C63"/>
    <mergeCell ref="D62:D63"/>
    <mergeCell ref="M62:M63"/>
    <mergeCell ref="N62:N63"/>
    <mergeCell ref="O62:O63"/>
    <mergeCell ref="R66:R67"/>
    <mergeCell ref="Q64:Q65"/>
    <mergeCell ref="R64:R65"/>
    <mergeCell ref="B66:B67"/>
    <mergeCell ref="C66:C67"/>
    <mergeCell ref="D66:D67"/>
    <mergeCell ref="M66:M67"/>
    <mergeCell ref="N66:N67"/>
    <mergeCell ref="O66:O67"/>
    <mergeCell ref="P66:P67"/>
    <mergeCell ref="Q66:Q67"/>
    <mergeCell ref="A68:A139"/>
    <mergeCell ref="B68:B69"/>
    <mergeCell ref="C68:C69"/>
    <mergeCell ref="D68:D69"/>
    <mergeCell ref="M68:M69"/>
    <mergeCell ref="N68:N69"/>
    <mergeCell ref="B78:B79"/>
    <mergeCell ref="C78:C79"/>
    <mergeCell ref="D78:D79"/>
    <mergeCell ref="M78:M79"/>
    <mergeCell ref="B72:B73"/>
    <mergeCell ref="C72:C73"/>
    <mergeCell ref="D72:D73"/>
    <mergeCell ref="M72:M73"/>
    <mergeCell ref="N72:N73"/>
    <mergeCell ref="B76:B77"/>
    <mergeCell ref="C76:C77"/>
    <mergeCell ref="D76:D77"/>
    <mergeCell ref="M76:M77"/>
    <mergeCell ref="N76:N77"/>
    <mergeCell ref="B80:B81"/>
    <mergeCell ref="C80:C81"/>
    <mergeCell ref="D80:D81"/>
    <mergeCell ref="M80:M81"/>
    <mergeCell ref="O68:O69"/>
    <mergeCell ref="P68:P69"/>
    <mergeCell ref="Q68:Q69"/>
    <mergeCell ref="R68:R69"/>
    <mergeCell ref="B70:B71"/>
    <mergeCell ref="C70:C71"/>
    <mergeCell ref="D70:D71"/>
    <mergeCell ref="M70:M71"/>
    <mergeCell ref="N70:N71"/>
    <mergeCell ref="O70:O71"/>
    <mergeCell ref="P70:P71"/>
    <mergeCell ref="Q70:Q71"/>
    <mergeCell ref="R70:R71"/>
    <mergeCell ref="O72:O73"/>
    <mergeCell ref="P72:P73"/>
    <mergeCell ref="Q72:Q73"/>
    <mergeCell ref="R72:R73"/>
    <mergeCell ref="B74:B75"/>
    <mergeCell ref="C74:C75"/>
    <mergeCell ref="D74:D75"/>
    <mergeCell ref="M74:M75"/>
    <mergeCell ref="N74:N75"/>
    <mergeCell ref="O74:O75"/>
    <mergeCell ref="P74:P75"/>
    <mergeCell ref="Q74:Q75"/>
    <mergeCell ref="R74:R75"/>
    <mergeCell ref="O76:O77"/>
    <mergeCell ref="P76:P77"/>
    <mergeCell ref="Q76:Q77"/>
    <mergeCell ref="R76:R77"/>
    <mergeCell ref="N78:N79"/>
    <mergeCell ref="O78:O79"/>
    <mergeCell ref="P78:P79"/>
    <mergeCell ref="Q78:Q79"/>
    <mergeCell ref="R78:R79"/>
    <mergeCell ref="N80:N81"/>
    <mergeCell ref="O80:O81"/>
    <mergeCell ref="P80:P81"/>
    <mergeCell ref="Q80:Q81"/>
    <mergeCell ref="R80:R81"/>
    <mergeCell ref="B82:B83"/>
    <mergeCell ref="C82:C83"/>
    <mergeCell ref="D82:D83"/>
    <mergeCell ref="M82:M83"/>
    <mergeCell ref="N82:N83"/>
    <mergeCell ref="O82:O83"/>
    <mergeCell ref="P82:P83"/>
    <mergeCell ref="Q82:Q83"/>
    <mergeCell ref="R82:R83"/>
    <mergeCell ref="B84:B85"/>
    <mergeCell ref="C84:C85"/>
    <mergeCell ref="D84:D85"/>
    <mergeCell ref="M84:M85"/>
    <mergeCell ref="N84:N85"/>
    <mergeCell ref="O84:O85"/>
    <mergeCell ref="P84:P85"/>
    <mergeCell ref="Q84:Q85"/>
    <mergeCell ref="R84:R85"/>
    <mergeCell ref="B86:B87"/>
    <mergeCell ref="C86:C87"/>
    <mergeCell ref="D86:D87"/>
    <mergeCell ref="M86:M87"/>
    <mergeCell ref="N86:N87"/>
    <mergeCell ref="O86:O87"/>
    <mergeCell ref="P86:P87"/>
    <mergeCell ref="Q86:Q87"/>
    <mergeCell ref="R86:R87"/>
    <mergeCell ref="B88:B89"/>
    <mergeCell ref="C88:C89"/>
    <mergeCell ref="D88:D89"/>
    <mergeCell ref="M88:M89"/>
    <mergeCell ref="N88:N89"/>
    <mergeCell ref="O88:O89"/>
    <mergeCell ref="P88:P89"/>
    <mergeCell ref="Q88:Q89"/>
    <mergeCell ref="R88:R89"/>
    <mergeCell ref="P90:P91"/>
    <mergeCell ref="Q90:Q91"/>
    <mergeCell ref="R90:R91"/>
    <mergeCell ref="B92:B93"/>
    <mergeCell ref="C92:C93"/>
    <mergeCell ref="D92:D93"/>
    <mergeCell ref="M92:M93"/>
    <mergeCell ref="N92:N93"/>
    <mergeCell ref="O92:O93"/>
    <mergeCell ref="P92:P93"/>
    <mergeCell ref="B90:B91"/>
    <mergeCell ref="C90:C91"/>
    <mergeCell ref="D90:D91"/>
    <mergeCell ref="M90:M91"/>
    <mergeCell ref="N90:N91"/>
    <mergeCell ref="O90:O91"/>
    <mergeCell ref="Q92:Q93"/>
    <mergeCell ref="R92:R93"/>
    <mergeCell ref="B94:B95"/>
    <mergeCell ref="C94:C95"/>
    <mergeCell ref="D94:D95"/>
    <mergeCell ref="M94:M95"/>
    <mergeCell ref="N94:N95"/>
    <mergeCell ref="O94:O95"/>
    <mergeCell ref="P94:P95"/>
    <mergeCell ref="Q94:Q95"/>
    <mergeCell ref="R94:R95"/>
    <mergeCell ref="B96:B97"/>
    <mergeCell ref="C96:C97"/>
    <mergeCell ref="D96:D97"/>
    <mergeCell ref="M96:M97"/>
    <mergeCell ref="N96:N97"/>
    <mergeCell ref="O96:O97"/>
    <mergeCell ref="P96:P97"/>
    <mergeCell ref="Q96:Q97"/>
    <mergeCell ref="R96:R97"/>
    <mergeCell ref="P98:P99"/>
    <mergeCell ref="Q98:Q99"/>
    <mergeCell ref="R98:R99"/>
    <mergeCell ref="B100:B101"/>
    <mergeCell ref="C100:C101"/>
    <mergeCell ref="D100:D101"/>
    <mergeCell ref="M100:M101"/>
    <mergeCell ref="N100:N101"/>
    <mergeCell ref="O100:O101"/>
    <mergeCell ref="P100:P101"/>
    <mergeCell ref="B98:B99"/>
    <mergeCell ref="C98:C99"/>
    <mergeCell ref="D98:D99"/>
    <mergeCell ref="M98:M99"/>
    <mergeCell ref="N98:N99"/>
    <mergeCell ref="O98:O99"/>
    <mergeCell ref="Q100:Q101"/>
    <mergeCell ref="R100:R101"/>
    <mergeCell ref="B102:B103"/>
    <mergeCell ref="C102:C103"/>
    <mergeCell ref="D102:D103"/>
    <mergeCell ref="M102:M103"/>
    <mergeCell ref="N102:N103"/>
    <mergeCell ref="O102:O103"/>
    <mergeCell ref="P102:P103"/>
    <mergeCell ref="Q102:Q103"/>
    <mergeCell ref="R102:R103"/>
    <mergeCell ref="B104:B105"/>
    <mergeCell ref="C104:C105"/>
    <mergeCell ref="D104:D105"/>
    <mergeCell ref="M104:M105"/>
    <mergeCell ref="N104:N105"/>
    <mergeCell ref="O104:O105"/>
    <mergeCell ref="P104:P105"/>
    <mergeCell ref="Q104:Q105"/>
    <mergeCell ref="R104:R105"/>
    <mergeCell ref="P106:P107"/>
    <mergeCell ref="Q106:Q107"/>
    <mergeCell ref="R106:R107"/>
    <mergeCell ref="B108:B109"/>
    <mergeCell ref="C108:C109"/>
    <mergeCell ref="D108:D109"/>
    <mergeCell ref="M108:M109"/>
    <mergeCell ref="N108:N109"/>
    <mergeCell ref="O108:O109"/>
    <mergeCell ref="P108:P109"/>
    <mergeCell ref="B106:B107"/>
    <mergeCell ref="C106:C107"/>
    <mergeCell ref="D106:D107"/>
    <mergeCell ref="M106:M107"/>
    <mergeCell ref="N106:N107"/>
    <mergeCell ref="O106:O107"/>
    <mergeCell ref="Q108:Q109"/>
    <mergeCell ref="R108:R109"/>
    <mergeCell ref="B110:B111"/>
    <mergeCell ref="C110:C111"/>
    <mergeCell ref="D110:D111"/>
    <mergeCell ref="M110:M111"/>
    <mergeCell ref="N110:N111"/>
    <mergeCell ref="O110:O111"/>
    <mergeCell ref="P110:P111"/>
    <mergeCell ref="Q110:Q111"/>
    <mergeCell ref="R110:R111"/>
    <mergeCell ref="B112:B113"/>
    <mergeCell ref="C112:C113"/>
    <mergeCell ref="D112:D113"/>
    <mergeCell ref="M112:M113"/>
    <mergeCell ref="N112:N113"/>
    <mergeCell ref="O112:O113"/>
    <mergeCell ref="P112:P113"/>
    <mergeCell ref="Q112:Q113"/>
    <mergeCell ref="R112:R113"/>
    <mergeCell ref="P114:P115"/>
    <mergeCell ref="Q114:Q115"/>
    <mergeCell ref="R114:R115"/>
    <mergeCell ref="B116:B117"/>
    <mergeCell ref="C116:C117"/>
    <mergeCell ref="D116:D117"/>
    <mergeCell ref="M116:M117"/>
    <mergeCell ref="N116:N117"/>
    <mergeCell ref="O116:O117"/>
    <mergeCell ref="P116:P117"/>
    <mergeCell ref="B114:B115"/>
    <mergeCell ref="C114:C115"/>
    <mergeCell ref="D114:D115"/>
    <mergeCell ref="M114:M115"/>
    <mergeCell ref="N114:N115"/>
    <mergeCell ref="O114:O115"/>
    <mergeCell ref="Q116:Q117"/>
    <mergeCell ref="R116:R117"/>
    <mergeCell ref="B118:B119"/>
    <mergeCell ref="C118:C119"/>
    <mergeCell ref="D118:D119"/>
    <mergeCell ref="M118:M119"/>
    <mergeCell ref="N118:N119"/>
    <mergeCell ref="O118:O119"/>
    <mergeCell ref="P118:P119"/>
    <mergeCell ref="Q118:Q119"/>
    <mergeCell ref="R118:R119"/>
    <mergeCell ref="B120:B121"/>
    <mergeCell ref="C120:C121"/>
    <mergeCell ref="D120:D121"/>
    <mergeCell ref="M120:M121"/>
    <mergeCell ref="N120:N121"/>
    <mergeCell ref="O120:O121"/>
    <mergeCell ref="P120:P121"/>
    <mergeCell ref="Q120:Q121"/>
    <mergeCell ref="R120:R121"/>
    <mergeCell ref="P122:P123"/>
    <mergeCell ref="Q122:Q123"/>
    <mergeCell ref="R122:R123"/>
    <mergeCell ref="B124:B125"/>
    <mergeCell ref="C124:C125"/>
    <mergeCell ref="D124:D125"/>
    <mergeCell ref="M124:M125"/>
    <mergeCell ref="N124:N125"/>
    <mergeCell ref="O124:O125"/>
    <mergeCell ref="P124:P125"/>
    <mergeCell ref="B122:B123"/>
    <mergeCell ref="C122:C123"/>
    <mergeCell ref="D122:D123"/>
    <mergeCell ref="M122:M123"/>
    <mergeCell ref="N122:N123"/>
    <mergeCell ref="O122:O123"/>
    <mergeCell ref="Q124:Q125"/>
    <mergeCell ref="R124:R125"/>
    <mergeCell ref="B126:B127"/>
    <mergeCell ref="C126:C127"/>
    <mergeCell ref="D126:D127"/>
    <mergeCell ref="M126:M127"/>
    <mergeCell ref="N126:N127"/>
    <mergeCell ref="O126:O127"/>
    <mergeCell ref="P126:P127"/>
    <mergeCell ref="Q126:Q127"/>
    <mergeCell ref="R126:R127"/>
    <mergeCell ref="B128:B129"/>
    <mergeCell ref="C128:C129"/>
    <mergeCell ref="D128:D129"/>
    <mergeCell ref="M128:M129"/>
    <mergeCell ref="N128:N129"/>
    <mergeCell ref="O128:O129"/>
    <mergeCell ref="P128:P129"/>
    <mergeCell ref="Q128:Q129"/>
    <mergeCell ref="R128:R129"/>
    <mergeCell ref="P130:P131"/>
    <mergeCell ref="Q130:Q131"/>
    <mergeCell ref="R130:R131"/>
    <mergeCell ref="B132:B133"/>
    <mergeCell ref="C132:C133"/>
    <mergeCell ref="D132:D133"/>
    <mergeCell ref="M132:M133"/>
    <mergeCell ref="N132:N133"/>
    <mergeCell ref="O132:O133"/>
    <mergeCell ref="P132:P133"/>
    <mergeCell ref="B130:B131"/>
    <mergeCell ref="C130:C131"/>
    <mergeCell ref="D130:D131"/>
    <mergeCell ref="M130:M131"/>
    <mergeCell ref="N130:N131"/>
    <mergeCell ref="O130:O131"/>
    <mergeCell ref="Q132:Q133"/>
    <mergeCell ref="R132:R133"/>
    <mergeCell ref="B134:B135"/>
    <mergeCell ref="C134:C135"/>
    <mergeCell ref="D134:D135"/>
    <mergeCell ref="M134:M135"/>
    <mergeCell ref="N134:N135"/>
    <mergeCell ref="O134:O135"/>
    <mergeCell ref="P134:P135"/>
    <mergeCell ref="Q134:Q135"/>
    <mergeCell ref="R134:R135"/>
    <mergeCell ref="B136:B137"/>
    <mergeCell ref="C136:C137"/>
    <mergeCell ref="D136:D137"/>
    <mergeCell ref="M136:M137"/>
    <mergeCell ref="N136:N137"/>
    <mergeCell ref="O136:O137"/>
    <mergeCell ref="P136:P137"/>
    <mergeCell ref="Q136:Q137"/>
    <mergeCell ref="R136:R137"/>
    <mergeCell ref="P138:P139"/>
    <mergeCell ref="Q138:Q139"/>
    <mergeCell ref="R138:R139"/>
    <mergeCell ref="B138:B139"/>
    <mergeCell ref="C138:C139"/>
    <mergeCell ref="D138:D139"/>
    <mergeCell ref="M138:M139"/>
    <mergeCell ref="N138:N139"/>
    <mergeCell ref="O138:O139"/>
    <mergeCell ref="A140:A173"/>
    <mergeCell ref="B140:B141"/>
    <mergeCell ref="C140:C141"/>
    <mergeCell ref="D140:D141"/>
    <mergeCell ref="M140:M141"/>
    <mergeCell ref="N140:N141"/>
    <mergeCell ref="O140:O141"/>
    <mergeCell ref="P140:P141"/>
    <mergeCell ref="Q140:Q141"/>
    <mergeCell ref="P144:P145"/>
    <mergeCell ref="Q144:Q145"/>
    <mergeCell ref="B148:B149"/>
    <mergeCell ref="C148:C149"/>
    <mergeCell ref="D148:D149"/>
    <mergeCell ref="M148:M149"/>
    <mergeCell ref="N148:N149"/>
    <mergeCell ref="O148:O149"/>
    <mergeCell ref="P148:P149"/>
    <mergeCell ref="Q148:Q149"/>
    <mergeCell ref="P152:P153"/>
    <mergeCell ref="Q152:Q153"/>
    <mergeCell ref="B156:B157"/>
    <mergeCell ref="C156:C157"/>
    <mergeCell ref="D156:D157"/>
    <mergeCell ref="R140:R141"/>
    <mergeCell ref="B142:B143"/>
    <mergeCell ref="C142:C143"/>
    <mergeCell ref="D142:D143"/>
    <mergeCell ref="M142:M143"/>
    <mergeCell ref="N142:N143"/>
    <mergeCell ref="O142:O143"/>
    <mergeCell ref="P142:P143"/>
    <mergeCell ref="Q142:Q143"/>
    <mergeCell ref="R142:R143"/>
    <mergeCell ref="R144:R145"/>
    <mergeCell ref="B146:B147"/>
    <mergeCell ref="C146:C147"/>
    <mergeCell ref="D146:D147"/>
    <mergeCell ref="M146:M147"/>
    <mergeCell ref="N146:N147"/>
    <mergeCell ref="O146:O147"/>
    <mergeCell ref="P146:P147"/>
    <mergeCell ref="B144:B145"/>
    <mergeCell ref="C144:C145"/>
    <mergeCell ref="D144:D145"/>
    <mergeCell ref="M144:M145"/>
    <mergeCell ref="N144:N145"/>
    <mergeCell ref="O144:O145"/>
    <mergeCell ref="Q146:Q147"/>
    <mergeCell ref="R146:R147"/>
    <mergeCell ref="R148:R149"/>
    <mergeCell ref="B150:B151"/>
    <mergeCell ref="C150:C151"/>
    <mergeCell ref="D150:D151"/>
    <mergeCell ref="M150:M151"/>
    <mergeCell ref="N150:N151"/>
    <mergeCell ref="O150:O151"/>
    <mergeCell ref="P150:P151"/>
    <mergeCell ref="Q150:Q151"/>
    <mergeCell ref="R150:R151"/>
    <mergeCell ref="R152:R153"/>
    <mergeCell ref="B154:B155"/>
    <mergeCell ref="C154:C155"/>
    <mergeCell ref="D154:D155"/>
    <mergeCell ref="M154:M155"/>
    <mergeCell ref="N154:N155"/>
    <mergeCell ref="O154:O155"/>
    <mergeCell ref="P154:P155"/>
    <mergeCell ref="B152:B153"/>
    <mergeCell ref="C152:C153"/>
    <mergeCell ref="D152:D153"/>
    <mergeCell ref="M152:M153"/>
    <mergeCell ref="N152:N153"/>
    <mergeCell ref="O152:O153"/>
    <mergeCell ref="Q154:Q155"/>
    <mergeCell ref="R154:R155"/>
    <mergeCell ref="M156:M157"/>
    <mergeCell ref="N156:N157"/>
    <mergeCell ref="O156:O157"/>
    <mergeCell ref="P156:P157"/>
    <mergeCell ref="Q156:Q157"/>
    <mergeCell ref="R156:R157"/>
    <mergeCell ref="B158:B159"/>
    <mergeCell ref="C158:C159"/>
    <mergeCell ref="D158:D159"/>
    <mergeCell ref="M158:M159"/>
    <mergeCell ref="N158:N159"/>
    <mergeCell ref="O158:O159"/>
    <mergeCell ref="P158:P159"/>
    <mergeCell ref="Q158:Q159"/>
    <mergeCell ref="R158:R159"/>
    <mergeCell ref="P160:P161"/>
    <mergeCell ref="Q160:Q161"/>
    <mergeCell ref="R160:R161"/>
    <mergeCell ref="B162:B163"/>
    <mergeCell ref="C162:C163"/>
    <mergeCell ref="D162:D163"/>
    <mergeCell ref="M162:M163"/>
    <mergeCell ref="N162:N163"/>
    <mergeCell ref="O162:O163"/>
    <mergeCell ref="P162:P163"/>
    <mergeCell ref="B160:B161"/>
    <mergeCell ref="C160:C161"/>
    <mergeCell ref="D160:D161"/>
    <mergeCell ref="M160:M161"/>
    <mergeCell ref="N160:N161"/>
    <mergeCell ref="O160:O161"/>
    <mergeCell ref="Q162:Q163"/>
    <mergeCell ref="R162:R163"/>
    <mergeCell ref="B164:B165"/>
    <mergeCell ref="C164:C165"/>
    <mergeCell ref="D164:D165"/>
    <mergeCell ref="M164:M165"/>
    <mergeCell ref="N164:N165"/>
    <mergeCell ref="O164:O165"/>
    <mergeCell ref="P164:P165"/>
    <mergeCell ref="Q164:Q165"/>
    <mergeCell ref="R164:R165"/>
    <mergeCell ref="B166:B167"/>
    <mergeCell ref="C166:C167"/>
    <mergeCell ref="D166:D167"/>
    <mergeCell ref="M166:M167"/>
    <mergeCell ref="N166:N167"/>
    <mergeCell ref="O166:O167"/>
    <mergeCell ref="P166:P167"/>
    <mergeCell ref="Q166:Q167"/>
    <mergeCell ref="R166:R167"/>
    <mergeCell ref="P168:P169"/>
    <mergeCell ref="Q168:Q169"/>
    <mergeCell ref="R168:R169"/>
    <mergeCell ref="B170:B171"/>
    <mergeCell ref="C170:C171"/>
    <mergeCell ref="D170:D171"/>
    <mergeCell ref="M170:M171"/>
    <mergeCell ref="N170:N171"/>
    <mergeCell ref="O170:O171"/>
    <mergeCell ref="P170:P171"/>
    <mergeCell ref="B168:B169"/>
    <mergeCell ref="C168:C169"/>
    <mergeCell ref="D168:D169"/>
    <mergeCell ref="M168:M169"/>
    <mergeCell ref="N168:N169"/>
    <mergeCell ref="O168:O169"/>
    <mergeCell ref="R172:R173"/>
    <mergeCell ref="Q170:Q171"/>
    <mergeCell ref="R170:R171"/>
    <mergeCell ref="B172:B173"/>
    <mergeCell ref="C172:C173"/>
    <mergeCell ref="D172:D173"/>
    <mergeCell ref="M172:M173"/>
    <mergeCell ref="N172:N173"/>
    <mergeCell ref="O172:O173"/>
    <mergeCell ref="P172:P173"/>
    <mergeCell ref="Q172:Q173"/>
  </mergeCells>
  <conditionalFormatting sqref="I26 I24 I28 I30 I20 I22 I32 I16 I18 I12 I2 I4 I6 I8 I10 I14">
    <cfRule type="cellIs" dxfId="10" priority="2" operator="equal">
      <formula>0</formula>
    </cfRule>
  </conditionalFormatting>
  <conditionalFormatting sqref="I26">
    <cfRule type="aboveAverage" dxfId="9" priority="1" stopIfTrue="1"/>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N84"/>
  <sheetViews>
    <sheetView showGridLines="0" zoomScale="64" zoomScaleNormal="64" zoomScalePageLayoutView="68" workbookViewId="0">
      <pane xSplit="5" ySplit="1" topLeftCell="F40" activePane="bottomRight" state="frozen"/>
      <selection pane="topRight" activeCell="F1" sqref="F1"/>
      <selection pane="bottomLeft" activeCell="A2" sqref="A2"/>
      <selection pane="bottomRight" activeCell="P58" sqref="P58"/>
    </sheetView>
  </sheetViews>
  <sheetFormatPr baseColWidth="10" defaultColWidth="10.77734375" defaultRowHeight="14.4"/>
  <cols>
    <col min="1" max="1" width="3.44140625" customWidth="1"/>
    <col min="2" max="2" width="6.6640625" style="405" customWidth="1"/>
    <col min="3" max="3" width="11.44140625" style="405" customWidth="1"/>
    <col min="4" max="4" width="62.88671875" style="405" customWidth="1"/>
    <col min="5" max="6" width="13" style="407" customWidth="1"/>
    <col min="7" max="7" width="14.33203125" style="407" customWidth="1"/>
    <col min="8" max="8" width="13.77734375" style="407" customWidth="1"/>
    <col min="9" max="9" width="10.5546875" style="405" customWidth="1"/>
    <col min="10" max="10" width="10.33203125" style="405" customWidth="1"/>
    <col min="11" max="11" width="11.6640625" style="405" hidden="1" customWidth="1"/>
    <col min="12" max="12" width="10" style="405" hidden="1" customWidth="1"/>
    <col min="13" max="14" width="9.5546875" style="405" hidden="1" customWidth="1"/>
    <col min="15" max="16384" width="10.77734375" style="405"/>
  </cols>
  <sheetData>
    <row r="1" spans="2:13" ht="14.55" customHeight="1">
      <c r="B1" s="423">
        <v>4759</v>
      </c>
      <c r="C1" s="404"/>
      <c r="D1" s="404"/>
      <c r="E1" s="404"/>
      <c r="F1" s="1354"/>
      <c r="G1" s="1354"/>
      <c r="H1" s="1354"/>
      <c r="I1" s="1355"/>
      <c r="J1" s="1355"/>
      <c r="K1" s="439"/>
    </row>
    <row r="2" spans="2:13" ht="12" customHeight="1">
      <c r="B2" s="423" t="s">
        <v>481</v>
      </c>
      <c r="C2" s="423"/>
      <c r="D2" s="423" t="s">
        <v>482</v>
      </c>
      <c r="E2" s="455" t="s">
        <v>480</v>
      </c>
      <c r="F2" s="473" t="s">
        <v>495</v>
      </c>
      <c r="G2" s="450" t="s">
        <v>4</v>
      </c>
      <c r="H2" s="474" t="s">
        <v>5</v>
      </c>
      <c r="I2" s="450" t="s">
        <v>483</v>
      </c>
      <c r="J2" s="456" t="s">
        <v>486</v>
      </c>
      <c r="K2" s="485" t="s">
        <v>500</v>
      </c>
      <c r="L2" s="484" t="s">
        <v>499</v>
      </c>
    </row>
    <row r="3" spans="2:13" ht="12" customHeight="1">
      <c r="B3" s="446" t="s">
        <v>477</v>
      </c>
      <c r="C3" s="446" t="s">
        <v>462</v>
      </c>
      <c r="D3" s="446" t="s">
        <v>51</v>
      </c>
      <c r="E3" s="441">
        <f>0.1379275+0.0125</f>
        <v>0.15042750000000002</v>
      </c>
      <c r="F3" s="467">
        <f>+$B$1*E3</f>
        <v>715.88447250000013</v>
      </c>
      <c r="G3" s="410">
        <f>+F63+F65+F66+F67+F68+F70+F75+F76+F80+F82</f>
        <v>3473.6110000000003</v>
      </c>
      <c r="H3" s="467">
        <f>+F3+G3</f>
        <v>4189.4954725000007</v>
      </c>
      <c r="I3" s="451">
        <f>+F63+F65+F66+F67+F68+F70+F75+F76+F80+F82</f>
        <v>3473.6110000000003</v>
      </c>
      <c r="J3" s="454">
        <f>+K3+L3</f>
        <v>0</v>
      </c>
      <c r="K3" s="452"/>
      <c r="L3" s="454"/>
      <c r="M3" s="468">
        <f t="shared" ref="M3:M15" si="0">+F3+J3</f>
        <v>715.88447250000013</v>
      </c>
    </row>
    <row r="4" spans="2:13" ht="12" customHeight="1">
      <c r="B4" s="446" t="s">
        <v>477</v>
      </c>
      <c r="C4" s="446" t="s">
        <v>463</v>
      </c>
      <c r="D4" s="446" t="s">
        <v>53</v>
      </c>
      <c r="E4" s="441">
        <v>0.18365590000000001</v>
      </c>
      <c r="F4" s="467">
        <f>+$B$1*E4</f>
        <v>874.01842810000005</v>
      </c>
      <c r="G4" s="598">
        <f>+I4+J4</f>
        <v>497.68838999999991</v>
      </c>
      <c r="H4" s="467">
        <f t="shared" ref="H4:H16" si="1">+F4+G4</f>
        <v>1371.7068181</v>
      </c>
      <c r="I4" s="451">
        <f>+F60+F61+F62+F79+F83</f>
        <v>634.69999999999993</v>
      </c>
      <c r="J4" s="454">
        <f>+K4+L4</f>
        <v>-137.01160999999999</v>
      </c>
      <c r="K4" s="491">
        <f>-F37</f>
        <v>-137.01160999999999</v>
      </c>
      <c r="L4" s="635">
        <f>+F38</f>
        <v>0</v>
      </c>
      <c r="M4" s="750">
        <f>+F4+J4</f>
        <v>737.00681810000003</v>
      </c>
    </row>
    <row r="5" spans="2:13" ht="0.45" customHeight="1">
      <c r="B5" s="446" t="s">
        <v>477</v>
      </c>
      <c r="C5" s="446" t="s">
        <v>464</v>
      </c>
      <c r="D5" s="446" t="s">
        <v>465</v>
      </c>
      <c r="E5" s="442">
        <v>0</v>
      </c>
      <c r="F5" s="467">
        <f t="shared" ref="F5:F14" si="2">+$B$1*E5</f>
        <v>0</v>
      </c>
      <c r="G5" s="410">
        <f t="shared" ref="G5:G14" si="3">+I5+J5</f>
        <v>0</v>
      </c>
      <c r="H5" s="467">
        <f t="shared" si="1"/>
        <v>0</v>
      </c>
      <c r="I5" s="451"/>
      <c r="J5" s="454">
        <f t="shared" ref="J5:J16" si="4">+K5+L5</f>
        <v>0</v>
      </c>
      <c r="K5" s="452"/>
      <c r="L5" s="635"/>
      <c r="M5" s="468">
        <f t="shared" si="0"/>
        <v>0</v>
      </c>
    </row>
    <row r="6" spans="2:13" ht="12" customHeight="1">
      <c r="B6" s="446" t="s">
        <v>477</v>
      </c>
      <c r="C6" s="446" t="s">
        <v>466</v>
      </c>
      <c r="D6" s="446" t="s">
        <v>54</v>
      </c>
      <c r="E6" s="441">
        <f>0.0128261+0.0075</f>
        <v>2.03261E-2</v>
      </c>
      <c r="F6" s="467">
        <f t="shared" si="2"/>
        <v>96.731909900000005</v>
      </c>
      <c r="G6" s="410">
        <f>+I6+J6</f>
        <v>73.209362649999989</v>
      </c>
      <c r="H6" s="467">
        <f t="shared" si="1"/>
        <v>169.94127255000001</v>
      </c>
      <c r="I6" s="451">
        <v>0</v>
      </c>
      <c r="J6" s="454">
        <f t="shared" si="4"/>
        <v>73.209362649999989</v>
      </c>
      <c r="K6" s="452"/>
      <c r="L6" s="635">
        <f>+F41</f>
        <v>73.209362649999989</v>
      </c>
      <c r="M6" s="468">
        <f t="shared" si="0"/>
        <v>169.94127255000001</v>
      </c>
    </row>
    <row r="7" spans="2:13" ht="12" customHeight="1">
      <c r="B7" s="446" t="s">
        <v>477</v>
      </c>
      <c r="C7" s="446" t="s">
        <v>467</v>
      </c>
      <c r="D7" s="446" t="s">
        <v>55</v>
      </c>
      <c r="E7" s="441">
        <v>0.24709130000000001</v>
      </c>
      <c r="F7" s="467">
        <f t="shared" si="2"/>
        <v>1175.9074967000001</v>
      </c>
      <c r="G7" s="410">
        <f t="shared" si="3"/>
        <v>1490.2875610000001</v>
      </c>
      <c r="H7" s="467">
        <f>+F7+G7</f>
        <v>2666.1950577000002</v>
      </c>
      <c r="I7" s="454">
        <f>722.274+15.924+59.755</f>
        <v>797.95299999999997</v>
      </c>
      <c r="J7" s="452">
        <f>+K7+L7</f>
        <v>692.33456100000001</v>
      </c>
      <c r="K7" s="491">
        <f>-F36-F39</f>
        <v>-36.549120000000002</v>
      </c>
      <c r="L7" s="635">
        <f>+F35+F40</f>
        <v>728.88368100000002</v>
      </c>
      <c r="M7" s="468">
        <f t="shared" si="0"/>
        <v>1868.2420577000003</v>
      </c>
    </row>
    <row r="8" spans="2:13" ht="12" customHeight="1">
      <c r="B8" s="446" t="s">
        <v>477</v>
      </c>
      <c r="C8" s="446" t="s">
        <v>468</v>
      </c>
      <c r="D8" s="446" t="s">
        <v>56</v>
      </c>
      <c r="E8" s="441">
        <f>0.3530305+0.0153834</f>
        <v>0.36841390000000002</v>
      </c>
      <c r="F8" s="467">
        <f t="shared" si="2"/>
        <v>1753.2817501000002</v>
      </c>
      <c r="G8" s="410">
        <f t="shared" si="3"/>
        <v>305.15852834999987</v>
      </c>
      <c r="H8" s="467">
        <f t="shared" si="1"/>
        <v>2058.4402784499998</v>
      </c>
      <c r="I8" s="451">
        <f>(167.778+222.222+147.677+324.448)</f>
        <v>862.125</v>
      </c>
      <c r="J8" s="452">
        <f>+K8+L8</f>
        <v>-556.96647165000013</v>
      </c>
      <c r="K8" s="491">
        <f>-F35-F38-F41</f>
        <v>-801.91220165000004</v>
      </c>
      <c r="L8" s="635">
        <f>+F36+F37+F39+F44+F45</f>
        <v>244.94572999999997</v>
      </c>
      <c r="M8" s="468">
        <f>+F8+J8</f>
        <v>1196.3152784500001</v>
      </c>
    </row>
    <row r="9" spans="2:13" ht="13.8" customHeight="1">
      <c r="B9" s="446" t="s">
        <v>477</v>
      </c>
      <c r="C9" s="446" t="s">
        <v>469</v>
      </c>
      <c r="D9" s="446" t="s">
        <v>57</v>
      </c>
      <c r="E9" s="441"/>
      <c r="F9" s="467">
        <f t="shared" si="2"/>
        <v>0</v>
      </c>
      <c r="G9" s="410">
        <f t="shared" si="3"/>
        <v>0</v>
      </c>
      <c r="H9" s="467">
        <f t="shared" si="1"/>
        <v>0</v>
      </c>
      <c r="I9" s="451"/>
      <c r="J9" s="454">
        <f t="shared" si="4"/>
        <v>0</v>
      </c>
      <c r="K9" s="452"/>
      <c r="L9" s="635"/>
      <c r="M9" s="468">
        <f t="shared" si="0"/>
        <v>0</v>
      </c>
    </row>
    <row r="10" spans="2:13" ht="12" customHeight="1">
      <c r="B10" s="446" t="s">
        <v>477</v>
      </c>
      <c r="C10" s="446" t="s">
        <v>470</v>
      </c>
      <c r="D10" s="446" t="s">
        <v>58</v>
      </c>
      <c r="E10" s="441"/>
      <c r="F10" s="467">
        <f t="shared" si="2"/>
        <v>0</v>
      </c>
      <c r="G10" s="410">
        <f t="shared" si="3"/>
        <v>0</v>
      </c>
      <c r="H10" s="467">
        <f t="shared" si="1"/>
        <v>0</v>
      </c>
      <c r="I10" s="451"/>
      <c r="J10" s="454">
        <f t="shared" si="4"/>
        <v>0</v>
      </c>
      <c r="K10" s="452"/>
      <c r="L10" s="635"/>
      <c r="M10" s="468">
        <f t="shared" si="0"/>
        <v>0</v>
      </c>
    </row>
    <row r="11" spans="2:13" ht="12" customHeight="1">
      <c r="B11" s="446" t="s">
        <v>477</v>
      </c>
      <c r="C11" s="446" t="s">
        <v>471</v>
      </c>
      <c r="D11" s="446" t="s">
        <v>59</v>
      </c>
      <c r="E11" s="441"/>
      <c r="F11" s="467">
        <f t="shared" si="2"/>
        <v>0</v>
      </c>
      <c r="G11" s="410">
        <f t="shared" si="3"/>
        <v>0</v>
      </c>
      <c r="H11" s="467">
        <f>+F11+G11</f>
        <v>0</v>
      </c>
      <c r="I11" s="451"/>
      <c r="J11" s="454">
        <f t="shared" si="4"/>
        <v>0</v>
      </c>
      <c r="K11" s="452"/>
      <c r="L11" s="635"/>
      <c r="M11" s="468">
        <f t="shared" si="0"/>
        <v>0</v>
      </c>
    </row>
    <row r="12" spans="2:13" ht="12" customHeight="1">
      <c r="B12" s="446" t="s">
        <v>477</v>
      </c>
      <c r="C12" s="446" t="s">
        <v>472</v>
      </c>
      <c r="D12" s="446" t="s">
        <v>485</v>
      </c>
      <c r="E12" s="443">
        <v>3.8000000000000002E-5</v>
      </c>
      <c r="F12" s="467">
        <f t="shared" si="2"/>
        <v>0.180842</v>
      </c>
      <c r="G12" s="410">
        <f t="shared" si="3"/>
        <v>-0.18084200000000003</v>
      </c>
      <c r="H12" s="467">
        <f t="shared" si="1"/>
        <v>0</v>
      </c>
      <c r="I12" s="451"/>
      <c r="J12" s="452">
        <f>+K12+L12</f>
        <v>-0.18084200000000003</v>
      </c>
      <c r="K12" s="492">
        <f>-F40</f>
        <v>-0.18084200000000003</v>
      </c>
      <c r="L12" s="635"/>
      <c r="M12" s="468">
        <f t="shared" si="0"/>
        <v>0</v>
      </c>
    </row>
    <row r="13" spans="2:13" ht="12" customHeight="1">
      <c r="B13" s="446" t="s">
        <v>477</v>
      </c>
      <c r="C13" s="446" t="s">
        <v>473</v>
      </c>
      <c r="D13" s="446" t="s">
        <v>61</v>
      </c>
      <c r="E13" s="443">
        <v>4.7500000000000003E-5</v>
      </c>
      <c r="F13" s="467">
        <f t="shared" si="2"/>
        <v>0.22605250000000002</v>
      </c>
      <c r="G13" s="410">
        <f t="shared" si="3"/>
        <v>0</v>
      </c>
      <c r="H13" s="467">
        <f t="shared" si="1"/>
        <v>0.22605250000000002</v>
      </c>
      <c r="I13" s="451"/>
      <c r="J13" s="454">
        <f t="shared" si="4"/>
        <v>0</v>
      </c>
      <c r="K13" s="452"/>
      <c r="L13" s="635"/>
      <c r="M13" s="750">
        <f t="shared" si="0"/>
        <v>0.22605250000000002</v>
      </c>
    </row>
    <row r="14" spans="2:13" ht="12" customHeight="1">
      <c r="B14" s="446" t="s">
        <v>477</v>
      </c>
      <c r="C14" s="446" t="s">
        <v>474</v>
      </c>
      <c r="D14" s="446" t="s">
        <v>475</v>
      </c>
      <c r="E14" s="441">
        <f>0.00125*2+0.0025*3+0.005</f>
        <v>1.4999999999999999E-2</v>
      </c>
      <c r="F14" s="467">
        <f t="shared" si="2"/>
        <v>71.384999999999991</v>
      </c>
      <c r="G14" s="410">
        <f t="shared" si="3"/>
        <v>0</v>
      </c>
      <c r="H14" s="467">
        <f t="shared" si="1"/>
        <v>71.384999999999991</v>
      </c>
      <c r="I14" s="451"/>
      <c r="J14" s="454">
        <f t="shared" si="4"/>
        <v>0</v>
      </c>
      <c r="K14" s="452"/>
      <c r="L14" s="635"/>
      <c r="M14" s="468">
        <f t="shared" si="0"/>
        <v>71.384999999999991</v>
      </c>
    </row>
    <row r="15" spans="2:13" ht="12" customHeight="1">
      <c r="B15" s="446" t="s">
        <v>477</v>
      </c>
      <c r="C15" s="446" t="s">
        <v>476</v>
      </c>
      <c r="D15" s="446" t="s">
        <v>484</v>
      </c>
      <c r="E15" s="444">
        <f>0.0075*2</f>
        <v>1.4999999999999999E-2</v>
      </c>
      <c r="F15" s="467">
        <f>+$B$1*E15</f>
        <v>71.384999999999991</v>
      </c>
      <c r="G15" s="410">
        <f>+I15+J15</f>
        <v>-71.384999999999991</v>
      </c>
      <c r="H15" s="467">
        <f t="shared" si="1"/>
        <v>0</v>
      </c>
      <c r="I15" s="451"/>
      <c r="J15" s="452">
        <f t="shared" si="4"/>
        <v>-71.384999999999991</v>
      </c>
      <c r="K15" s="452">
        <f>-F44-F45</f>
        <v>-71.384999999999991</v>
      </c>
      <c r="L15" s="635"/>
      <c r="M15" s="468">
        <f t="shared" si="0"/>
        <v>0</v>
      </c>
    </row>
    <row r="16" spans="2:13">
      <c r="B16" s="425"/>
      <c r="C16" s="425"/>
      <c r="D16" s="425"/>
      <c r="E16" s="426">
        <f>SUM(E3:E15)</f>
        <v>1.0000002000000001</v>
      </c>
      <c r="F16" s="440">
        <f>SUM(F3:F15)</f>
        <v>4759.0009518000006</v>
      </c>
      <c r="G16" s="440">
        <f>SUBTOTAL(9,G3:G15)</f>
        <v>5768.3890000000001</v>
      </c>
      <c r="H16" s="440">
        <f t="shared" si="1"/>
        <v>10527.3899518</v>
      </c>
      <c r="I16" s="440">
        <f>SUM(I3:I15)</f>
        <v>5768.389000000001</v>
      </c>
      <c r="J16" s="469">
        <f t="shared" si="4"/>
        <v>0</v>
      </c>
      <c r="K16" s="627">
        <f>SUM(K3:K15)</f>
        <v>-1047.0387736499999</v>
      </c>
      <c r="L16" s="627">
        <f>SUM(L3:L15)</f>
        <v>1047.0387736499999</v>
      </c>
    </row>
    <row r="17" spans="2:14" ht="13.8" customHeight="1"/>
    <row r="18" spans="2:14" ht="14.55" customHeight="1">
      <c r="B18" s="447">
        <v>3043</v>
      </c>
      <c r="C18" s="449"/>
      <c r="D18" s="449"/>
      <c r="E18" s="449"/>
      <c r="F18" s="1354"/>
      <c r="G18" s="1354"/>
      <c r="H18" s="1354"/>
      <c r="I18" s="1355"/>
      <c r="J18" s="1355"/>
    </row>
    <row r="19" spans="2:14" ht="10.8" customHeight="1">
      <c r="B19" s="447" t="s">
        <v>481</v>
      </c>
      <c r="C19" s="447"/>
      <c r="D19" s="447" t="s">
        <v>482</v>
      </c>
      <c r="E19" s="457" t="s">
        <v>480</v>
      </c>
      <c r="F19" s="496" t="s">
        <v>496</v>
      </c>
      <c r="G19" s="498" t="s">
        <v>4</v>
      </c>
      <c r="H19" s="448" t="s">
        <v>5</v>
      </c>
      <c r="I19" s="448" t="s">
        <v>483</v>
      </c>
      <c r="J19" s="448" t="s">
        <v>486</v>
      </c>
      <c r="K19" s="482" t="s">
        <v>500</v>
      </c>
      <c r="L19" s="483" t="s">
        <v>499</v>
      </c>
    </row>
    <row r="20" spans="2:14" ht="12" customHeight="1">
      <c r="B20" s="420" t="s">
        <v>478</v>
      </c>
      <c r="C20" s="420" t="s">
        <v>462</v>
      </c>
      <c r="D20" s="420" t="s">
        <v>51</v>
      </c>
      <c r="E20" s="445">
        <f>'Merluza sur Industrial'!D50</f>
        <v>0.31731160000000003</v>
      </c>
      <c r="F20" s="480">
        <f t="shared" ref="F20:F27" si="5">+$B$18*E20</f>
        <v>965.57919880000009</v>
      </c>
      <c r="G20" s="410">
        <f t="shared" ref="G20:G27" si="6">+I20+J20</f>
        <v>0</v>
      </c>
      <c r="H20" s="479">
        <f t="shared" ref="H20:H22" si="7">+F20+G20</f>
        <v>965.57919880000009</v>
      </c>
      <c r="I20" s="487"/>
      <c r="J20" s="454">
        <f t="shared" ref="J20:J24" si="8">+K20+L20</f>
        <v>0</v>
      </c>
      <c r="K20" s="410">
        <v>0</v>
      </c>
      <c r="L20" s="410"/>
    </row>
    <row r="21" spans="2:14" ht="12" customHeight="1">
      <c r="B21" s="420" t="s">
        <v>478</v>
      </c>
      <c r="C21" s="420" t="s">
        <v>463</v>
      </c>
      <c r="D21" s="420" t="s">
        <v>53</v>
      </c>
      <c r="E21" s="445">
        <v>5.3330000000000001E-4</v>
      </c>
      <c r="F21" s="480">
        <f t="shared" si="5"/>
        <v>1.6228319</v>
      </c>
      <c r="G21" s="410">
        <f t="shared" si="6"/>
        <v>0</v>
      </c>
      <c r="H21" s="479">
        <f t="shared" si="7"/>
        <v>1.6228319</v>
      </c>
      <c r="I21" s="487"/>
      <c r="J21" s="454">
        <f t="shared" si="8"/>
        <v>0</v>
      </c>
      <c r="K21" s="406"/>
      <c r="L21" s="406"/>
    </row>
    <row r="22" spans="2:14" ht="12" customHeight="1">
      <c r="B22" s="420" t="s">
        <v>478</v>
      </c>
      <c r="C22" s="420" t="s">
        <v>464</v>
      </c>
      <c r="D22" s="420" t="s">
        <v>465</v>
      </c>
      <c r="E22" s="445">
        <v>0</v>
      </c>
      <c r="F22" s="480">
        <f t="shared" si="5"/>
        <v>0</v>
      </c>
      <c r="G22" s="410">
        <f t="shared" si="6"/>
        <v>0</v>
      </c>
      <c r="H22" s="479">
        <f t="shared" si="7"/>
        <v>0</v>
      </c>
      <c r="I22" s="487"/>
      <c r="J22" s="454">
        <f t="shared" si="8"/>
        <v>0</v>
      </c>
      <c r="K22" s="406"/>
      <c r="L22" s="406"/>
    </row>
    <row r="23" spans="2:14" ht="12" customHeight="1">
      <c r="B23" s="420" t="s">
        <v>478</v>
      </c>
      <c r="C23" s="420" t="s">
        <v>466</v>
      </c>
      <c r="D23" s="420" t="s">
        <v>54</v>
      </c>
      <c r="E23" s="445">
        <f>0.0565746+0.0075+0.0125</f>
        <v>7.6574600000000007E-2</v>
      </c>
      <c r="F23" s="480">
        <f t="shared" si="5"/>
        <v>233.01650780000003</v>
      </c>
      <c r="G23" s="410">
        <f>+I23+J23</f>
        <v>300.94557937999997</v>
      </c>
      <c r="H23" s="479">
        <f>+F23+G23</f>
        <v>533.96208718000003</v>
      </c>
      <c r="I23" s="487"/>
      <c r="J23" s="454">
        <f t="shared" si="8"/>
        <v>300.94557937999997</v>
      </c>
      <c r="L23" s="489">
        <f>+F52</f>
        <v>300.94557937999997</v>
      </c>
    </row>
    <row r="24" spans="2:14" ht="12" customHeight="1">
      <c r="B24" s="420" t="s">
        <v>478</v>
      </c>
      <c r="C24" s="420" t="s">
        <v>467</v>
      </c>
      <c r="D24" s="420" t="s">
        <v>55</v>
      </c>
      <c r="E24" s="445">
        <v>3.9747999999999997E-3</v>
      </c>
      <c r="F24" s="480">
        <f t="shared" si="5"/>
        <v>12.0953164</v>
      </c>
      <c r="G24" s="410">
        <f t="shared" si="6"/>
        <v>0</v>
      </c>
      <c r="H24" s="479">
        <f t="shared" ref="H24:H27" si="9">+F24+G24</f>
        <v>12.0953164</v>
      </c>
      <c r="I24" s="487"/>
      <c r="J24" s="454">
        <f t="shared" si="8"/>
        <v>0</v>
      </c>
      <c r="K24" s="406"/>
      <c r="L24" s="406"/>
    </row>
    <row r="25" spans="2:14" ht="12" customHeight="1">
      <c r="B25" s="420" t="s">
        <v>478</v>
      </c>
      <c r="C25" s="420" t="s">
        <v>468</v>
      </c>
      <c r="D25" s="420" t="s">
        <v>56</v>
      </c>
      <c r="E25" s="445">
        <f>0.4727081+0.0988977</f>
        <v>0.57160580000000005</v>
      </c>
      <c r="F25" s="480">
        <f t="shared" si="5"/>
        <v>1739.3964494000002</v>
      </c>
      <c r="G25" s="410">
        <f>+I25+J25</f>
        <v>-15.025579379999954</v>
      </c>
      <c r="H25" s="479">
        <f t="shared" si="9"/>
        <v>1724.3708700200002</v>
      </c>
      <c r="I25" s="590">
        <f>54.508+185.767</f>
        <v>240.27500000000001</v>
      </c>
      <c r="J25" s="452">
        <f>+K25+L25</f>
        <v>-255.30057937999996</v>
      </c>
      <c r="K25" s="490">
        <f>-+J23</f>
        <v>-300.94557937999997</v>
      </c>
      <c r="L25" s="488">
        <f>22.8225+22.8225</f>
        <v>45.645000000000003</v>
      </c>
      <c r="N25" s="468">
        <f>+H25-I25</f>
        <v>1484.0958700200001</v>
      </c>
    </row>
    <row r="26" spans="2:14" ht="12" customHeight="1">
      <c r="B26" s="420" t="s">
        <v>478</v>
      </c>
      <c r="C26" s="420" t="s">
        <v>474</v>
      </c>
      <c r="D26" s="420" t="s">
        <v>475</v>
      </c>
      <c r="E26" s="445">
        <f>+(0.00125*2)+(0.0025*3)+0.005</f>
        <v>1.4999999999999999E-2</v>
      </c>
      <c r="F26" s="480">
        <f t="shared" si="5"/>
        <v>45.644999999999996</v>
      </c>
      <c r="G26" s="410">
        <f t="shared" si="6"/>
        <v>0</v>
      </c>
      <c r="H26" s="479">
        <f t="shared" si="9"/>
        <v>45.644999999999996</v>
      </c>
      <c r="I26" s="487"/>
      <c r="J26" s="454">
        <f t="shared" ref="J26:J27" si="10">+K26+L26</f>
        <v>0</v>
      </c>
      <c r="K26" s="406"/>
      <c r="L26" s="406"/>
    </row>
    <row r="27" spans="2:14" ht="12" customHeight="1">
      <c r="B27" s="420" t="s">
        <v>478</v>
      </c>
      <c r="C27" s="420" t="s">
        <v>476</v>
      </c>
      <c r="D27" s="420" t="s">
        <v>66</v>
      </c>
      <c r="E27" s="445">
        <f>0.0075*2</f>
        <v>1.4999999999999999E-2</v>
      </c>
      <c r="F27" s="480">
        <f t="shared" si="5"/>
        <v>45.644999999999996</v>
      </c>
      <c r="G27" s="410">
        <f t="shared" si="6"/>
        <v>-45.645000000000003</v>
      </c>
      <c r="H27" s="479">
        <f t="shared" si="9"/>
        <v>0</v>
      </c>
      <c r="I27" s="487">
        <v>0</v>
      </c>
      <c r="J27" s="452">
        <f t="shared" si="10"/>
        <v>-45.645000000000003</v>
      </c>
      <c r="K27" s="499">
        <f>-22.8225-22.8225</f>
        <v>-45.645000000000003</v>
      </c>
      <c r="L27" s="406"/>
    </row>
    <row r="28" spans="2:14">
      <c r="B28" s="458"/>
      <c r="C28" s="458"/>
      <c r="D28" s="458"/>
      <c r="E28" s="457">
        <f>SUM(E20:E27)</f>
        <v>1.0000001000000001</v>
      </c>
      <c r="F28" s="646">
        <f t="shared" ref="F28:H28" si="11">SUM(F20:F27)</f>
        <v>3043.0003043000006</v>
      </c>
      <c r="G28" s="486">
        <f>SUM(G20:G27)</f>
        <v>240.27500000000001</v>
      </c>
      <c r="H28" s="457">
        <f t="shared" si="11"/>
        <v>3283.2753043000002</v>
      </c>
      <c r="I28" s="486">
        <f>SUM(I20:I27)</f>
        <v>240.27500000000001</v>
      </c>
      <c r="J28" s="486">
        <f>SUM(J20:J27)</f>
        <v>0</v>
      </c>
      <c r="K28" s="627">
        <f>SUM(K20:K27)</f>
        <v>-346.59057937999995</v>
      </c>
      <c r="L28" s="627">
        <f>SUM(L20:L27)</f>
        <v>346.59057937999995</v>
      </c>
    </row>
    <row r="30" spans="2:14">
      <c r="G30" s="631"/>
      <c r="I30" s="468"/>
    </row>
    <row r="31" spans="2:14">
      <c r="I31" s="468"/>
    </row>
    <row r="32" spans="2:14" ht="15" customHeight="1"/>
    <row r="33" spans="2:8" ht="21.6" customHeight="1">
      <c r="B33" s="1359" t="s">
        <v>488</v>
      </c>
      <c r="C33" s="1360"/>
      <c r="D33" s="1360"/>
      <c r="E33" s="1361"/>
      <c r="G33" s="505"/>
      <c r="H33" s="506"/>
    </row>
    <row r="34" spans="2:8" ht="12" customHeight="1">
      <c r="B34" s="424" t="s">
        <v>489</v>
      </c>
      <c r="C34" s="497" t="s">
        <v>497</v>
      </c>
      <c r="D34" s="424" t="s">
        <v>487</v>
      </c>
      <c r="E34" s="424" t="s">
        <v>243</v>
      </c>
      <c r="F34" s="456" t="s">
        <v>505</v>
      </c>
      <c r="G34" s="507" t="s">
        <v>30</v>
      </c>
      <c r="H34" s="508" t="s">
        <v>507</v>
      </c>
    </row>
    <row r="35" spans="2:8" ht="10.8" customHeight="1">
      <c r="B35" s="752">
        <v>286</v>
      </c>
      <c r="C35" s="493">
        <v>43496</v>
      </c>
      <c r="D35" s="408" t="s">
        <v>511</v>
      </c>
      <c r="E35" s="495">
        <v>0.15312100000000001</v>
      </c>
      <c r="F35" s="494">
        <f t="shared" ref="F35:F39" si="12">+E35*$B$1</f>
        <v>728.70283900000004</v>
      </c>
      <c r="G35" s="635" t="s">
        <v>491</v>
      </c>
      <c r="H35" s="635" t="s">
        <v>492</v>
      </c>
    </row>
    <row r="36" spans="2:8" ht="12" hidden="1" customHeight="1">
      <c r="B36" s="753">
        <v>287</v>
      </c>
      <c r="C36" s="603">
        <v>43496</v>
      </c>
      <c r="D36" s="602" t="s">
        <v>520</v>
      </c>
      <c r="E36" s="604">
        <v>0</v>
      </c>
      <c r="F36" s="605">
        <f>+E36*$B$1</f>
        <v>0</v>
      </c>
      <c r="G36" s="647" t="s">
        <v>492</v>
      </c>
      <c r="H36" s="647" t="s">
        <v>491</v>
      </c>
    </row>
    <row r="37" spans="2:8" ht="10.8" customHeight="1">
      <c r="B37" s="752">
        <v>288</v>
      </c>
      <c r="C37" s="453">
        <v>43496</v>
      </c>
      <c r="D37" s="408" t="s">
        <v>502</v>
      </c>
      <c r="E37" s="495">
        <v>2.879E-2</v>
      </c>
      <c r="F37" s="411">
        <f t="shared" si="12"/>
        <v>137.01160999999999</v>
      </c>
      <c r="G37" s="635" t="s">
        <v>494</v>
      </c>
      <c r="H37" s="635" t="s">
        <v>491</v>
      </c>
    </row>
    <row r="38" spans="2:8" ht="12" hidden="1" customHeight="1">
      <c r="B38" s="753">
        <v>289</v>
      </c>
      <c r="C38" s="601">
        <v>43496</v>
      </c>
      <c r="D38" s="602" t="s">
        <v>519</v>
      </c>
      <c r="E38" s="604">
        <v>0</v>
      </c>
      <c r="F38" s="644">
        <f t="shared" si="12"/>
        <v>0</v>
      </c>
      <c r="G38" s="622" t="s">
        <v>491</v>
      </c>
      <c r="H38" s="622" t="s">
        <v>494</v>
      </c>
    </row>
    <row r="39" spans="2:8" ht="12" customHeight="1">
      <c r="B39" s="752">
        <v>377</v>
      </c>
      <c r="C39" s="453">
        <v>43501</v>
      </c>
      <c r="D39" s="408" t="s">
        <v>498</v>
      </c>
      <c r="E39" s="495">
        <v>7.6800000000000002E-3</v>
      </c>
      <c r="F39" s="411">
        <f t="shared" si="12"/>
        <v>36.549120000000002</v>
      </c>
      <c r="G39" s="635" t="s">
        <v>492</v>
      </c>
      <c r="H39" s="635" t="s">
        <v>491</v>
      </c>
    </row>
    <row r="40" spans="2:8" ht="12" customHeight="1">
      <c r="B40" s="754">
        <v>402</v>
      </c>
      <c r="C40" s="584">
        <v>43502</v>
      </c>
      <c r="D40" s="585" t="s">
        <v>501</v>
      </c>
      <c r="E40" s="586">
        <v>4.0000000000000003E-5</v>
      </c>
      <c r="F40" s="587">
        <f>+E40*$B$1*95%</f>
        <v>0.18084200000000003</v>
      </c>
      <c r="G40" s="635" t="s">
        <v>493</v>
      </c>
      <c r="H40" s="635" t="s">
        <v>492</v>
      </c>
    </row>
    <row r="41" spans="2:8" ht="12" customHeight="1">
      <c r="B41" s="754">
        <v>745</v>
      </c>
      <c r="C41" s="584">
        <v>43522</v>
      </c>
      <c r="D41" s="585" t="s">
        <v>510</v>
      </c>
      <c r="E41" s="586">
        <v>1.6192999999999999E-2</v>
      </c>
      <c r="F41" s="587">
        <f>+E41*$B$1*95%</f>
        <v>73.209362649999989</v>
      </c>
      <c r="G41" s="635" t="s">
        <v>491</v>
      </c>
      <c r="H41" s="635" t="s">
        <v>490</v>
      </c>
    </row>
    <row r="42" spans="2:8" ht="12" customHeight="1">
      <c r="B42" s="754"/>
      <c r="C42" s="761"/>
      <c r="D42" s="762"/>
      <c r="E42" s="586"/>
      <c r="F42" s="751"/>
      <c r="G42" s="763"/>
      <c r="H42" s="763"/>
    </row>
    <row r="43" spans="2:8" ht="12" customHeight="1">
      <c r="B43" s="754"/>
      <c r="C43" s="761"/>
      <c r="D43" s="762"/>
      <c r="E43" s="586"/>
      <c r="F43" s="751"/>
      <c r="G43" s="763"/>
      <c r="H43" s="763"/>
    </row>
    <row r="44" spans="2:8">
      <c r="B44" s="754">
        <v>1806</v>
      </c>
      <c r="C44" s="584">
        <v>43595</v>
      </c>
      <c r="D44" s="585" t="s">
        <v>583</v>
      </c>
      <c r="E44" s="586">
        <v>7.4999999999999997E-3</v>
      </c>
      <c r="F44" s="751">
        <f>+E44*$B$1</f>
        <v>35.692499999999995</v>
      </c>
      <c r="G44" s="635" t="s">
        <v>582</v>
      </c>
      <c r="H44" s="635" t="s">
        <v>491</v>
      </c>
    </row>
    <row r="45" spans="2:8">
      <c r="B45" s="754">
        <v>1807</v>
      </c>
      <c r="C45" s="584">
        <v>43595</v>
      </c>
      <c r="D45" s="585" t="s">
        <v>583</v>
      </c>
      <c r="E45" s="586">
        <v>7.4999999999999997E-3</v>
      </c>
      <c r="F45" s="751">
        <f>+E45*$B$1</f>
        <v>35.692499999999995</v>
      </c>
      <c r="G45" s="635" t="s">
        <v>582</v>
      </c>
      <c r="H45" s="635" t="s">
        <v>491</v>
      </c>
    </row>
    <row r="46" spans="2:8">
      <c r="B46" s="755"/>
      <c r="C46" s="756"/>
      <c r="D46" s="757"/>
      <c r="E46" s="758"/>
      <c r="F46" s="759"/>
      <c r="G46" s="760"/>
      <c r="H46" s="760"/>
    </row>
    <row r="47" spans="2:8">
      <c r="B47" s="755"/>
      <c r="C47" s="756"/>
      <c r="D47" s="757"/>
      <c r="E47" s="758"/>
      <c r="F47" s="759"/>
      <c r="G47" s="760"/>
      <c r="H47" s="760"/>
    </row>
    <row r="48" spans="2:8">
      <c r="B48" s="755"/>
      <c r="C48" s="756"/>
      <c r="D48" s="757"/>
      <c r="E48" s="758"/>
      <c r="F48" s="759"/>
      <c r="G48" s="760"/>
      <c r="H48" s="760"/>
    </row>
    <row r="49" spans="2:8">
      <c r="E49" s="459"/>
    </row>
    <row r="50" spans="2:8" ht="22.2">
      <c r="B50" s="1356" t="s">
        <v>509</v>
      </c>
      <c r="C50" s="1357"/>
      <c r="D50" s="1357"/>
      <c r="E50" s="1358"/>
      <c r="G50" s="505"/>
      <c r="H50" s="506"/>
    </row>
    <row r="51" spans="2:8" ht="15.45" customHeight="1">
      <c r="B51" s="636" t="s">
        <v>489</v>
      </c>
      <c r="C51" s="637" t="s">
        <v>497</v>
      </c>
      <c r="D51" s="636" t="s">
        <v>487</v>
      </c>
      <c r="E51" s="636" t="s">
        <v>243</v>
      </c>
      <c r="F51" s="636" t="s">
        <v>505</v>
      </c>
      <c r="G51" s="638" t="s">
        <v>30</v>
      </c>
      <c r="H51" s="639" t="s">
        <v>507</v>
      </c>
    </row>
    <row r="52" spans="2:8" ht="12" customHeight="1">
      <c r="B52" s="641">
        <v>746</v>
      </c>
      <c r="C52" s="629">
        <v>43522</v>
      </c>
      <c r="D52" s="642" t="s">
        <v>506</v>
      </c>
      <c r="E52" s="643">
        <v>0.1041028</v>
      </c>
      <c r="F52" s="630">
        <f>+E52*B18*95%</f>
        <v>300.94557937999997</v>
      </c>
      <c r="G52" s="635" t="s">
        <v>491</v>
      </c>
      <c r="H52" s="635" t="s">
        <v>490</v>
      </c>
    </row>
    <row r="53" spans="2:8">
      <c r="B53" s="406">
        <v>1362</v>
      </c>
      <c r="C53" s="478">
        <v>43566</v>
      </c>
      <c r="D53" s="406" t="s">
        <v>503</v>
      </c>
      <c r="E53" s="406">
        <v>7.4999999999999997E-3</v>
      </c>
      <c r="F53" s="481">
        <v>22.822500000000002</v>
      </c>
      <c r="G53" s="635" t="s">
        <v>508</v>
      </c>
      <c r="H53" s="635" t="s">
        <v>491</v>
      </c>
    </row>
    <row r="54" spans="2:8">
      <c r="B54" s="406">
        <v>1363</v>
      </c>
      <c r="C54" s="478">
        <v>43566</v>
      </c>
      <c r="D54" s="406" t="s">
        <v>504</v>
      </c>
      <c r="E54" s="477">
        <v>7.4999999999999997E-3</v>
      </c>
      <c r="F54" s="481">
        <v>22.822500000000002</v>
      </c>
      <c r="G54" s="635" t="s">
        <v>508</v>
      </c>
      <c r="H54" s="635" t="s">
        <v>491</v>
      </c>
    </row>
    <row r="55" spans="2:8">
      <c r="E55" s="405"/>
      <c r="F55" s="405"/>
      <c r="G55" s="405"/>
    </row>
    <row r="57" spans="2:8" ht="22.2">
      <c r="B57" s="1362" t="s">
        <v>561</v>
      </c>
      <c r="C57" s="1363"/>
      <c r="D57" s="1363"/>
      <c r="E57" s="1364"/>
      <c r="F57" s="645">
        <f>SUM(F60:F83)</f>
        <v>6008.6539999999995</v>
      </c>
      <c r="G57" s="640"/>
      <c r="H57" s="506"/>
    </row>
    <row r="58" spans="2:8">
      <c r="B58"/>
      <c r="C58"/>
      <c r="D58"/>
      <c r="E58"/>
      <c r="F58"/>
      <c r="G58"/>
      <c r="H58"/>
    </row>
    <row r="59" spans="2:8" ht="15.6" customHeight="1">
      <c r="B59" s="636" t="s">
        <v>489</v>
      </c>
      <c r="C59" s="637" t="s">
        <v>497</v>
      </c>
      <c r="D59" s="972" t="s">
        <v>562</v>
      </c>
      <c r="E59" s="973"/>
      <c r="F59" s="636" t="s">
        <v>505</v>
      </c>
      <c r="G59" s="735" t="s">
        <v>576</v>
      </c>
      <c r="H59" s="639" t="s">
        <v>577</v>
      </c>
    </row>
    <row r="60" spans="2:8">
      <c r="B60" s="632">
        <v>392</v>
      </c>
      <c r="C60" s="633">
        <v>43502</v>
      </c>
      <c r="D60" s="970" t="s">
        <v>536</v>
      </c>
      <c r="E60" s="971"/>
      <c r="F60" s="634">
        <v>305.55599999999998</v>
      </c>
      <c r="G60" s="635" t="s">
        <v>544</v>
      </c>
      <c r="H60" s="635" t="s">
        <v>494</v>
      </c>
    </row>
    <row r="61" spans="2:8">
      <c r="B61" s="632">
        <v>396</v>
      </c>
      <c r="C61" s="633">
        <v>43502</v>
      </c>
      <c r="D61" s="970" t="s">
        <v>537</v>
      </c>
      <c r="E61" s="971"/>
      <c r="F61" s="634">
        <v>106</v>
      </c>
      <c r="G61" s="635" t="s">
        <v>544</v>
      </c>
      <c r="H61" s="635" t="s">
        <v>494</v>
      </c>
    </row>
    <row r="62" spans="2:8" ht="15.6" customHeight="1">
      <c r="B62" s="632">
        <v>442</v>
      </c>
      <c r="C62" s="633">
        <v>43503</v>
      </c>
      <c r="D62" s="970" t="s">
        <v>558</v>
      </c>
      <c r="E62" s="971"/>
      <c r="F62" s="634">
        <v>193.87899999999999</v>
      </c>
      <c r="G62" s="635" t="s">
        <v>543</v>
      </c>
      <c r="H62" s="635" t="s">
        <v>494</v>
      </c>
    </row>
    <row r="63" spans="2:8">
      <c r="B63" s="632">
        <v>446</v>
      </c>
      <c r="C63" s="633">
        <v>43503</v>
      </c>
      <c r="D63" s="970" t="s">
        <v>542</v>
      </c>
      <c r="E63" s="971"/>
      <c r="F63" s="634">
        <v>27.254000000000001</v>
      </c>
      <c r="G63" s="635" t="s">
        <v>545</v>
      </c>
      <c r="H63" s="635" t="s">
        <v>546</v>
      </c>
    </row>
    <row r="64" spans="2:8">
      <c r="B64" s="632">
        <v>531</v>
      </c>
      <c r="C64" s="633">
        <v>43503</v>
      </c>
      <c r="D64" s="970" t="s">
        <v>559</v>
      </c>
      <c r="E64" s="971"/>
      <c r="F64" s="634">
        <v>722.274</v>
      </c>
      <c r="G64" s="635" t="s">
        <v>543</v>
      </c>
      <c r="H64" s="635" t="s">
        <v>492</v>
      </c>
    </row>
    <row r="65" spans="2:8">
      <c r="B65" s="632">
        <v>532</v>
      </c>
      <c r="C65" s="633">
        <v>43503</v>
      </c>
      <c r="D65" s="970" t="s">
        <v>560</v>
      </c>
      <c r="E65" s="971"/>
      <c r="F65" s="634">
        <v>1402.471</v>
      </c>
      <c r="G65" s="635" t="s">
        <v>543</v>
      </c>
      <c r="H65" s="635" t="s">
        <v>546</v>
      </c>
    </row>
    <row r="66" spans="2:8">
      <c r="B66" s="632">
        <v>564</v>
      </c>
      <c r="C66" s="633">
        <v>43507</v>
      </c>
      <c r="D66" s="970" t="s">
        <v>557</v>
      </c>
      <c r="E66" s="971"/>
      <c r="F66" s="634">
        <v>1363.3109999999999</v>
      </c>
      <c r="G66" s="635" t="s">
        <v>545</v>
      </c>
      <c r="H66" s="635" t="s">
        <v>546</v>
      </c>
    </row>
    <row r="67" spans="2:8">
      <c r="B67" s="632">
        <v>674</v>
      </c>
      <c r="C67" s="633">
        <v>43516</v>
      </c>
      <c r="D67" s="970" t="s">
        <v>556</v>
      </c>
      <c r="E67" s="971"/>
      <c r="F67" s="634">
        <v>167.67400000000001</v>
      </c>
      <c r="G67" s="635" t="s">
        <v>543</v>
      </c>
      <c r="H67" s="635" t="s">
        <v>546</v>
      </c>
    </row>
    <row r="68" spans="2:8">
      <c r="B68" s="632">
        <v>675</v>
      </c>
      <c r="C68" s="633">
        <v>43516</v>
      </c>
      <c r="D68" s="970" t="s">
        <v>555</v>
      </c>
      <c r="E68" s="971"/>
      <c r="F68" s="634">
        <v>40.600999999999999</v>
      </c>
      <c r="G68" s="635" t="s">
        <v>543</v>
      </c>
      <c r="H68" s="635" t="s">
        <v>546</v>
      </c>
    </row>
    <row r="69" spans="2:8">
      <c r="B69" s="632">
        <v>678</v>
      </c>
      <c r="C69" s="633">
        <v>43516</v>
      </c>
      <c r="D69" s="970" t="s">
        <v>563</v>
      </c>
      <c r="E69" s="971"/>
      <c r="F69" s="634">
        <v>54.508000000000003</v>
      </c>
      <c r="G69" s="635" t="s">
        <v>545</v>
      </c>
      <c r="H69" s="635" t="s">
        <v>491</v>
      </c>
    </row>
    <row r="70" spans="2:8">
      <c r="B70" s="632">
        <v>687</v>
      </c>
      <c r="C70" s="633">
        <v>43516</v>
      </c>
      <c r="D70" s="970" t="s">
        <v>554</v>
      </c>
      <c r="E70" s="971"/>
      <c r="F70" s="634">
        <v>5.2220000000000004</v>
      </c>
      <c r="G70" s="635" t="s">
        <v>543</v>
      </c>
      <c r="H70" s="635" t="s">
        <v>546</v>
      </c>
    </row>
    <row r="71" spans="2:8">
      <c r="B71" s="632">
        <v>688</v>
      </c>
      <c r="C71" s="633">
        <v>43516</v>
      </c>
      <c r="D71" s="970" t="s">
        <v>564</v>
      </c>
      <c r="E71" s="971"/>
      <c r="F71" s="634">
        <v>185.767</v>
      </c>
      <c r="G71" s="635" t="s">
        <v>545</v>
      </c>
      <c r="H71" s="635" t="s">
        <v>491</v>
      </c>
    </row>
    <row r="72" spans="2:8">
      <c r="B72" s="632">
        <v>797</v>
      </c>
      <c r="C72" s="633">
        <v>43524</v>
      </c>
      <c r="D72" s="970" t="s">
        <v>547</v>
      </c>
      <c r="E72" s="971"/>
      <c r="F72" s="634">
        <v>167.77799999999999</v>
      </c>
      <c r="G72" s="635" t="s">
        <v>544</v>
      </c>
      <c r="H72" s="635" t="s">
        <v>491</v>
      </c>
    </row>
    <row r="73" spans="2:8">
      <c r="B73" s="632">
        <v>798</v>
      </c>
      <c r="C73" s="633">
        <v>43524</v>
      </c>
      <c r="D73" s="970" t="s">
        <v>548</v>
      </c>
      <c r="E73" s="971"/>
      <c r="F73" s="634">
        <v>222.22200000000001</v>
      </c>
      <c r="G73" s="635" t="s">
        <v>544</v>
      </c>
      <c r="H73" s="635" t="s">
        <v>491</v>
      </c>
    </row>
    <row r="74" spans="2:8">
      <c r="B74" s="632">
        <v>799</v>
      </c>
      <c r="C74" s="633">
        <v>43524</v>
      </c>
      <c r="D74" s="970" t="s">
        <v>549</v>
      </c>
      <c r="E74" s="971"/>
      <c r="F74" s="634">
        <v>147.667</v>
      </c>
      <c r="G74" s="635" t="s">
        <v>544</v>
      </c>
      <c r="H74" s="635" t="s">
        <v>491</v>
      </c>
    </row>
    <row r="75" spans="2:8">
      <c r="B75" s="632">
        <v>809</v>
      </c>
      <c r="C75" s="633">
        <v>43528</v>
      </c>
      <c r="D75" s="970" t="s">
        <v>553</v>
      </c>
      <c r="E75" s="971"/>
      <c r="F75" s="634">
        <v>177.50700000000001</v>
      </c>
      <c r="G75" s="635" t="s">
        <v>543</v>
      </c>
      <c r="H75" s="635" t="s">
        <v>546</v>
      </c>
    </row>
    <row r="76" spans="2:8">
      <c r="B76" s="632">
        <v>810</v>
      </c>
      <c r="C76" s="633">
        <v>43528</v>
      </c>
      <c r="D76" s="970" t="s">
        <v>552</v>
      </c>
      <c r="E76" s="971"/>
      <c r="F76" s="634">
        <v>27.254000000000001</v>
      </c>
      <c r="G76" s="635" t="s">
        <v>545</v>
      </c>
      <c r="H76" s="635" t="s">
        <v>546</v>
      </c>
    </row>
    <row r="77" spans="2:8">
      <c r="B77" s="632">
        <v>811</v>
      </c>
      <c r="C77" s="633">
        <v>43528</v>
      </c>
      <c r="D77" s="970" t="s">
        <v>550</v>
      </c>
      <c r="E77" s="971"/>
      <c r="F77" s="634">
        <v>324.44799999999998</v>
      </c>
      <c r="G77" s="635" t="s">
        <v>544</v>
      </c>
      <c r="H77" s="635" t="s">
        <v>491</v>
      </c>
    </row>
    <row r="78" spans="2:8">
      <c r="B78" s="632">
        <v>1096</v>
      </c>
      <c r="C78" s="633">
        <v>43552</v>
      </c>
      <c r="D78" s="970" t="s">
        <v>540</v>
      </c>
      <c r="E78" s="971"/>
      <c r="F78" s="634">
        <v>15.923999999999999</v>
      </c>
      <c r="G78" s="635" t="s">
        <v>543</v>
      </c>
      <c r="H78" s="635" t="s">
        <v>492</v>
      </c>
    </row>
    <row r="79" spans="2:8">
      <c r="B79" s="632">
        <v>1097</v>
      </c>
      <c r="C79" s="633">
        <v>43552</v>
      </c>
      <c r="D79" s="970" t="s">
        <v>538</v>
      </c>
      <c r="E79" s="971"/>
      <c r="F79" s="634">
        <v>18.446000000000002</v>
      </c>
      <c r="G79" s="635" t="s">
        <v>543</v>
      </c>
      <c r="H79" s="635" t="s">
        <v>494</v>
      </c>
    </row>
    <row r="80" spans="2:8">
      <c r="B80" s="632">
        <v>1109</v>
      </c>
      <c r="C80" s="633">
        <v>43553</v>
      </c>
      <c r="D80" s="970" t="s">
        <v>551</v>
      </c>
      <c r="E80" s="971"/>
      <c r="F80" s="634">
        <v>13.627000000000001</v>
      </c>
      <c r="G80" s="635" t="s">
        <v>545</v>
      </c>
      <c r="H80" s="635" t="s">
        <v>546</v>
      </c>
    </row>
    <row r="81" spans="2:14">
      <c r="B81" s="632">
        <v>1195</v>
      </c>
      <c r="C81" s="633">
        <v>43553</v>
      </c>
      <c r="D81" s="970" t="s">
        <v>541</v>
      </c>
      <c r="E81" s="971"/>
      <c r="F81" s="634">
        <v>59.755000000000003</v>
      </c>
      <c r="G81" s="635" t="s">
        <v>543</v>
      </c>
      <c r="H81" s="635" t="s">
        <v>492</v>
      </c>
    </row>
    <row r="82" spans="2:14">
      <c r="B82" s="632">
        <v>1356</v>
      </c>
      <c r="C82" s="633">
        <v>43565</v>
      </c>
      <c r="D82" s="970" t="s">
        <v>539</v>
      </c>
      <c r="E82" s="971"/>
      <c r="F82" s="634">
        <v>248.69</v>
      </c>
      <c r="G82" s="635" t="s">
        <v>544</v>
      </c>
      <c r="H82" s="635" t="s">
        <v>546</v>
      </c>
    </row>
    <row r="83" spans="2:14">
      <c r="B83" s="632">
        <v>1464</v>
      </c>
      <c r="C83" s="633">
        <v>43572</v>
      </c>
      <c r="D83" s="970" t="str">
        <f>+"R Ex "&amp;B83&amp;" Cesion de "&amp;F83&amp;" ton de region "&amp;G83&amp;"  a "&amp;H83&amp;""</f>
        <v>R Ex 1464 Cesion de 10,819 ton de region Aysen  a Grimar</v>
      </c>
      <c r="E83" s="971"/>
      <c r="F83" s="634">
        <v>10.819000000000001</v>
      </c>
      <c r="G83" s="635" t="s">
        <v>543</v>
      </c>
      <c r="H83" s="635" t="s">
        <v>494</v>
      </c>
    </row>
    <row r="84" spans="2:14" ht="14.4" customHeight="1">
      <c r="B84" s="632">
        <v>1716</v>
      </c>
      <c r="C84" s="633">
        <v>43592</v>
      </c>
      <c r="D84" s="970" t="str">
        <f>+"R Ex "&amp;B84&amp;" Cesion de "&amp;F84&amp;" ton de region "&amp;G84&amp;"  a "&amp;H84&amp;""</f>
        <v>R Ex 1716 Cesion de 12,5 ton de region Magallanes  a Deris</v>
      </c>
      <c r="E84" s="971"/>
      <c r="F84" s="634">
        <v>12.5</v>
      </c>
      <c r="G84" s="635" t="s">
        <v>545</v>
      </c>
      <c r="H84" s="635" t="s">
        <v>491</v>
      </c>
      <c r="I84" s="1365"/>
      <c r="J84" s="1366"/>
      <c r="K84" s="1366"/>
      <c r="L84" s="1366"/>
      <c r="M84" s="1366"/>
      <c r="N84" s="1366"/>
    </row>
  </sheetData>
  <sortState ref="B58:H82">
    <sortCondition ref="B56:B62"/>
  </sortState>
  <mergeCells count="32">
    <mergeCell ref="D84:E84"/>
    <mergeCell ref="I84:N84"/>
    <mergeCell ref="D60:E60"/>
    <mergeCell ref="D61:E61"/>
    <mergeCell ref="D63:E63"/>
    <mergeCell ref="D64:E64"/>
    <mergeCell ref="D66:E66"/>
    <mergeCell ref="D67:E67"/>
    <mergeCell ref="D68:E68"/>
    <mergeCell ref="D70:E70"/>
    <mergeCell ref="D62:E62"/>
    <mergeCell ref="D79:E79"/>
    <mergeCell ref="D83:E83"/>
    <mergeCell ref="D78:E78"/>
    <mergeCell ref="D81:E81"/>
    <mergeCell ref="D73:E73"/>
    <mergeCell ref="F1:J1"/>
    <mergeCell ref="F18:J18"/>
    <mergeCell ref="D59:E59"/>
    <mergeCell ref="B50:E50"/>
    <mergeCell ref="B33:E33"/>
    <mergeCell ref="B57:E57"/>
    <mergeCell ref="D77:E77"/>
    <mergeCell ref="D80:E80"/>
    <mergeCell ref="D82:E82"/>
    <mergeCell ref="D75:E75"/>
    <mergeCell ref="D76:E76"/>
    <mergeCell ref="D69:E69"/>
    <mergeCell ref="D71:E71"/>
    <mergeCell ref="D72:E72"/>
    <mergeCell ref="D65:E65"/>
    <mergeCell ref="D74:E74"/>
  </mergeCells>
  <conditionalFormatting sqref="H60:H83 H35:H43 H52:H54 L28 L16">
    <cfRule type="cellIs" dxfId="8" priority="26" operator="greaterThan">
      <formula>0</formula>
    </cfRule>
  </conditionalFormatting>
  <conditionalFormatting sqref="G60:G83 G35:G43 G52:G54 K28 K16">
    <cfRule type="cellIs" dxfId="7" priority="25" operator="greaterThan">
      <formula>0</formula>
    </cfRule>
  </conditionalFormatting>
  <conditionalFormatting sqref="H84">
    <cfRule type="cellIs" dxfId="6" priority="7" operator="greaterThan">
      <formula>0</formula>
    </cfRule>
  </conditionalFormatting>
  <conditionalFormatting sqref="G84">
    <cfRule type="cellIs" dxfId="5" priority="6" operator="greaterThan">
      <formula>0</formula>
    </cfRule>
  </conditionalFormatting>
  <conditionalFormatting sqref="G44">
    <cfRule type="cellIs" dxfId="4" priority="5" operator="greaterThan">
      <formula>0</formula>
    </cfRule>
  </conditionalFormatting>
  <conditionalFormatting sqref="H44">
    <cfRule type="cellIs" dxfId="3" priority="4" operator="greaterThan">
      <formula>0</formula>
    </cfRule>
  </conditionalFormatting>
  <conditionalFormatting sqref="G45:G48">
    <cfRule type="cellIs" dxfId="2" priority="3" operator="greaterThan">
      <formula>0</formula>
    </cfRule>
  </conditionalFormatting>
  <conditionalFormatting sqref="H45:H48">
    <cfRule type="cellIs" dxfId="1" priority="2" operator="greaterThan">
      <formula>0</formula>
    </cfRule>
  </conditionalFormatting>
  <conditionalFormatting sqref="L4:L15">
    <cfRule type="cellIs" dxfId="0" priority="1" operator="greaterThan">
      <formula>0</formula>
    </cfRule>
  </conditionalFormatting>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J16"/>
  <sheetViews>
    <sheetView showGridLines="0" zoomScale="70" zoomScaleNormal="70" workbookViewId="0">
      <selection activeCell="G36" sqref="G36"/>
    </sheetView>
  </sheetViews>
  <sheetFormatPr baseColWidth="10" defaultRowHeight="14.4"/>
  <cols>
    <col min="1" max="1" width="8.109375" customWidth="1"/>
    <col min="2" max="2" width="20.5546875" customWidth="1"/>
    <col min="3" max="3" width="11.77734375" customWidth="1"/>
    <col min="4" max="4" width="12" customWidth="1"/>
    <col min="5" max="5" width="12.5546875" customWidth="1"/>
    <col min="6" max="6" width="10.44140625" customWidth="1"/>
    <col min="7" max="7" width="9.77734375" customWidth="1"/>
    <col min="8" max="8" width="18.33203125" customWidth="1"/>
  </cols>
  <sheetData>
    <row r="1" spans="1:10">
      <c r="A1" s="423">
        <v>4759</v>
      </c>
    </row>
    <row r="2" spans="1:10">
      <c r="B2" s="1367" t="s">
        <v>521</v>
      </c>
      <c r="C2" s="1367"/>
      <c r="D2" s="1367"/>
      <c r="E2" s="1367"/>
      <c r="F2" s="1367"/>
      <c r="G2" s="1367"/>
      <c r="H2" s="1367"/>
    </row>
    <row r="4" spans="1:10">
      <c r="D4" s="60"/>
      <c r="E4" s="1368" t="s">
        <v>522</v>
      </c>
      <c r="F4" s="1368"/>
      <c r="G4" s="1368"/>
    </row>
    <row r="5" spans="1:10">
      <c r="A5">
        <v>1</v>
      </c>
      <c r="B5" s="606" t="s">
        <v>494</v>
      </c>
      <c r="C5" s="606" t="s">
        <v>523</v>
      </c>
      <c r="D5" s="606">
        <v>0.18365590000000001</v>
      </c>
      <c r="E5" s="606">
        <v>13793</v>
      </c>
      <c r="F5" s="606">
        <v>32157</v>
      </c>
      <c r="G5" s="606">
        <v>18365.599999999999</v>
      </c>
      <c r="H5" s="606" t="s">
        <v>524</v>
      </c>
      <c r="I5" s="607">
        <f>+D5*$A$1</f>
        <v>874.01842810000005</v>
      </c>
    </row>
    <row r="6" spans="1:10">
      <c r="A6">
        <v>9</v>
      </c>
      <c r="B6" s="618" t="s">
        <v>525</v>
      </c>
      <c r="C6" s="618" t="s">
        <v>526</v>
      </c>
      <c r="D6" s="619">
        <f>+D5-D10</f>
        <v>0.1548659</v>
      </c>
      <c r="E6" s="620">
        <v>16672</v>
      </c>
      <c r="F6" s="620">
        <v>32157</v>
      </c>
      <c r="G6" s="620">
        <f>+F6-E6+1</f>
        <v>15486</v>
      </c>
      <c r="H6" s="618" t="s">
        <v>534</v>
      </c>
      <c r="I6" s="607">
        <f>+D6*$A$1</f>
        <v>737.00681810000003</v>
      </c>
    </row>
    <row r="7" spans="1:10">
      <c r="D7" s="60"/>
      <c r="E7" s="608"/>
      <c r="F7" s="609"/>
      <c r="G7" s="609"/>
    </row>
    <row r="8" spans="1:10">
      <c r="A8">
        <v>2</v>
      </c>
      <c r="B8" s="606" t="s">
        <v>491</v>
      </c>
      <c r="C8" s="606" t="s">
        <v>523</v>
      </c>
      <c r="D8" s="606">
        <v>0.35303050000000002</v>
      </c>
      <c r="E8" s="606">
        <v>32158</v>
      </c>
      <c r="F8" s="606">
        <v>67460</v>
      </c>
      <c r="G8" s="606">
        <v>35303.1</v>
      </c>
      <c r="H8" s="606" t="s">
        <v>524</v>
      </c>
      <c r="I8" s="607">
        <f t="shared" ref="I8:I15" si="0">+D8*$A$1</f>
        <v>1680.0721495</v>
      </c>
      <c r="J8" s="600">
        <f>(-728.70284-73.20947)+(137.012+36.54912)</f>
        <v>-628.35119000000009</v>
      </c>
    </row>
    <row r="9" spans="1:10" ht="15.6">
      <c r="A9">
        <v>7</v>
      </c>
      <c r="B9" s="610" t="s">
        <v>527</v>
      </c>
      <c r="C9" s="610" t="s">
        <v>528</v>
      </c>
      <c r="D9" s="611">
        <f>+D8-D15</f>
        <v>0.19990950000000002</v>
      </c>
      <c r="E9" s="612">
        <v>32158</v>
      </c>
      <c r="F9" s="612">
        <v>51148</v>
      </c>
      <c r="G9" s="613">
        <f>+F9-E9+1</f>
        <v>18991</v>
      </c>
      <c r="H9" s="607" t="s">
        <v>535</v>
      </c>
      <c r="I9" s="607">
        <f t="shared" si="0"/>
        <v>951.3693105000001</v>
      </c>
    </row>
    <row r="10" spans="1:10">
      <c r="A10">
        <v>8</v>
      </c>
      <c r="C10" s="607" t="s">
        <v>529</v>
      </c>
      <c r="D10" s="614">
        <v>2.879E-2</v>
      </c>
      <c r="E10" s="612">
        <v>13793</v>
      </c>
      <c r="F10" s="612">
        <v>16671</v>
      </c>
      <c r="G10" s="613">
        <f>+F10-E10+1</f>
        <v>2879</v>
      </c>
      <c r="H10" s="607" t="s">
        <v>530</v>
      </c>
      <c r="I10" s="607">
        <f>+D10*$A$1</f>
        <v>137.01160999999999</v>
      </c>
    </row>
    <row r="11" spans="1:10">
      <c r="A11">
        <v>3</v>
      </c>
      <c r="B11" s="606" t="s">
        <v>491</v>
      </c>
      <c r="C11" s="606" t="s">
        <v>523</v>
      </c>
      <c r="D11" s="606">
        <v>1.53834E-2</v>
      </c>
      <c r="E11" s="606">
        <v>68743</v>
      </c>
      <c r="F11" s="606">
        <v>70280</v>
      </c>
      <c r="G11" s="606">
        <v>1538.3</v>
      </c>
      <c r="H11" s="607"/>
      <c r="I11" s="607">
        <f>+-D11*$A$1</f>
        <v>-73.209600600000002</v>
      </c>
    </row>
    <row r="12" spans="1:10">
      <c r="G12" s="615"/>
      <c r="I12">
        <f>+I9+I10+I11-I15</f>
        <v>286.46848089999992</v>
      </c>
    </row>
    <row r="13" spans="1:10">
      <c r="D13" s="621"/>
      <c r="G13" s="615"/>
      <c r="I13">
        <f t="shared" si="0"/>
        <v>0</v>
      </c>
    </row>
    <row r="14" spans="1:10">
      <c r="A14">
        <v>4</v>
      </c>
      <c r="B14" s="606" t="s">
        <v>492</v>
      </c>
      <c r="C14" s="606" t="s">
        <v>523</v>
      </c>
      <c r="D14" s="606">
        <v>0.24709130000000001</v>
      </c>
      <c r="E14" s="606">
        <v>70281</v>
      </c>
      <c r="F14" s="606">
        <v>94989</v>
      </c>
      <c r="G14" s="606">
        <v>24709.1</v>
      </c>
      <c r="H14" s="606" t="s">
        <v>531</v>
      </c>
      <c r="I14" s="607">
        <f t="shared" si="0"/>
        <v>1175.9074967000001</v>
      </c>
    </row>
    <row r="15" spans="1:10">
      <c r="A15">
        <v>5</v>
      </c>
      <c r="C15" s="607" t="s">
        <v>532</v>
      </c>
      <c r="D15" s="616">
        <v>0.15312100000000001</v>
      </c>
      <c r="E15" s="613">
        <v>51149</v>
      </c>
      <c r="F15" s="613">
        <v>67460</v>
      </c>
      <c r="G15" s="613">
        <f>+F15-E15+1</f>
        <v>16312</v>
      </c>
      <c r="H15" t="s">
        <v>533</v>
      </c>
      <c r="I15" s="607">
        <f t="shared" si="0"/>
        <v>728.70283900000004</v>
      </c>
    </row>
    <row r="16" spans="1:10">
      <c r="E16" s="617"/>
      <c r="F16" s="617"/>
      <c r="G16" s="617"/>
    </row>
  </sheetData>
  <mergeCells count="2">
    <mergeCell ref="B2:H2"/>
    <mergeCell ref="E4:G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 Cuota Global</vt:lpstr>
      <vt:lpstr>Merluza sur Industrial</vt:lpstr>
      <vt:lpstr>Merluza sur Artesanal X</vt:lpstr>
      <vt:lpstr>Merluza sur Artesanal XI</vt:lpstr>
      <vt:lpstr>Merluza sur Artesanal XII</vt:lpstr>
      <vt:lpstr>Hoja1</vt:lpstr>
      <vt:lpstr>Hoja5</vt:lpstr>
      <vt:lpstr>Movimientos_cuotas</vt:lpstr>
      <vt:lpstr>Hoja2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2019-06-13T19:22:32Z</dcterms:modified>
</cp:coreProperties>
</file>