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360" yWindow="0" windowWidth="22920" windowHeight="12360" tabRatio="951"/>
  </bookViews>
  <sheets>
    <sheet name="Resumen Cuota Global" sheetId="1" r:id="rId1"/>
    <sheet name="Merluza sur Industrial" sheetId="2" r:id="rId2"/>
    <sheet name="Merluza sur Artesanal X" sheetId="3" r:id="rId3"/>
    <sheet name="Merluza sur Artesanal XI" sheetId="5" r:id="rId4"/>
    <sheet name="Merluza sur Artesanal XII" sheetId="4" r:id="rId5"/>
    <sheet name="Movimientos_cuotas" sheetId="12" r:id="rId6"/>
    <sheet name="Hoja2" sheetId="13" r:id="rId7"/>
  </sheets>
  <externalReferences>
    <externalReference r:id="rId8"/>
  </externalReferences>
  <definedNames>
    <definedName name="_xlnm._FilterDatabase" localSheetId="3" hidden="1">'Merluza sur Artesanal XI'!$B$11:$M$11</definedName>
    <definedName name="_xlnm._FilterDatabase" localSheetId="4" hidden="1">'Merluza sur Artesanal XII'!$B$18:$T$273</definedName>
    <definedName name="_xlnm._FilterDatabase" localSheetId="5" hidden="1">Movimientos_cuotas!$B$56:$H$88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Y89" i="5" l="1"/>
  <c r="Y90" i="5"/>
  <c r="Y91" i="5"/>
  <c r="Y92" i="5"/>
  <c r="Y93" i="5"/>
  <c r="Y94" i="5"/>
  <c r="Y95" i="5"/>
  <c r="Y97" i="5"/>
  <c r="Y98" i="5"/>
  <c r="Y99" i="5"/>
  <c r="Y100" i="5"/>
  <c r="Y101" i="5"/>
  <c r="Y102" i="5"/>
  <c r="Y103" i="5"/>
  <c r="Y105" i="5"/>
  <c r="Y106" i="5"/>
  <c r="Y107" i="5"/>
  <c r="Y108" i="5"/>
  <c r="Y109" i="5"/>
  <c r="Y110" i="5"/>
  <c r="Y111" i="5"/>
  <c r="Y112" i="5"/>
  <c r="Y113" i="5"/>
  <c r="Y114" i="5"/>
  <c r="Y115" i="5"/>
  <c r="Y116" i="5"/>
  <c r="Y117" i="5"/>
  <c r="Y118" i="5"/>
  <c r="Y119" i="5"/>
  <c r="Y121" i="5"/>
  <c r="Y122" i="5"/>
  <c r="Y123" i="5"/>
  <c r="Y125" i="5"/>
  <c r="Y126" i="5"/>
  <c r="Y127" i="5"/>
  <c r="Y128" i="5"/>
  <c r="Y129" i="5"/>
  <c r="Y130" i="5"/>
  <c r="Y131" i="5"/>
  <c r="Y133" i="5"/>
  <c r="Y135" i="5"/>
  <c r="Y136" i="5"/>
  <c r="Y137" i="5"/>
  <c r="Y138" i="5"/>
  <c r="Y139" i="5"/>
  <c r="Y141" i="5"/>
  <c r="Y142" i="5"/>
  <c r="Y143" i="5"/>
  <c r="Y144" i="5"/>
  <c r="Y145" i="5"/>
  <c r="Y147" i="5"/>
  <c r="Y149" i="5"/>
  <c r="Y150" i="5"/>
  <c r="Y151" i="5"/>
  <c r="Y152" i="5"/>
  <c r="Y153" i="5"/>
  <c r="Y154" i="5"/>
  <c r="Y155" i="5"/>
  <c r="Y88" i="5"/>
  <c r="G229" i="5" l="1"/>
  <c r="F89" i="12"/>
  <c r="F55" i="12" s="1"/>
  <c r="E21" i="3"/>
  <c r="E20" i="3"/>
  <c r="E15" i="3"/>
  <c r="E14" i="3"/>
  <c r="F32" i="3"/>
  <c r="G20" i="2"/>
  <c r="D88" i="12"/>
  <c r="I18" i="2"/>
  <c r="I14" i="2"/>
  <c r="I51" i="2" l="1"/>
  <c r="I59" i="2"/>
  <c r="I19" i="2"/>
  <c r="I15" i="2"/>
  <c r="I13" i="2"/>
  <c r="I21" i="2"/>
  <c r="G37" i="2"/>
  <c r="V51" i="4"/>
  <c r="G14" i="2"/>
  <c r="D87" i="12"/>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7" i="5"/>
  <c r="W198"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88" i="5"/>
  <c r="W89" i="5"/>
  <c r="W90" i="5"/>
  <c r="W91" i="5"/>
  <c r="W92" i="5"/>
  <c r="W93" i="5"/>
  <c r="W94" i="5"/>
  <c r="W95" i="5"/>
  <c r="W96" i="5"/>
  <c r="W97" i="5"/>
  <c r="W98"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50" i="5"/>
  <c r="W51" i="5"/>
  <c r="W52" i="5"/>
  <c r="W53" i="5"/>
  <c r="W54" i="5"/>
  <c r="W55" i="5"/>
  <c r="W56" i="5"/>
  <c r="W58" i="5"/>
  <c r="W59" i="5"/>
  <c r="W60" i="5"/>
  <c r="W61" i="5"/>
  <c r="W62" i="5"/>
  <c r="W63" i="5"/>
  <c r="W64" i="5"/>
  <c r="W65" i="5"/>
  <c r="W66" i="5"/>
  <c r="W67" i="5"/>
  <c r="W68" i="5"/>
  <c r="W69" i="5"/>
  <c r="W70" i="5"/>
  <c r="W71" i="5"/>
  <c r="W72" i="5"/>
  <c r="W73" i="5"/>
  <c r="W74" i="5"/>
  <c r="W75" i="5"/>
  <c r="W76" i="5"/>
  <c r="W77" i="5"/>
  <c r="W78" i="5"/>
  <c r="W80" i="5"/>
  <c r="W81" i="5"/>
  <c r="W82" i="5"/>
  <c r="W49" i="5"/>
  <c r="E28" i="1" l="1"/>
  <c r="W79" i="5" l="1"/>
  <c r="W57" i="5"/>
  <c r="G12" i="2" l="1"/>
  <c r="H183" i="5"/>
  <c r="H104" i="5"/>
  <c r="Y104" i="5" s="1"/>
  <c r="H140" i="5"/>
  <c r="Y140" i="5" s="1"/>
  <c r="D85" i="12"/>
  <c r="D84" i="12"/>
  <c r="D83" i="12"/>
  <c r="D82" i="12"/>
  <c r="D86" i="12"/>
  <c r="J44" i="5" l="1"/>
  <c r="J156" i="5"/>
  <c r="W156" i="5" s="1"/>
  <c r="G34" i="2" l="1"/>
  <c r="F43" i="12"/>
  <c r="F42" i="12"/>
  <c r="F52" i="2"/>
  <c r="F53" i="2"/>
  <c r="F54" i="2"/>
  <c r="F55" i="2"/>
  <c r="I4" i="12"/>
  <c r="F4" i="12"/>
  <c r="H45" i="5"/>
  <c r="K15" i="12" l="1"/>
  <c r="F58" i="3"/>
  <c r="J45" i="5"/>
  <c r="F28" i="1" l="1"/>
  <c r="J83" i="5"/>
  <c r="W83" i="5" s="1"/>
  <c r="J84" i="5"/>
  <c r="H84" i="5"/>
  <c r="G25" i="5"/>
  <c r="G24" i="5"/>
  <c r="G59" i="2"/>
  <c r="D80" i="12"/>
  <c r="D81" i="12"/>
  <c r="G141" i="5"/>
  <c r="G140" i="5"/>
  <c r="I140" i="5" s="1"/>
  <c r="F90" i="2"/>
  <c r="F87" i="2"/>
  <c r="O12" i="2" l="1"/>
  <c r="G80" i="5" l="1"/>
  <c r="G79" i="5"/>
  <c r="F50" i="12"/>
  <c r="I3" i="12"/>
  <c r="G3" i="12"/>
  <c r="G18" i="2" l="1"/>
  <c r="F41" i="12" l="1"/>
  <c r="L6" i="12" s="1"/>
  <c r="J6" i="12" s="1"/>
  <c r="F40" i="12"/>
  <c r="K12" i="12" s="1"/>
  <c r="J12" i="12" s="1"/>
  <c r="G63" i="2"/>
  <c r="G65" i="2" s="1"/>
  <c r="L23" i="12"/>
  <c r="E29" i="1"/>
  <c r="H29" i="1" s="1"/>
  <c r="F30" i="1"/>
  <c r="D30" i="1"/>
  <c r="I41" i="2"/>
  <c r="I57" i="2"/>
  <c r="J20" i="12"/>
  <c r="G20" i="12" s="1"/>
  <c r="J21" i="12"/>
  <c r="G21" i="12" s="1"/>
  <c r="J22" i="12"/>
  <c r="G22" i="12" s="1"/>
  <c r="J24" i="12"/>
  <c r="G24" i="12" s="1"/>
  <c r="G58" i="2"/>
  <c r="M58" i="2" s="1"/>
  <c r="E23" i="12"/>
  <c r="F23" i="12" s="1"/>
  <c r="J26" i="12"/>
  <c r="G26" i="12" s="1"/>
  <c r="L25" i="12"/>
  <c r="K27" i="12"/>
  <c r="J27" i="12" s="1"/>
  <c r="G27" i="12" s="1"/>
  <c r="M12" i="2"/>
  <c r="F36" i="12"/>
  <c r="J5" i="12"/>
  <c r="J9" i="12"/>
  <c r="J10" i="12"/>
  <c r="J11" i="12"/>
  <c r="J13" i="12"/>
  <c r="J14" i="12"/>
  <c r="J15" i="12"/>
  <c r="G15" i="12" s="1"/>
  <c r="J3" i="12"/>
  <c r="F21" i="12"/>
  <c r="F22" i="12"/>
  <c r="F24" i="12"/>
  <c r="F5" i="12"/>
  <c r="F7" i="12"/>
  <c r="F9" i="12"/>
  <c r="F10" i="12"/>
  <c r="F11" i="12"/>
  <c r="F12" i="12"/>
  <c r="F13" i="12"/>
  <c r="F37" i="12"/>
  <c r="K4" i="12" s="1"/>
  <c r="F38" i="12"/>
  <c r="L4" i="12" s="1"/>
  <c r="F39" i="12"/>
  <c r="F35" i="12"/>
  <c r="I25" i="12"/>
  <c r="I28" i="12" s="1"/>
  <c r="I7" i="12"/>
  <c r="I8" i="12"/>
  <c r="H32" i="3"/>
  <c r="H30" i="3"/>
  <c r="H24" i="3"/>
  <c r="H22" i="3"/>
  <c r="H20" i="3"/>
  <c r="O20" i="3" s="1"/>
  <c r="H18" i="3"/>
  <c r="O18" i="3" s="1"/>
  <c r="H16" i="3"/>
  <c r="H14" i="3"/>
  <c r="O14" i="3" s="1"/>
  <c r="H12" i="3"/>
  <c r="O12" i="3" s="1"/>
  <c r="H10" i="3"/>
  <c r="O10" i="3" s="1"/>
  <c r="H8" i="3"/>
  <c r="O8" i="3" s="1"/>
  <c r="M206" i="5"/>
  <c r="J202" i="5"/>
  <c r="E15" i="12"/>
  <c r="F15" i="12" s="1"/>
  <c r="D36" i="2"/>
  <c r="D50" i="2"/>
  <c r="F61" i="2"/>
  <c r="O60" i="2"/>
  <c r="M60" i="2"/>
  <c r="F60" i="2"/>
  <c r="E27" i="12"/>
  <c r="F27" i="12" s="1"/>
  <c r="E26" i="12"/>
  <c r="F26" i="12" s="1"/>
  <c r="E3" i="12"/>
  <c r="F3" i="12" s="1"/>
  <c r="E6" i="12"/>
  <c r="E14" i="12"/>
  <c r="F14" i="12" s="1"/>
  <c r="E8" i="12"/>
  <c r="F8" i="12" s="1"/>
  <c r="E25" i="12"/>
  <c r="F25" i="12" s="1"/>
  <c r="H60" i="2"/>
  <c r="K60" i="2" s="1"/>
  <c r="F35" i="2"/>
  <c r="O34" i="2"/>
  <c r="M34" i="2"/>
  <c r="F34" i="2"/>
  <c r="H34" i="2" s="1"/>
  <c r="K34" i="2" s="1"/>
  <c r="E33" i="3"/>
  <c r="E32" i="3"/>
  <c r="L32" i="3" s="1"/>
  <c r="E7" i="3"/>
  <c r="E6" i="3"/>
  <c r="E27" i="3"/>
  <c r="E26" i="3"/>
  <c r="E31" i="3"/>
  <c r="E30" i="3"/>
  <c r="E80" i="2"/>
  <c r="F89" i="2"/>
  <c r="I58" i="2"/>
  <c r="I64" i="2" s="1"/>
  <c r="D80" i="2"/>
  <c r="H161" i="5"/>
  <c r="H134" i="5"/>
  <c r="D9" i="5"/>
  <c r="G104" i="5" s="1"/>
  <c r="G105" i="5"/>
  <c r="E58" i="3"/>
  <c r="H26" i="3"/>
  <c r="O26" i="3" s="1"/>
  <c r="H37" i="3"/>
  <c r="O6" i="3"/>
  <c r="H28" i="3"/>
  <c r="O28" i="3" s="1"/>
  <c r="I20" i="2"/>
  <c r="C91" i="2"/>
  <c r="E96" i="2" s="1"/>
  <c r="F96" i="2" s="1"/>
  <c r="E91" i="2"/>
  <c r="D91" i="2"/>
  <c r="F88" i="2"/>
  <c r="F86" i="2"/>
  <c r="F77" i="2"/>
  <c r="F78" i="2"/>
  <c r="F79" i="2"/>
  <c r="F76" i="2"/>
  <c r="G21" i="5"/>
  <c r="G20" i="5"/>
  <c r="F26" i="3"/>
  <c r="H195" i="4"/>
  <c r="H55" i="4"/>
  <c r="O104" i="5"/>
  <c r="H146" i="5"/>
  <c r="H20" i="5"/>
  <c r="H44" i="5" s="1"/>
  <c r="H96" i="5"/>
  <c r="H132" i="5"/>
  <c r="Y132" i="5" s="1"/>
  <c r="F6" i="3"/>
  <c r="F30" i="3"/>
  <c r="M32" i="3"/>
  <c r="E8" i="3"/>
  <c r="E9" i="3"/>
  <c r="H213" i="4"/>
  <c r="H217" i="4"/>
  <c r="H189" i="4"/>
  <c r="H243" i="4"/>
  <c r="H237" i="4"/>
  <c r="H235" i="4"/>
  <c r="H229" i="4"/>
  <c r="H231" i="4"/>
  <c r="H241" i="4"/>
  <c r="H239" i="4"/>
  <c r="H233" i="4"/>
  <c r="H221" i="4"/>
  <c r="H143" i="4"/>
  <c r="H31" i="4"/>
  <c r="O31" i="4" s="1"/>
  <c r="H120" i="5"/>
  <c r="H201" i="4"/>
  <c r="H203" i="4"/>
  <c r="H193" i="4"/>
  <c r="H269" i="4"/>
  <c r="H75" i="5"/>
  <c r="O75" i="5" s="1"/>
  <c r="H165" i="5"/>
  <c r="O165" i="5" s="1"/>
  <c r="H55" i="5"/>
  <c r="H179" i="5"/>
  <c r="O179" i="5" s="1"/>
  <c r="G164" i="5"/>
  <c r="H196" i="5"/>
  <c r="H207" i="5" s="1"/>
  <c r="H203" i="5"/>
  <c r="H201" i="5"/>
  <c r="O163" i="5"/>
  <c r="O167" i="5"/>
  <c r="O177" i="5"/>
  <c r="H175" i="5"/>
  <c r="H285" i="4"/>
  <c r="J272" i="4"/>
  <c r="J271" i="4"/>
  <c r="H272" i="4"/>
  <c r="J203" i="5"/>
  <c r="G16" i="5"/>
  <c r="I16" i="5" s="1"/>
  <c r="J157" i="5"/>
  <c r="J205" i="5" s="1"/>
  <c r="H157" i="5"/>
  <c r="H205" i="5" s="1"/>
  <c r="D208" i="5"/>
  <c r="O32" i="5"/>
  <c r="Q128" i="5"/>
  <c r="O122" i="5"/>
  <c r="H124" i="5"/>
  <c r="H148" i="5"/>
  <c r="Y148" i="5" s="1"/>
  <c r="H34" i="3"/>
  <c r="O34" i="3" s="1"/>
  <c r="B3" i="3"/>
  <c r="J279" i="4"/>
  <c r="J278" i="4"/>
  <c r="J277" i="4"/>
  <c r="J276" i="4"/>
  <c r="H276" i="4"/>
  <c r="H277" i="4"/>
  <c r="H278" i="4"/>
  <c r="I278" i="4" s="1"/>
  <c r="H279" i="4"/>
  <c r="G279" i="4"/>
  <c r="G278" i="4"/>
  <c r="G15" i="4"/>
  <c r="G14" i="4"/>
  <c r="G13" i="4"/>
  <c r="G12" i="4"/>
  <c r="G277" i="4"/>
  <c r="G280" i="4" s="1"/>
  <c r="D9" i="1" s="1"/>
  <c r="G276" i="4"/>
  <c r="C278" i="4"/>
  <c r="C276" i="4"/>
  <c r="I276" i="4"/>
  <c r="C3" i="4"/>
  <c r="B3" i="5"/>
  <c r="B3" i="2"/>
  <c r="B23" i="1"/>
  <c r="J196" i="5"/>
  <c r="J195" i="5"/>
  <c r="E195" i="5"/>
  <c r="E206" i="5" s="1"/>
  <c r="G194" i="5"/>
  <c r="Q193" i="5"/>
  <c r="O193" i="5"/>
  <c r="G193" i="5"/>
  <c r="I193" i="5" s="1"/>
  <c r="K193" i="5" s="1"/>
  <c r="G192" i="5"/>
  <c r="Q191" i="5"/>
  <c r="O191" i="5"/>
  <c r="G191" i="5"/>
  <c r="G170" i="5"/>
  <c r="Q169" i="5"/>
  <c r="O169" i="5"/>
  <c r="G169" i="5"/>
  <c r="I169" i="5" s="1"/>
  <c r="K169" i="5" s="1"/>
  <c r="G172" i="5"/>
  <c r="Q171" i="5"/>
  <c r="O171" i="5"/>
  <c r="G171" i="5"/>
  <c r="I171" i="5" s="1"/>
  <c r="L171" i="5" s="1"/>
  <c r="G174" i="5"/>
  <c r="Q173" i="5"/>
  <c r="O173" i="5"/>
  <c r="G173" i="5"/>
  <c r="G188" i="5"/>
  <c r="Q187" i="5"/>
  <c r="O187" i="5"/>
  <c r="G187" i="5"/>
  <c r="G168" i="5"/>
  <c r="Q167" i="5"/>
  <c r="G167" i="5"/>
  <c r="I167" i="5" s="1"/>
  <c r="L167" i="5" s="1"/>
  <c r="G178" i="5"/>
  <c r="Q177" i="5"/>
  <c r="G177" i="5"/>
  <c r="I177" i="5" s="1"/>
  <c r="L177" i="5" s="1"/>
  <c r="G182" i="5"/>
  <c r="Q181" i="5"/>
  <c r="O181" i="5"/>
  <c r="G181" i="5"/>
  <c r="I181" i="5" s="1"/>
  <c r="G186" i="5"/>
  <c r="Q185" i="5"/>
  <c r="O185" i="5"/>
  <c r="G185" i="5"/>
  <c r="G190" i="5"/>
  <c r="Q189" i="5"/>
  <c r="O189" i="5"/>
  <c r="G189" i="5"/>
  <c r="I189" i="5" s="1"/>
  <c r="G184" i="5"/>
  <c r="Q183" i="5"/>
  <c r="O183" i="5"/>
  <c r="G183" i="5"/>
  <c r="I183" i="5" s="1"/>
  <c r="G162" i="5"/>
  <c r="Q161" i="5"/>
  <c r="G161" i="5"/>
  <c r="G176" i="5"/>
  <c r="Q175" i="5"/>
  <c r="G175" i="5"/>
  <c r="G180" i="5"/>
  <c r="Q179" i="5"/>
  <c r="G179" i="5"/>
  <c r="Q163" i="5"/>
  <c r="G163" i="5"/>
  <c r="G166" i="5"/>
  <c r="Q165" i="5"/>
  <c r="G165" i="5"/>
  <c r="J204" i="5"/>
  <c r="E156" i="5"/>
  <c r="E204" i="5" s="1"/>
  <c r="G155" i="5"/>
  <c r="Q154" i="5"/>
  <c r="O154" i="5"/>
  <c r="G154" i="5"/>
  <c r="G147" i="5"/>
  <c r="Q146" i="5"/>
  <c r="G146" i="5"/>
  <c r="G151" i="5"/>
  <c r="Q150" i="5"/>
  <c r="O150" i="5"/>
  <c r="G150" i="5"/>
  <c r="G149" i="5"/>
  <c r="Q148" i="5"/>
  <c r="G148" i="5"/>
  <c r="G135" i="5"/>
  <c r="Q134" i="5"/>
  <c r="G134" i="5"/>
  <c r="G99" i="5"/>
  <c r="Q98" i="5"/>
  <c r="O98" i="5"/>
  <c r="G98" i="5"/>
  <c r="I98" i="5" s="1"/>
  <c r="L98" i="5" s="1"/>
  <c r="G93" i="5"/>
  <c r="Q92" i="5"/>
  <c r="O92" i="5"/>
  <c r="G92" i="5"/>
  <c r="G153" i="5"/>
  <c r="Q152" i="5"/>
  <c r="O152" i="5"/>
  <c r="G152" i="5"/>
  <c r="G145" i="5"/>
  <c r="Q144" i="5"/>
  <c r="O144" i="5"/>
  <c r="G144" i="5"/>
  <c r="I144" i="5" s="1"/>
  <c r="L144" i="5" s="1"/>
  <c r="G143" i="5"/>
  <c r="Q142" i="5"/>
  <c r="O142" i="5"/>
  <c r="G142" i="5"/>
  <c r="I142" i="5" s="1"/>
  <c r="K142" i="5" s="1"/>
  <c r="G117" i="5"/>
  <c r="Q116" i="5"/>
  <c r="O116" i="5"/>
  <c r="G116" i="5"/>
  <c r="G123" i="5"/>
  <c r="Q122" i="5"/>
  <c r="G122" i="5"/>
  <c r="G139" i="5"/>
  <c r="Q138" i="5"/>
  <c r="O138" i="5"/>
  <c r="G138" i="5"/>
  <c r="I138" i="5" s="1"/>
  <c r="Q104" i="5"/>
  <c r="G115" i="5"/>
  <c r="Q114" i="5"/>
  <c r="O114" i="5"/>
  <c r="G114" i="5"/>
  <c r="I114" i="5" s="1"/>
  <c r="K114" i="5" s="1"/>
  <c r="G103" i="5"/>
  <c r="Q102" i="5"/>
  <c r="O102" i="5"/>
  <c r="G102" i="5"/>
  <c r="I102" i="5" s="1"/>
  <c r="K102" i="5" s="1"/>
  <c r="G125" i="5"/>
  <c r="Q124" i="5"/>
  <c r="G124" i="5"/>
  <c r="G95" i="5"/>
  <c r="Q94" i="5"/>
  <c r="O94" i="5"/>
  <c r="G94" i="5"/>
  <c r="G127" i="5"/>
  <c r="Q126" i="5"/>
  <c r="O126" i="5"/>
  <c r="G126" i="5"/>
  <c r="G91" i="5"/>
  <c r="Q90" i="5"/>
  <c r="O90" i="5"/>
  <c r="G90" i="5"/>
  <c r="G111" i="5"/>
  <c r="Q110" i="5"/>
  <c r="O110" i="5"/>
  <c r="G110" i="5"/>
  <c r="I110" i="5" s="1"/>
  <c r="L110" i="5" s="1"/>
  <c r="G97" i="5"/>
  <c r="Q96" i="5"/>
  <c r="G96" i="5"/>
  <c r="G113" i="5"/>
  <c r="Q112" i="5"/>
  <c r="O112" i="5"/>
  <c r="G112" i="5"/>
  <c r="I112" i="5" s="1"/>
  <c r="K112" i="5" s="1"/>
  <c r="G121" i="5"/>
  <c r="Q120" i="5"/>
  <c r="G120" i="5"/>
  <c r="G101" i="5"/>
  <c r="Q100" i="5"/>
  <c r="O100" i="5"/>
  <c r="G100" i="5"/>
  <c r="G109" i="5"/>
  <c r="Q108" i="5"/>
  <c r="O108" i="5"/>
  <c r="G108" i="5"/>
  <c r="I108" i="5" s="1"/>
  <c r="K108" i="5" s="1"/>
  <c r="G119" i="5"/>
  <c r="Q118" i="5"/>
  <c r="O118" i="5"/>
  <c r="G118" i="5"/>
  <c r="I118" i="5" s="1"/>
  <c r="L118" i="5" s="1"/>
  <c r="G131" i="5"/>
  <c r="Q130" i="5"/>
  <c r="O130" i="5"/>
  <c r="G130" i="5"/>
  <c r="I130" i="5" s="1"/>
  <c r="Q140" i="5"/>
  <c r="O140" i="5"/>
  <c r="G137" i="5"/>
  <c r="Q136" i="5"/>
  <c r="O136" i="5"/>
  <c r="G136" i="5"/>
  <c r="I136" i="5" s="1"/>
  <c r="G129" i="5"/>
  <c r="O128" i="5"/>
  <c r="G128" i="5"/>
  <c r="G133" i="5"/>
  <c r="Q132" i="5"/>
  <c r="G132" i="5"/>
  <c r="G107" i="5"/>
  <c r="Q106" i="5"/>
  <c r="O106" i="5"/>
  <c r="G106" i="5"/>
  <c r="I106" i="5" s="1"/>
  <c r="G89" i="5"/>
  <c r="Q88" i="5"/>
  <c r="O88" i="5"/>
  <c r="G88" i="5"/>
  <c r="I88" i="5" s="1"/>
  <c r="E83" i="5"/>
  <c r="E202" i="5" s="1"/>
  <c r="G82" i="5"/>
  <c r="Q81" i="5"/>
  <c r="O81" i="5"/>
  <c r="G81" i="5"/>
  <c r="I81" i="5" s="1"/>
  <c r="G78" i="5"/>
  <c r="Q77" i="5"/>
  <c r="O77" i="5"/>
  <c r="G77" i="5"/>
  <c r="I77" i="5" s="1"/>
  <c r="G54" i="5"/>
  <c r="Q53" i="5"/>
  <c r="O53" i="5"/>
  <c r="G53" i="5"/>
  <c r="G76" i="5"/>
  <c r="Q75" i="5"/>
  <c r="G75" i="5"/>
  <c r="G74" i="5"/>
  <c r="Q73" i="5"/>
  <c r="O73" i="5"/>
  <c r="G73" i="5"/>
  <c r="I73" i="5" s="1"/>
  <c r="K73" i="5" s="1"/>
  <c r="G52" i="5"/>
  <c r="Q51" i="5"/>
  <c r="O51" i="5"/>
  <c r="G51" i="5"/>
  <c r="I51" i="5" s="1"/>
  <c r="G58" i="5"/>
  <c r="Q57" i="5"/>
  <c r="O57" i="5"/>
  <c r="G57" i="5"/>
  <c r="G62" i="5"/>
  <c r="Q61" i="5"/>
  <c r="O61" i="5"/>
  <c r="G61" i="5"/>
  <c r="I61" i="5" s="1"/>
  <c r="K61" i="5" s="1"/>
  <c r="G66" i="5"/>
  <c r="Q65" i="5"/>
  <c r="O65" i="5"/>
  <c r="G65" i="5"/>
  <c r="I65" i="5" s="1"/>
  <c r="K65" i="5" s="1"/>
  <c r="G60" i="5"/>
  <c r="Q59" i="5"/>
  <c r="O59" i="5"/>
  <c r="G59" i="5"/>
  <c r="Q79" i="5"/>
  <c r="O79" i="5"/>
  <c r="G56" i="5"/>
  <c r="Q55" i="5"/>
  <c r="G55" i="5"/>
  <c r="G70" i="5"/>
  <c r="Q69" i="5"/>
  <c r="O69" i="5"/>
  <c r="G69" i="5"/>
  <c r="I69" i="5" s="1"/>
  <c r="K69" i="5" s="1"/>
  <c r="G72" i="5"/>
  <c r="Q71" i="5"/>
  <c r="O71" i="5"/>
  <c r="G71" i="5"/>
  <c r="I71" i="5" s="1"/>
  <c r="G64" i="5"/>
  <c r="Q63" i="5"/>
  <c r="O63" i="5"/>
  <c r="G63" i="5"/>
  <c r="G50" i="5"/>
  <c r="Q49" i="5"/>
  <c r="O49" i="5"/>
  <c r="G49" i="5"/>
  <c r="G68" i="5"/>
  <c r="Q67" i="5"/>
  <c r="O67" i="5"/>
  <c r="G67" i="5"/>
  <c r="I67" i="5" s="1"/>
  <c r="L67" i="5" s="1"/>
  <c r="J201" i="5"/>
  <c r="E44" i="5"/>
  <c r="E200" i="5" s="1"/>
  <c r="G43" i="5"/>
  <c r="Q42" i="5"/>
  <c r="O42" i="5"/>
  <c r="G42" i="5"/>
  <c r="G37" i="5"/>
  <c r="Q36" i="5"/>
  <c r="O36" i="5"/>
  <c r="G36" i="5"/>
  <c r="G41" i="5"/>
  <c r="Q40" i="5"/>
  <c r="O40" i="5"/>
  <c r="G40" i="5"/>
  <c r="G39" i="5"/>
  <c r="Q38" i="5"/>
  <c r="O38" i="5"/>
  <c r="G38" i="5"/>
  <c r="G27" i="5"/>
  <c r="Q26" i="5"/>
  <c r="O26" i="5"/>
  <c r="G26" i="5"/>
  <c r="I26" i="5" s="1"/>
  <c r="G31" i="5"/>
  <c r="Q30" i="5"/>
  <c r="O30" i="5"/>
  <c r="G30" i="5"/>
  <c r="I30" i="5" s="1"/>
  <c r="L30" i="5" s="1"/>
  <c r="G23" i="5"/>
  <c r="Q22" i="5"/>
  <c r="O22" i="5"/>
  <c r="G22" i="5"/>
  <c r="I22" i="5" s="1"/>
  <c r="G19" i="5"/>
  <c r="Q18" i="5"/>
  <c r="O18" i="5"/>
  <c r="G18" i="5"/>
  <c r="G35" i="5"/>
  <c r="Q34" i="5"/>
  <c r="O34" i="5"/>
  <c r="G34" i="5"/>
  <c r="I34" i="5" s="1"/>
  <c r="L34" i="5" s="1"/>
  <c r="G17" i="5"/>
  <c r="Q16" i="5"/>
  <c r="O16" i="5"/>
  <c r="G33" i="5"/>
  <c r="Q32" i="5"/>
  <c r="G32" i="5"/>
  <c r="I32" i="5" s="1"/>
  <c r="L32" i="5" s="1"/>
  <c r="G15" i="5"/>
  <c r="Q14" i="5"/>
  <c r="O14" i="5"/>
  <c r="G14" i="5"/>
  <c r="I14" i="5" s="1"/>
  <c r="L14" i="5" s="1"/>
  <c r="G13" i="5"/>
  <c r="Q12" i="5"/>
  <c r="O12" i="5"/>
  <c r="G12" i="5"/>
  <c r="I12" i="5" s="1"/>
  <c r="L12" i="5" s="1"/>
  <c r="G29" i="5"/>
  <c r="Q28" i="5"/>
  <c r="O28" i="5"/>
  <c r="G28" i="5"/>
  <c r="Q24" i="5"/>
  <c r="O24" i="5"/>
  <c r="G272" i="4"/>
  <c r="G271" i="4"/>
  <c r="Q269" i="4"/>
  <c r="O269" i="4"/>
  <c r="N269" i="4"/>
  <c r="I269" i="4"/>
  <c r="Q267" i="4"/>
  <c r="O267" i="4"/>
  <c r="N267" i="4"/>
  <c r="I267" i="4"/>
  <c r="K267" i="4" s="1"/>
  <c r="Q265" i="4"/>
  <c r="O265" i="4"/>
  <c r="N265" i="4"/>
  <c r="I265" i="4"/>
  <c r="L265" i="4"/>
  <c r="Q263" i="4"/>
  <c r="O263" i="4"/>
  <c r="N263" i="4"/>
  <c r="I263" i="4"/>
  <c r="K263" i="4"/>
  <c r="I264" i="4" s="1"/>
  <c r="Q261" i="4"/>
  <c r="T261" i="4" s="1"/>
  <c r="O261" i="4"/>
  <c r="N261" i="4"/>
  <c r="I261" i="4"/>
  <c r="L261" i="4"/>
  <c r="Q259" i="4"/>
  <c r="O259" i="4"/>
  <c r="N259" i="4"/>
  <c r="I259" i="4"/>
  <c r="Q257" i="4"/>
  <c r="O257" i="4"/>
  <c r="N257" i="4"/>
  <c r="I257" i="4"/>
  <c r="L257" i="4" s="1"/>
  <c r="Q255" i="4"/>
  <c r="O255" i="4"/>
  <c r="N255" i="4"/>
  <c r="I255" i="4"/>
  <c r="K255" i="4" s="1"/>
  <c r="I256" i="4" s="1"/>
  <c r="Q253" i="4"/>
  <c r="O253" i="4"/>
  <c r="N253" i="4"/>
  <c r="I253" i="4"/>
  <c r="L253" i="4"/>
  <c r="Q251" i="4"/>
  <c r="O251" i="4"/>
  <c r="N251" i="4"/>
  <c r="I251" i="4"/>
  <c r="K251" i="4"/>
  <c r="I252" i="4" s="1"/>
  <c r="L252" i="4" s="1"/>
  <c r="Q249" i="4"/>
  <c r="O249" i="4"/>
  <c r="N249" i="4"/>
  <c r="I249" i="4"/>
  <c r="L249" i="4" s="1"/>
  <c r="Q247" i="4"/>
  <c r="O247" i="4"/>
  <c r="N247" i="4"/>
  <c r="I247" i="4"/>
  <c r="Q245" i="4"/>
  <c r="O245" i="4"/>
  <c r="N245" i="4"/>
  <c r="I245" i="4"/>
  <c r="L245" i="4"/>
  <c r="Q243" i="4"/>
  <c r="O243" i="4"/>
  <c r="N243" i="4"/>
  <c r="I243" i="4"/>
  <c r="K243" i="4"/>
  <c r="I244" i="4" s="1"/>
  <c r="Q241" i="4"/>
  <c r="O241" i="4"/>
  <c r="N241" i="4"/>
  <c r="I241" i="4"/>
  <c r="Q239" i="4"/>
  <c r="O239" i="4"/>
  <c r="N239" i="4"/>
  <c r="I239" i="4"/>
  <c r="K239" i="4"/>
  <c r="Q237" i="4"/>
  <c r="O237" i="4"/>
  <c r="N237" i="4"/>
  <c r="I237" i="4"/>
  <c r="Q235" i="4"/>
  <c r="O235" i="4"/>
  <c r="N235" i="4"/>
  <c r="I235" i="4"/>
  <c r="K235" i="4" s="1"/>
  <c r="I236" i="4" s="1"/>
  <c r="Q233" i="4"/>
  <c r="O233" i="4"/>
  <c r="N233" i="4"/>
  <c r="I233" i="4"/>
  <c r="Q231" i="4"/>
  <c r="O231" i="4"/>
  <c r="N231" i="4"/>
  <c r="I231" i="4"/>
  <c r="K231" i="4" s="1"/>
  <c r="I232" i="4" s="1"/>
  <c r="Q229" i="4"/>
  <c r="O229" i="4"/>
  <c r="N229" i="4"/>
  <c r="I229" i="4"/>
  <c r="L229" i="4"/>
  <c r="Q227" i="4"/>
  <c r="T227" i="4" s="1"/>
  <c r="O227" i="4"/>
  <c r="N227" i="4"/>
  <c r="I227" i="4"/>
  <c r="Q225" i="4"/>
  <c r="O225" i="4"/>
  <c r="N225" i="4"/>
  <c r="I225" i="4"/>
  <c r="L225" i="4"/>
  <c r="Q223" i="4"/>
  <c r="O223" i="4"/>
  <c r="N223" i="4"/>
  <c r="I223" i="4"/>
  <c r="K223" i="4" s="1"/>
  <c r="Q221" i="4"/>
  <c r="O221" i="4"/>
  <c r="N221" i="4"/>
  <c r="I221" i="4"/>
  <c r="L221" i="4" s="1"/>
  <c r="Q219" i="4"/>
  <c r="O219" i="4"/>
  <c r="N219" i="4"/>
  <c r="I219" i="4"/>
  <c r="K219" i="4"/>
  <c r="Q217" i="4"/>
  <c r="T217" i="4" s="1"/>
  <c r="O217" i="4"/>
  <c r="N217" i="4"/>
  <c r="I217" i="4"/>
  <c r="L217" i="4"/>
  <c r="Q215" i="4"/>
  <c r="O215" i="4"/>
  <c r="N215" i="4"/>
  <c r="I215" i="4"/>
  <c r="Q213" i="4"/>
  <c r="O213" i="4"/>
  <c r="N213" i="4"/>
  <c r="I213" i="4"/>
  <c r="L213" i="4" s="1"/>
  <c r="Q211" i="4"/>
  <c r="O211" i="4"/>
  <c r="N211" i="4"/>
  <c r="I211" i="4"/>
  <c r="K211" i="4" s="1"/>
  <c r="I212" i="4" s="1"/>
  <c r="L212" i="4" s="1"/>
  <c r="Q209" i="4"/>
  <c r="O209" i="4"/>
  <c r="N209" i="4"/>
  <c r="I209" i="4"/>
  <c r="Q207" i="4"/>
  <c r="O207" i="4"/>
  <c r="N207" i="4"/>
  <c r="I207" i="4"/>
  <c r="K207" i="4"/>
  <c r="Q205" i="4"/>
  <c r="O205" i="4"/>
  <c r="N205" i="4"/>
  <c r="I205" i="4"/>
  <c r="Q203" i="4"/>
  <c r="O203" i="4"/>
  <c r="N203" i="4"/>
  <c r="I203" i="4"/>
  <c r="K203" i="4"/>
  <c r="Q201" i="4"/>
  <c r="O201" i="4"/>
  <c r="N201" i="4"/>
  <c r="I201" i="4"/>
  <c r="L201" i="4" s="1"/>
  <c r="Q199" i="4"/>
  <c r="O199" i="4"/>
  <c r="N199" i="4"/>
  <c r="I199" i="4"/>
  <c r="K199" i="4" s="1"/>
  <c r="I200" i="4" s="1"/>
  <c r="Q197" i="4"/>
  <c r="O197" i="4"/>
  <c r="N197" i="4"/>
  <c r="I197" i="4"/>
  <c r="L197" i="4"/>
  <c r="Q195" i="4"/>
  <c r="T195" i="4" s="1"/>
  <c r="O195" i="4"/>
  <c r="N195" i="4"/>
  <c r="I195" i="4"/>
  <c r="Q193" i="4"/>
  <c r="O193" i="4"/>
  <c r="N193" i="4"/>
  <c r="I193" i="4"/>
  <c r="L193" i="4"/>
  <c r="Q191" i="4"/>
  <c r="O191" i="4"/>
  <c r="N191" i="4"/>
  <c r="I191" i="4"/>
  <c r="K191" i="4" s="1"/>
  <c r="Q189" i="4"/>
  <c r="O189" i="4"/>
  <c r="N189" i="4"/>
  <c r="I189" i="4"/>
  <c r="L189" i="4"/>
  <c r="Q187" i="4"/>
  <c r="O187" i="4"/>
  <c r="N187" i="4"/>
  <c r="I187" i="4"/>
  <c r="K187" i="4" s="1"/>
  <c r="I188" i="4" s="1"/>
  <c r="K188" i="4" s="1"/>
  <c r="Q185" i="4"/>
  <c r="O185" i="4"/>
  <c r="N185" i="4"/>
  <c r="I185" i="4"/>
  <c r="L185" i="4"/>
  <c r="Q183" i="4"/>
  <c r="O183" i="4"/>
  <c r="N183" i="4"/>
  <c r="I183" i="4"/>
  <c r="Q181" i="4"/>
  <c r="O181" i="4"/>
  <c r="N181" i="4"/>
  <c r="I181" i="4"/>
  <c r="L181" i="4" s="1"/>
  <c r="Q179" i="4"/>
  <c r="O179" i="4"/>
  <c r="N179" i="4"/>
  <c r="I179" i="4"/>
  <c r="K179" i="4"/>
  <c r="I180" i="4" s="1"/>
  <c r="L180" i="4" s="1"/>
  <c r="Q177" i="4"/>
  <c r="O177" i="4"/>
  <c r="N177" i="4"/>
  <c r="I177" i="4"/>
  <c r="Q175" i="4"/>
  <c r="O175" i="4"/>
  <c r="N175" i="4"/>
  <c r="I175" i="4"/>
  <c r="K175" i="4" s="1"/>
  <c r="Q173" i="4"/>
  <c r="O173" i="4"/>
  <c r="N173" i="4"/>
  <c r="I173" i="4"/>
  <c r="Q171" i="4"/>
  <c r="T171" i="4" s="1"/>
  <c r="O171" i="4"/>
  <c r="N171" i="4"/>
  <c r="I171" i="4"/>
  <c r="K171" i="4"/>
  <c r="I172" i="4" s="1"/>
  <c r="Q169" i="4"/>
  <c r="O169" i="4"/>
  <c r="N169" i="4"/>
  <c r="I169" i="4"/>
  <c r="L169" i="4" s="1"/>
  <c r="Q167" i="4"/>
  <c r="O167" i="4"/>
  <c r="N167" i="4"/>
  <c r="I167" i="4"/>
  <c r="K167" i="4"/>
  <c r="I168" i="4" s="1"/>
  <c r="K168" i="4" s="1"/>
  <c r="Q165" i="4"/>
  <c r="O165" i="4"/>
  <c r="N165" i="4"/>
  <c r="I165" i="4"/>
  <c r="L165" i="4" s="1"/>
  <c r="Q163" i="4"/>
  <c r="T163" i="4" s="1"/>
  <c r="O163" i="4"/>
  <c r="N163" i="4"/>
  <c r="I163" i="4"/>
  <c r="Q161" i="4"/>
  <c r="T161" i="4" s="1"/>
  <c r="O161" i="4"/>
  <c r="N161" i="4"/>
  <c r="I161" i="4"/>
  <c r="L161" i="4"/>
  <c r="Q159" i="4"/>
  <c r="O159" i="4"/>
  <c r="N159" i="4"/>
  <c r="I159" i="4"/>
  <c r="K159" i="4" s="1"/>
  <c r="I160" i="4" s="1"/>
  <c r="L160" i="4" s="1"/>
  <c r="Q157" i="4"/>
  <c r="O157" i="4"/>
  <c r="N157" i="4"/>
  <c r="I157" i="4"/>
  <c r="Q155" i="4"/>
  <c r="O155" i="4"/>
  <c r="N155" i="4"/>
  <c r="I155" i="4"/>
  <c r="K155" i="4"/>
  <c r="I156" i="4" s="1"/>
  <c r="Q153" i="4"/>
  <c r="O153" i="4"/>
  <c r="N153" i="4"/>
  <c r="I153" i="4"/>
  <c r="L153" i="4" s="1"/>
  <c r="Q151" i="4"/>
  <c r="O151" i="4"/>
  <c r="N151" i="4"/>
  <c r="I151" i="4"/>
  <c r="Q149" i="4"/>
  <c r="O149" i="4"/>
  <c r="N149" i="4"/>
  <c r="I149" i="4"/>
  <c r="L149" i="4"/>
  <c r="Q147" i="4"/>
  <c r="O147" i="4"/>
  <c r="N147" i="4"/>
  <c r="I147" i="4"/>
  <c r="K147" i="4" s="1"/>
  <c r="I148" i="4" s="1"/>
  <c r="Q145" i="4"/>
  <c r="O145" i="4"/>
  <c r="N145" i="4"/>
  <c r="I145" i="4"/>
  <c r="Q143" i="4"/>
  <c r="O143" i="4"/>
  <c r="N143" i="4"/>
  <c r="I143" i="4"/>
  <c r="K143" i="4"/>
  <c r="I144" i="4" s="1"/>
  <c r="L144" i="4" s="1"/>
  <c r="Q141" i="4"/>
  <c r="O141" i="4"/>
  <c r="N141" i="4"/>
  <c r="I141" i="4"/>
  <c r="Q139" i="4"/>
  <c r="O139" i="4"/>
  <c r="N139" i="4"/>
  <c r="I139" i="4"/>
  <c r="K139" i="4" s="1"/>
  <c r="Q137" i="4"/>
  <c r="O137" i="4"/>
  <c r="N137" i="4"/>
  <c r="I137" i="4"/>
  <c r="L137" i="4"/>
  <c r="Q135" i="4"/>
  <c r="O135" i="4"/>
  <c r="N135" i="4"/>
  <c r="I135" i="4"/>
  <c r="K135" i="4" s="1"/>
  <c r="Q133" i="4"/>
  <c r="O133" i="4"/>
  <c r="N133" i="4"/>
  <c r="I133" i="4"/>
  <c r="L133" i="4"/>
  <c r="Q131" i="4"/>
  <c r="O131" i="4"/>
  <c r="N131" i="4"/>
  <c r="I131" i="4"/>
  <c r="Q129" i="4"/>
  <c r="O129" i="4"/>
  <c r="N129" i="4"/>
  <c r="I129" i="4"/>
  <c r="L129" i="4" s="1"/>
  <c r="Q127" i="4"/>
  <c r="T127" i="4" s="1"/>
  <c r="O127" i="4"/>
  <c r="N127" i="4"/>
  <c r="I127" i="4"/>
  <c r="K127" i="4"/>
  <c r="I128" i="4" s="1"/>
  <c r="Q125" i="4"/>
  <c r="O125" i="4"/>
  <c r="N125" i="4"/>
  <c r="I125" i="4"/>
  <c r="L125" i="4" s="1"/>
  <c r="Q123" i="4"/>
  <c r="O123" i="4"/>
  <c r="N123" i="4"/>
  <c r="I123" i="4"/>
  <c r="K123" i="4"/>
  <c r="I124" i="4" s="1"/>
  <c r="L124" i="4" s="1"/>
  <c r="Q121" i="4"/>
  <c r="O121" i="4"/>
  <c r="N121" i="4"/>
  <c r="I121" i="4"/>
  <c r="L121" i="4" s="1"/>
  <c r="Q119" i="4"/>
  <c r="O119" i="4"/>
  <c r="N119" i="4"/>
  <c r="I119" i="4"/>
  <c r="Q117" i="4"/>
  <c r="O117" i="4"/>
  <c r="N117" i="4"/>
  <c r="I117" i="4"/>
  <c r="Q115" i="4"/>
  <c r="T115" i="4" s="1"/>
  <c r="O115" i="4"/>
  <c r="N115" i="4"/>
  <c r="I115" i="4"/>
  <c r="K115" i="4"/>
  <c r="I116" i="4" s="1"/>
  <c r="K116" i="4" s="1"/>
  <c r="Q113" i="4"/>
  <c r="O113" i="4"/>
  <c r="N113" i="4"/>
  <c r="I113" i="4"/>
  <c r="Q111" i="4"/>
  <c r="O111" i="4"/>
  <c r="N111" i="4"/>
  <c r="I111" i="4"/>
  <c r="K111" i="4" s="1"/>
  <c r="I112" i="4" s="1"/>
  <c r="L112" i="4" s="1"/>
  <c r="Q109" i="4"/>
  <c r="O109" i="4"/>
  <c r="N109" i="4"/>
  <c r="I109" i="4"/>
  <c r="Q107" i="4"/>
  <c r="O107" i="4"/>
  <c r="N107" i="4"/>
  <c r="I107" i="4"/>
  <c r="K107" i="4"/>
  <c r="I108" i="4" s="1"/>
  <c r="Q105" i="4"/>
  <c r="O105" i="4"/>
  <c r="N105" i="4"/>
  <c r="I105" i="4"/>
  <c r="L105" i="4" s="1"/>
  <c r="Q103" i="4"/>
  <c r="O103" i="4"/>
  <c r="N103" i="4"/>
  <c r="I103" i="4"/>
  <c r="K103" i="4"/>
  <c r="I104" i="4" s="1"/>
  <c r="L104" i="4" s="1"/>
  <c r="Q101" i="4"/>
  <c r="O101" i="4"/>
  <c r="N101" i="4"/>
  <c r="I101" i="4"/>
  <c r="Q99" i="4"/>
  <c r="O99" i="4"/>
  <c r="N99" i="4"/>
  <c r="I99" i="4"/>
  <c r="Q97" i="4"/>
  <c r="O97" i="4"/>
  <c r="N97" i="4"/>
  <c r="I97" i="4"/>
  <c r="Q95" i="4"/>
  <c r="O95" i="4"/>
  <c r="N95" i="4"/>
  <c r="I95" i="4"/>
  <c r="Q93" i="4"/>
  <c r="T93" i="4" s="1"/>
  <c r="O93" i="4"/>
  <c r="N93" i="4"/>
  <c r="I93" i="4"/>
  <c r="Q91" i="4"/>
  <c r="T91" i="4" s="1"/>
  <c r="O91" i="4"/>
  <c r="N91" i="4"/>
  <c r="I91" i="4"/>
  <c r="Q89" i="4"/>
  <c r="O89" i="4"/>
  <c r="N89" i="4"/>
  <c r="I89" i="4"/>
  <c r="Q87" i="4"/>
  <c r="O87" i="4"/>
  <c r="N87" i="4"/>
  <c r="I87" i="4"/>
  <c r="Q85" i="4"/>
  <c r="T85" i="4" s="1"/>
  <c r="O85" i="4"/>
  <c r="N85" i="4"/>
  <c r="I85" i="4"/>
  <c r="Q83" i="4"/>
  <c r="O83" i="4"/>
  <c r="N83" i="4"/>
  <c r="I83" i="4"/>
  <c r="Q81" i="4"/>
  <c r="O81" i="4"/>
  <c r="N81" i="4"/>
  <c r="I81" i="4"/>
  <c r="Q79" i="4"/>
  <c r="O79" i="4"/>
  <c r="N79" i="4"/>
  <c r="I79" i="4"/>
  <c r="Q77" i="4"/>
  <c r="T77" i="4" s="1"/>
  <c r="O77" i="4"/>
  <c r="N77" i="4"/>
  <c r="I77" i="4"/>
  <c r="Q75" i="4"/>
  <c r="T75" i="4" s="1"/>
  <c r="O75" i="4"/>
  <c r="N75" i="4"/>
  <c r="I75" i="4"/>
  <c r="Q73" i="4"/>
  <c r="O73" i="4"/>
  <c r="N73" i="4"/>
  <c r="I73" i="4"/>
  <c r="Q71" i="4"/>
  <c r="O71" i="4"/>
  <c r="N71" i="4"/>
  <c r="I71" i="4"/>
  <c r="Q69" i="4"/>
  <c r="T69" i="4" s="1"/>
  <c r="O69" i="4"/>
  <c r="N69" i="4"/>
  <c r="I69" i="4"/>
  <c r="Q67" i="4"/>
  <c r="T67" i="4" s="1"/>
  <c r="O67" i="4"/>
  <c r="N67" i="4"/>
  <c r="I67" i="4"/>
  <c r="Q65" i="4"/>
  <c r="O65" i="4"/>
  <c r="N65" i="4"/>
  <c r="I65" i="4"/>
  <c r="Q63" i="4"/>
  <c r="O63" i="4"/>
  <c r="N63" i="4"/>
  <c r="I63" i="4"/>
  <c r="Q61" i="4"/>
  <c r="T61" i="4" s="1"/>
  <c r="O61" i="4"/>
  <c r="N61" i="4"/>
  <c r="I61" i="4"/>
  <c r="Q59" i="4"/>
  <c r="O59" i="4"/>
  <c r="N59" i="4"/>
  <c r="I59" i="4"/>
  <c r="Q57" i="4"/>
  <c r="O57" i="4"/>
  <c r="N57" i="4"/>
  <c r="I57" i="4"/>
  <c r="Q55" i="4"/>
  <c r="O55" i="4"/>
  <c r="N55" i="4"/>
  <c r="I55" i="4"/>
  <c r="Q53" i="4"/>
  <c r="O53" i="4"/>
  <c r="N53" i="4"/>
  <c r="I53" i="4"/>
  <c r="Q51" i="4"/>
  <c r="T51" i="4" s="1"/>
  <c r="O51" i="4"/>
  <c r="N51" i="4"/>
  <c r="I51" i="4"/>
  <c r="Q49" i="4"/>
  <c r="T49" i="4" s="1"/>
  <c r="O49" i="4"/>
  <c r="N49" i="4"/>
  <c r="I49" i="4"/>
  <c r="Q47" i="4"/>
  <c r="T47" i="4" s="1"/>
  <c r="O47" i="4"/>
  <c r="N47" i="4"/>
  <c r="I47" i="4"/>
  <c r="Q45" i="4"/>
  <c r="O45" i="4"/>
  <c r="N45" i="4"/>
  <c r="I45" i="4"/>
  <c r="Q43" i="4"/>
  <c r="O43" i="4"/>
  <c r="N43" i="4"/>
  <c r="I43" i="4"/>
  <c r="Q41" i="4"/>
  <c r="T41" i="4" s="1"/>
  <c r="O41" i="4"/>
  <c r="N41" i="4"/>
  <c r="I41" i="4"/>
  <c r="Q39" i="4"/>
  <c r="T39" i="4" s="1"/>
  <c r="O39" i="4"/>
  <c r="N39" i="4"/>
  <c r="I39" i="4"/>
  <c r="Q37" i="4"/>
  <c r="O37" i="4"/>
  <c r="N37" i="4"/>
  <c r="I37" i="4"/>
  <c r="Q35" i="4"/>
  <c r="O35" i="4"/>
  <c r="N35" i="4"/>
  <c r="I35" i="4"/>
  <c r="Q33" i="4"/>
  <c r="T33" i="4" s="1"/>
  <c r="O33" i="4"/>
  <c r="N33" i="4"/>
  <c r="I33" i="4"/>
  <c r="K33" i="4"/>
  <c r="I34" i="4" s="1"/>
  <c r="K34" i="4" s="1"/>
  <c r="Q31" i="4"/>
  <c r="N31" i="4"/>
  <c r="I31" i="4"/>
  <c r="Q29" i="4"/>
  <c r="O29" i="4"/>
  <c r="N29" i="4"/>
  <c r="I29" i="4"/>
  <c r="Q27" i="4"/>
  <c r="O27" i="4"/>
  <c r="N27" i="4"/>
  <c r="I27" i="4"/>
  <c r="Q25" i="4"/>
  <c r="T25" i="4" s="1"/>
  <c r="O25" i="4"/>
  <c r="N25" i="4"/>
  <c r="I25" i="4"/>
  <c r="B24" i="4"/>
  <c r="B26" i="4" s="1"/>
  <c r="B28" i="4" s="1"/>
  <c r="B30" i="4" s="1"/>
  <c r="B32" i="4" s="1"/>
  <c r="B34" i="4" s="1"/>
  <c r="B36" i="4" s="1"/>
  <c r="B38" i="4" s="1"/>
  <c r="B40" i="4" s="1"/>
  <c r="B42" i="4" s="1"/>
  <c r="B44" i="4" s="1"/>
  <c r="B46" i="4" s="1"/>
  <c r="B48" i="4" s="1"/>
  <c r="B50" i="4" s="1"/>
  <c r="B52" i="4" s="1"/>
  <c r="B54" i="4" s="1"/>
  <c r="B56" i="4" s="1"/>
  <c r="B58" i="4" s="1"/>
  <c r="B60" i="4" s="1"/>
  <c r="B62" i="4" s="1"/>
  <c r="B64" i="4" s="1"/>
  <c r="B66" i="4" s="1"/>
  <c r="B68" i="4" s="1"/>
  <c r="B70" i="4" s="1"/>
  <c r="B72" i="4" s="1"/>
  <c r="B74" i="4" s="1"/>
  <c r="B76" i="4" s="1"/>
  <c r="B78" i="4" s="1"/>
  <c r="B80" i="4" s="1"/>
  <c r="B82" i="4" s="1"/>
  <c r="B84" i="4" s="1"/>
  <c r="B86" i="4" s="1"/>
  <c r="B88" i="4" s="1"/>
  <c r="B90" i="4" s="1"/>
  <c r="B92" i="4" s="1"/>
  <c r="B94" i="4" s="1"/>
  <c r="B96" i="4" s="1"/>
  <c r="B98" i="4" s="1"/>
  <c r="B100" i="4" s="1"/>
  <c r="B102" i="4" s="1"/>
  <c r="B104" i="4" s="1"/>
  <c r="B106" i="4" s="1"/>
  <c r="B108" i="4" s="1"/>
  <c r="B110" i="4" s="1"/>
  <c r="B112" i="4" s="1"/>
  <c r="B114" i="4" s="1"/>
  <c r="B116" i="4" s="1"/>
  <c r="B118" i="4" s="1"/>
  <c r="B120" i="4" s="1"/>
  <c r="B122" i="4" s="1"/>
  <c r="B124" i="4" s="1"/>
  <c r="B126" i="4" s="1"/>
  <c r="B128" i="4" s="1"/>
  <c r="B130" i="4" s="1"/>
  <c r="B132" i="4" s="1"/>
  <c r="B134" i="4" s="1"/>
  <c r="B136" i="4" s="1"/>
  <c r="B138" i="4" s="1"/>
  <c r="B140" i="4" s="1"/>
  <c r="B142" i="4" s="1"/>
  <c r="B144" i="4" s="1"/>
  <c r="B146" i="4" s="1"/>
  <c r="B148" i="4" s="1"/>
  <c r="B150" i="4" s="1"/>
  <c r="B152" i="4" s="1"/>
  <c r="B154" i="4" s="1"/>
  <c r="B156" i="4" s="1"/>
  <c r="B158" i="4" s="1"/>
  <c r="B160" i="4" s="1"/>
  <c r="B162" i="4" s="1"/>
  <c r="B164" i="4" s="1"/>
  <c r="B166" i="4" s="1"/>
  <c r="B168" i="4" s="1"/>
  <c r="B170" i="4" s="1"/>
  <c r="B172" i="4" s="1"/>
  <c r="B174" i="4" s="1"/>
  <c r="B176" i="4" s="1"/>
  <c r="B178" i="4" s="1"/>
  <c r="B180" i="4" s="1"/>
  <c r="B182" i="4" s="1"/>
  <c r="B184" i="4" s="1"/>
  <c r="B186" i="4" s="1"/>
  <c r="B188" i="4" s="1"/>
  <c r="B190" i="4" s="1"/>
  <c r="B192" i="4" s="1"/>
  <c r="B194" i="4" s="1"/>
  <c r="B196" i="4" s="1"/>
  <c r="B198" i="4" s="1"/>
  <c r="B200" i="4" s="1"/>
  <c r="B202" i="4" s="1"/>
  <c r="B204" i="4" s="1"/>
  <c r="B206" i="4" s="1"/>
  <c r="B208" i="4" s="1"/>
  <c r="B210" i="4" s="1"/>
  <c r="B212" i="4" s="1"/>
  <c r="B214" i="4" s="1"/>
  <c r="B216" i="4" s="1"/>
  <c r="B218" i="4" s="1"/>
  <c r="B220" i="4" s="1"/>
  <c r="B222" i="4" s="1"/>
  <c r="B224" i="4" s="1"/>
  <c r="B226" i="4" s="1"/>
  <c r="B228" i="4" s="1"/>
  <c r="B230" i="4" s="1"/>
  <c r="B232" i="4" s="1"/>
  <c r="B234" i="4" s="1"/>
  <c r="B236" i="4" s="1"/>
  <c r="B238" i="4" s="1"/>
  <c r="B240" i="4" s="1"/>
  <c r="B242" i="4" s="1"/>
  <c r="B244" i="4" s="1"/>
  <c r="B246" i="4" s="1"/>
  <c r="B248" i="4" s="1"/>
  <c r="B250" i="4" s="1"/>
  <c r="B252" i="4" s="1"/>
  <c r="B254" i="4" s="1"/>
  <c r="B256" i="4" s="1"/>
  <c r="B258" i="4" s="1"/>
  <c r="B260" i="4" s="1"/>
  <c r="B262" i="4" s="1"/>
  <c r="B264" i="4" s="1"/>
  <c r="B266" i="4" s="1"/>
  <c r="B268" i="4" s="1"/>
  <c r="B270" i="4" s="1"/>
  <c r="Q23" i="4"/>
  <c r="O23" i="4"/>
  <c r="N23" i="4"/>
  <c r="I23" i="4"/>
  <c r="L23" i="4"/>
  <c r="B23" i="4"/>
  <c r="B25" i="4"/>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217" i="4" s="1"/>
  <c r="B219" i="4" s="1"/>
  <c r="B221" i="4" s="1"/>
  <c r="B223" i="4" s="1"/>
  <c r="B225" i="4" s="1"/>
  <c r="B227" i="4" s="1"/>
  <c r="B229" i="4" s="1"/>
  <c r="B231" i="4" s="1"/>
  <c r="B233" i="4" s="1"/>
  <c r="B235" i="4" s="1"/>
  <c r="B237" i="4" s="1"/>
  <c r="B239" i="4" s="1"/>
  <c r="B241" i="4" s="1"/>
  <c r="B243" i="4" s="1"/>
  <c r="B245" i="4" s="1"/>
  <c r="B247" i="4" s="1"/>
  <c r="B249" i="4" s="1"/>
  <c r="B251" i="4" s="1"/>
  <c r="B253" i="4" s="1"/>
  <c r="B255" i="4" s="1"/>
  <c r="B257" i="4" s="1"/>
  <c r="B259" i="4" s="1"/>
  <c r="B261" i="4" s="1"/>
  <c r="B263" i="4" s="1"/>
  <c r="B265" i="4" s="1"/>
  <c r="B267" i="4" s="1"/>
  <c r="B269" i="4" s="1"/>
  <c r="Q21" i="4"/>
  <c r="O21" i="4"/>
  <c r="N21" i="4"/>
  <c r="I21" i="4"/>
  <c r="L21" i="4" s="1"/>
  <c r="Q19" i="4"/>
  <c r="O19" i="4"/>
  <c r="N19" i="4"/>
  <c r="I19" i="4"/>
  <c r="L19" i="4"/>
  <c r="E16" i="4"/>
  <c r="F16" i="4"/>
  <c r="E9" i="4"/>
  <c r="T35" i="4"/>
  <c r="T37" i="4"/>
  <c r="T43" i="4"/>
  <c r="T45" i="4"/>
  <c r="T55" i="4"/>
  <c r="T57" i="4"/>
  <c r="T63" i="4"/>
  <c r="T65" i="4"/>
  <c r="T71" i="4"/>
  <c r="T73" i="4"/>
  <c r="T79" i="4"/>
  <c r="T81" i="4"/>
  <c r="T87" i="4"/>
  <c r="T89" i="4"/>
  <c r="T95" i="4"/>
  <c r="T97" i="4"/>
  <c r="T103" i="4"/>
  <c r="T109" i="4"/>
  <c r="T117" i="4"/>
  <c r="T135" i="4"/>
  <c r="T141" i="4"/>
  <c r="T149" i="4"/>
  <c r="T165" i="4"/>
  <c r="T169" i="4"/>
  <c r="T175" i="4"/>
  <c r="T181" i="4"/>
  <c r="T183" i="4"/>
  <c r="T191" i="4"/>
  <c r="T197" i="4"/>
  <c r="T29" i="4"/>
  <c r="T21" i="4"/>
  <c r="T205" i="4"/>
  <c r="T213" i="4"/>
  <c r="T219" i="4"/>
  <c r="T223" i="4"/>
  <c r="T235" i="4"/>
  <c r="T241" i="4"/>
  <c r="T247" i="4"/>
  <c r="T257" i="4"/>
  <c r="T259" i="4"/>
  <c r="T263" i="4"/>
  <c r="T269" i="4"/>
  <c r="N271" i="4"/>
  <c r="N140" i="5"/>
  <c r="N79" i="5"/>
  <c r="I24" i="5"/>
  <c r="I79" i="5"/>
  <c r="L79" i="5" s="1"/>
  <c r="K140" i="5"/>
  <c r="I141" i="5" s="1"/>
  <c r="P219" i="4"/>
  <c r="P227" i="4"/>
  <c r="L53" i="4"/>
  <c r="L117" i="4"/>
  <c r="L157" i="4"/>
  <c r="K45" i="4"/>
  <c r="I46" i="4" s="1"/>
  <c r="K77" i="4"/>
  <c r="I78" i="4" s="1"/>
  <c r="L78" i="4" s="1"/>
  <c r="P93" i="4"/>
  <c r="L233" i="4"/>
  <c r="K93" i="4"/>
  <c r="I94" i="4" s="1"/>
  <c r="L94" i="4" s="1"/>
  <c r="L37" i="4"/>
  <c r="L69" i="4"/>
  <c r="L97" i="4"/>
  <c r="P155" i="4"/>
  <c r="P191" i="4"/>
  <c r="R191" i="4"/>
  <c r="K29" i="4"/>
  <c r="I30" i="4" s="1"/>
  <c r="K61" i="4"/>
  <c r="I62" i="4" s="1"/>
  <c r="P163" i="4"/>
  <c r="P183" i="4"/>
  <c r="R183" i="4" s="1"/>
  <c r="K37" i="4"/>
  <c r="I38" i="4" s="1"/>
  <c r="L38" i="4" s="1"/>
  <c r="K53" i="4"/>
  <c r="K69" i="4"/>
  <c r="K89" i="4"/>
  <c r="I90" i="4" s="1"/>
  <c r="K97" i="4"/>
  <c r="I98" i="4" s="1"/>
  <c r="P97" i="4"/>
  <c r="L101" i="4"/>
  <c r="P123" i="4"/>
  <c r="P131" i="4"/>
  <c r="S131" i="4" s="1"/>
  <c r="P187" i="4"/>
  <c r="S187" i="4"/>
  <c r="P195" i="4"/>
  <c r="P251" i="4"/>
  <c r="P259" i="4"/>
  <c r="L29" i="4"/>
  <c r="L45" i="4"/>
  <c r="L61" i="4"/>
  <c r="L77" i="4"/>
  <c r="P89" i="4"/>
  <c r="R89" i="4" s="1"/>
  <c r="K101" i="4"/>
  <c r="I102" i="4" s="1"/>
  <c r="L102" i="4" s="1"/>
  <c r="P101" i="4"/>
  <c r="K39" i="4"/>
  <c r="K55" i="4"/>
  <c r="I56" i="4" s="1"/>
  <c r="K63" i="4"/>
  <c r="K113" i="4"/>
  <c r="I114" i="4" s="1"/>
  <c r="L119" i="4"/>
  <c r="P129" i="4"/>
  <c r="K145" i="4"/>
  <c r="P159" i="4"/>
  <c r="S159" i="4" s="1"/>
  <c r="L163" i="4"/>
  <c r="K173" i="4"/>
  <c r="I174" i="4" s="1"/>
  <c r="I176" i="4"/>
  <c r="K176" i="4" s="1"/>
  <c r="P189" i="4"/>
  <c r="P193" i="4"/>
  <c r="K209" i="4"/>
  <c r="I220" i="4"/>
  <c r="P221" i="4"/>
  <c r="P225" i="4"/>
  <c r="L227" i="4"/>
  <c r="K241" i="4"/>
  <c r="I242" i="4" s="1"/>
  <c r="L247" i="4"/>
  <c r="P41" i="4"/>
  <c r="P57" i="4"/>
  <c r="P73" i="4"/>
  <c r="L111" i="4"/>
  <c r="P121" i="4"/>
  <c r="K133" i="4"/>
  <c r="I136" i="4"/>
  <c r="L136" i="4" s="1"/>
  <c r="P151" i="4"/>
  <c r="K165" i="4"/>
  <c r="I166" i="4" s="1"/>
  <c r="K169" i="4"/>
  <c r="I170" i="4" s="1"/>
  <c r="L187" i="4"/>
  <c r="P213" i="4"/>
  <c r="P215" i="4"/>
  <c r="S215" i="4" s="1"/>
  <c r="L219" i="4"/>
  <c r="K233" i="4"/>
  <c r="I234" i="4" s="1"/>
  <c r="L234" i="4" s="1"/>
  <c r="L239" i="4"/>
  <c r="P247" i="4"/>
  <c r="L251" i="4"/>
  <c r="K261" i="4"/>
  <c r="P21" i="4"/>
  <c r="R21" i="4" s="1"/>
  <c r="K23" i="4"/>
  <c r="P25" i="4"/>
  <c r="P31" i="4"/>
  <c r="S31" i="4"/>
  <c r="P39" i="4"/>
  <c r="P47" i="4"/>
  <c r="R47" i="4" s="1"/>
  <c r="P55" i="4"/>
  <c r="R55" i="4" s="1"/>
  <c r="P63" i="4"/>
  <c r="S63" i="4"/>
  <c r="P71" i="4"/>
  <c r="P109" i="4"/>
  <c r="P111" i="4"/>
  <c r="S111" i="4"/>
  <c r="P113" i="4"/>
  <c r="L115" i="4"/>
  <c r="K125" i="4"/>
  <c r="K129" i="4"/>
  <c r="L135" i="4"/>
  <c r="I140" i="4"/>
  <c r="L140" i="4" s="1"/>
  <c r="P141" i="4"/>
  <c r="P143" i="4"/>
  <c r="P145" i="4"/>
  <c r="L147" i="4"/>
  <c r="K157" i="4"/>
  <c r="K161" i="4"/>
  <c r="I162" i="4" s="1"/>
  <c r="K162" i="4" s="1"/>
  <c r="L167" i="4"/>
  <c r="P173" i="4"/>
  <c r="P175" i="4"/>
  <c r="S175" i="4"/>
  <c r="P177" i="4"/>
  <c r="L179" i="4"/>
  <c r="K189" i="4"/>
  <c r="I190" i="4" s="1"/>
  <c r="I192" i="4"/>
  <c r="K193" i="4"/>
  <c r="L199" i="4"/>
  <c r="I204" i="4"/>
  <c r="K204" i="4" s="1"/>
  <c r="P205" i="4"/>
  <c r="P207" i="4"/>
  <c r="P209" i="4"/>
  <c r="S209" i="4" s="1"/>
  <c r="L211" i="4"/>
  <c r="K221" i="4"/>
  <c r="I224" i="4"/>
  <c r="K225" i="4"/>
  <c r="I226" i="4" s="1"/>
  <c r="L231" i="4"/>
  <c r="P237" i="4"/>
  <c r="S237" i="4"/>
  <c r="P239" i="4"/>
  <c r="P241" i="4"/>
  <c r="S241" i="4" s="1"/>
  <c r="L243" i="4"/>
  <c r="K253" i="4"/>
  <c r="K257" i="4"/>
  <c r="I258" i="4" s="1"/>
  <c r="L258" i="4" s="1"/>
  <c r="L263" i="4"/>
  <c r="I268" i="4"/>
  <c r="K268" i="4" s="1"/>
  <c r="P269" i="4"/>
  <c r="P19" i="4"/>
  <c r="P29" i="4"/>
  <c r="P37" i="4"/>
  <c r="S37" i="4" s="1"/>
  <c r="P45" i="4"/>
  <c r="P53" i="4"/>
  <c r="R53" i="4" s="1"/>
  <c r="P61" i="4"/>
  <c r="P69" i="4"/>
  <c r="R69" i="4" s="1"/>
  <c r="P77" i="4"/>
  <c r="L81" i="4"/>
  <c r="L85" i="4"/>
  <c r="P115" i="4"/>
  <c r="P147" i="4"/>
  <c r="P179" i="4"/>
  <c r="P211" i="4"/>
  <c r="P243" i="4"/>
  <c r="K25" i="4"/>
  <c r="I26" i="4" s="1"/>
  <c r="K26" i="4" s="1"/>
  <c r="K31" i="4"/>
  <c r="K47" i="4"/>
  <c r="K71" i="4"/>
  <c r="K109" i="4"/>
  <c r="I110" i="4" s="1"/>
  <c r="P125" i="4"/>
  <c r="S125" i="4"/>
  <c r="P127" i="4"/>
  <c r="L131" i="4"/>
  <c r="K141" i="4"/>
  <c r="I142" i="4" s="1"/>
  <c r="L151" i="4"/>
  <c r="P157" i="4"/>
  <c r="P161" i="4"/>
  <c r="K177" i="4"/>
  <c r="I178" i="4" s="1"/>
  <c r="K178" i="4" s="1"/>
  <c r="L183" i="4"/>
  <c r="L195" i="4"/>
  <c r="K205" i="4"/>
  <c r="I208" i="4"/>
  <c r="L208" i="4" s="1"/>
  <c r="L215" i="4"/>
  <c r="P223" i="4"/>
  <c r="K237" i="4"/>
  <c r="I238" i="4" s="1"/>
  <c r="K238" i="4" s="1"/>
  <c r="I240" i="4"/>
  <c r="L240" i="4" s="1"/>
  <c r="P253" i="4"/>
  <c r="S253" i="4" s="1"/>
  <c r="P255" i="4"/>
  <c r="P257" i="4"/>
  <c r="S257" i="4"/>
  <c r="L259" i="4"/>
  <c r="K269" i="4"/>
  <c r="P33" i="4"/>
  <c r="P49" i="4"/>
  <c r="R49" i="4" s="1"/>
  <c r="P65" i="4"/>
  <c r="K105" i="4"/>
  <c r="I106" i="4" s="1"/>
  <c r="P117" i="4"/>
  <c r="P119" i="4"/>
  <c r="L123" i="4"/>
  <c r="K137" i="4"/>
  <c r="I138" i="4" s="1"/>
  <c r="K138" i="4" s="1"/>
  <c r="L143" i="4"/>
  <c r="P149" i="4"/>
  <c r="P153" i="4"/>
  <c r="S153" i="4"/>
  <c r="L155" i="4"/>
  <c r="L175" i="4"/>
  <c r="P185" i="4"/>
  <c r="K197" i="4"/>
  <c r="I198" i="4" s="1"/>
  <c r="K201" i="4"/>
  <c r="I202" i="4" s="1"/>
  <c r="K202" i="4" s="1"/>
  <c r="L207" i="4"/>
  <c r="P217" i="4"/>
  <c r="K229" i="4"/>
  <c r="I230" i="4" s="1"/>
  <c r="P249" i="4"/>
  <c r="K265" i="4"/>
  <c r="I266" i="4" s="1"/>
  <c r="L266" i="4" s="1"/>
  <c r="K27" i="4"/>
  <c r="K35" i="4"/>
  <c r="I36" i="4" s="1"/>
  <c r="K41" i="4"/>
  <c r="K43" i="4"/>
  <c r="I44" i="4" s="1"/>
  <c r="L44" i="4" s="1"/>
  <c r="K49" i="4"/>
  <c r="I50" i="4" s="1"/>
  <c r="K51" i="4"/>
  <c r="I52" i="4" s="1"/>
  <c r="K57" i="4"/>
  <c r="I58" i="4" s="1"/>
  <c r="K58" i="4" s="1"/>
  <c r="K59" i="4"/>
  <c r="I60" i="4" s="1"/>
  <c r="K60" i="4" s="1"/>
  <c r="K65" i="4"/>
  <c r="K67" i="4"/>
  <c r="I68" i="4" s="1"/>
  <c r="K73" i="4"/>
  <c r="I74" i="4" s="1"/>
  <c r="K75" i="4"/>
  <c r="L103" i="4"/>
  <c r="P105" i="4"/>
  <c r="S105" i="4" s="1"/>
  <c r="L107" i="4"/>
  <c r="K117" i="4"/>
  <c r="I118" i="4" s="1"/>
  <c r="K118" i="4" s="1"/>
  <c r="K121" i="4"/>
  <c r="I122" i="4" s="1"/>
  <c r="K122" i="4" s="1"/>
  <c r="L127" i="4"/>
  <c r="P133" i="4"/>
  <c r="P135" i="4"/>
  <c r="S135" i="4"/>
  <c r="P137" i="4"/>
  <c r="L139" i="4"/>
  <c r="K149" i="4"/>
  <c r="I150" i="4" s="1"/>
  <c r="K150" i="4" s="1"/>
  <c r="K153" i="4"/>
  <c r="I154" i="4" s="1"/>
  <c r="K154" i="4" s="1"/>
  <c r="L159" i="4"/>
  <c r="P165" i="4"/>
  <c r="S165" i="4" s="1"/>
  <c r="P167" i="4"/>
  <c r="P169" i="4"/>
  <c r="S169" i="4"/>
  <c r="L171" i="4"/>
  <c r="K181" i="4"/>
  <c r="I182" i="4" s="1"/>
  <c r="L182" i="4" s="1"/>
  <c r="K185" i="4"/>
  <c r="I186" i="4" s="1"/>
  <c r="L186" i="4" s="1"/>
  <c r="L191" i="4"/>
  <c r="P197" i="4"/>
  <c r="P199" i="4"/>
  <c r="P201" i="4"/>
  <c r="S201" i="4"/>
  <c r="L203" i="4"/>
  <c r="K213" i="4"/>
  <c r="I214" i="4" s="1"/>
  <c r="K217" i="4"/>
  <c r="L223" i="4"/>
  <c r="P229" i="4"/>
  <c r="S229" i="4"/>
  <c r="P231" i="4"/>
  <c r="P233" i="4"/>
  <c r="L235" i="4"/>
  <c r="K245" i="4"/>
  <c r="I246" i="4" s="1"/>
  <c r="K249" i="4"/>
  <c r="L255" i="4"/>
  <c r="P261" i="4"/>
  <c r="P263" i="4"/>
  <c r="S263" i="4" s="1"/>
  <c r="P265" i="4"/>
  <c r="L267" i="4"/>
  <c r="P181" i="4"/>
  <c r="R181" i="4" s="1"/>
  <c r="K21" i="4"/>
  <c r="I22" i="4" s="1"/>
  <c r="L22" i="4" s="1"/>
  <c r="L31" i="4"/>
  <c r="L39" i="4"/>
  <c r="L47" i="4"/>
  <c r="L55" i="4"/>
  <c r="L63" i="4"/>
  <c r="L71" i="4"/>
  <c r="K81" i="4"/>
  <c r="I82" i="4" s="1"/>
  <c r="L82" i="4" s="1"/>
  <c r="P81" i="4"/>
  <c r="K85" i="4"/>
  <c r="P85" i="4"/>
  <c r="R85" i="4" s="1"/>
  <c r="L89" i="4"/>
  <c r="L93" i="4"/>
  <c r="P103" i="4"/>
  <c r="P107" i="4"/>
  <c r="L109" i="4"/>
  <c r="L113" i="4"/>
  <c r="K119" i="4"/>
  <c r="K131" i="4"/>
  <c r="I132" i="4" s="1"/>
  <c r="L132" i="4" s="1"/>
  <c r="P139" i="4"/>
  <c r="L141" i="4"/>
  <c r="L145" i="4"/>
  <c r="K151" i="4"/>
  <c r="I152" i="4" s="1"/>
  <c r="K152" i="4" s="1"/>
  <c r="K163" i="4"/>
  <c r="I164" i="4" s="1"/>
  <c r="P171" i="4"/>
  <c r="L173" i="4"/>
  <c r="L177" i="4"/>
  <c r="K183" i="4"/>
  <c r="I184" i="4" s="1"/>
  <c r="K195" i="4"/>
  <c r="P203" i="4"/>
  <c r="L205" i="4"/>
  <c r="L209" i="4"/>
  <c r="K215" i="4"/>
  <c r="I216" i="4" s="1"/>
  <c r="K227" i="4"/>
  <c r="I228" i="4" s="1"/>
  <c r="P235" i="4"/>
  <c r="R235" i="4" s="1"/>
  <c r="L237" i="4"/>
  <c r="L241" i="4"/>
  <c r="K247" i="4"/>
  <c r="K259" i="4"/>
  <c r="I260" i="4" s="1"/>
  <c r="K260" i="4" s="1"/>
  <c r="P267" i="4"/>
  <c r="R267" i="4" s="1"/>
  <c r="L269" i="4"/>
  <c r="N24" i="5"/>
  <c r="K87" i="4"/>
  <c r="I88" i="4" s="1"/>
  <c r="L88" i="4" s="1"/>
  <c r="L87" i="4"/>
  <c r="K95" i="4"/>
  <c r="I96" i="4" s="1"/>
  <c r="L95" i="4"/>
  <c r="P245" i="4"/>
  <c r="K83" i="4"/>
  <c r="I84" i="4" s="1"/>
  <c r="L83" i="4"/>
  <c r="L91" i="4"/>
  <c r="K91" i="4"/>
  <c r="K99" i="4"/>
  <c r="I100" i="4" s="1"/>
  <c r="L99" i="4"/>
  <c r="P99" i="4"/>
  <c r="P27" i="4"/>
  <c r="L33" i="4"/>
  <c r="P43" i="4"/>
  <c r="R43" i="4" s="1"/>
  <c r="L49" i="4"/>
  <c r="P51" i="4"/>
  <c r="L57" i="4"/>
  <c r="P59" i="4"/>
  <c r="L65" i="4"/>
  <c r="P67" i="4"/>
  <c r="S67" i="4" s="1"/>
  <c r="L73" i="4"/>
  <c r="P75" i="4"/>
  <c r="S75" i="4" s="1"/>
  <c r="K79" i="4"/>
  <c r="L79" i="4"/>
  <c r="P23" i="4"/>
  <c r="P83" i="4"/>
  <c r="P91" i="4"/>
  <c r="L25" i="4"/>
  <c r="P35" i="4"/>
  <c r="R35" i="4" s="1"/>
  <c r="L41" i="4"/>
  <c r="K19" i="4"/>
  <c r="I20" i="4" s="1"/>
  <c r="K20" i="4" s="1"/>
  <c r="L27" i="4"/>
  <c r="L35" i="4"/>
  <c r="L43" i="4"/>
  <c r="L51" i="4"/>
  <c r="L59" i="4"/>
  <c r="L67" i="4"/>
  <c r="L75" i="4"/>
  <c r="P79" i="4"/>
  <c r="P87" i="4"/>
  <c r="P95" i="4"/>
  <c r="L20" i="4"/>
  <c r="L140" i="5"/>
  <c r="S219" i="4"/>
  <c r="S259" i="4"/>
  <c r="I54" i="4"/>
  <c r="L54" i="4" s="1"/>
  <c r="S227" i="4"/>
  <c r="R61" i="4"/>
  <c r="S183" i="4"/>
  <c r="R243" i="4"/>
  <c r="S243" i="4"/>
  <c r="S191" i="4"/>
  <c r="R101" i="4"/>
  <c r="I70" i="4"/>
  <c r="K70" i="4" s="1"/>
  <c r="S93" i="4"/>
  <c r="S197" i="4"/>
  <c r="S235" i="4"/>
  <c r="K102" i="4"/>
  <c r="S33" i="4"/>
  <c r="S89" i="4"/>
  <c r="R97" i="4"/>
  <c r="R187" i="4"/>
  <c r="R259" i="4"/>
  <c r="R75" i="4"/>
  <c r="I92" i="4"/>
  <c r="L92" i="4" s="1"/>
  <c r="I250" i="4"/>
  <c r="R199" i="4"/>
  <c r="R217" i="4"/>
  <c r="I194" i="4"/>
  <c r="R177" i="4"/>
  <c r="I196" i="4"/>
  <c r="K196" i="4" s="1"/>
  <c r="I270" i="4"/>
  <c r="L270" i="4" s="1"/>
  <c r="R223" i="4"/>
  <c r="I206" i="4"/>
  <c r="I24" i="4"/>
  <c r="K24" i="4" s="1"/>
  <c r="I262" i="4"/>
  <c r="K262" i="4" s="1"/>
  <c r="I210" i="4"/>
  <c r="L210" i="4" s="1"/>
  <c r="I40" i="4"/>
  <c r="R67" i="4"/>
  <c r="I66" i="4"/>
  <c r="L66" i="4" s="1"/>
  <c r="I42" i="4"/>
  <c r="K42" i="4" s="1"/>
  <c r="R153" i="4"/>
  <c r="R257" i="4"/>
  <c r="I72" i="4"/>
  <c r="K72" i="4" s="1"/>
  <c r="I32" i="4"/>
  <c r="K32" i="4" s="1"/>
  <c r="I158" i="4"/>
  <c r="I130" i="4"/>
  <c r="I126" i="4"/>
  <c r="K126" i="4" s="1"/>
  <c r="R113" i="4"/>
  <c r="S47" i="4"/>
  <c r="R31" i="4"/>
  <c r="R215" i="4"/>
  <c r="I134" i="4"/>
  <c r="L188" i="4"/>
  <c r="I146" i="4"/>
  <c r="K146" i="4" s="1"/>
  <c r="S77" i="4"/>
  <c r="L176" i="4"/>
  <c r="R77" i="4"/>
  <c r="R139" i="4"/>
  <c r="R57" i="4"/>
  <c r="R45" i="4"/>
  <c r="S139" i="4"/>
  <c r="K94" i="4"/>
  <c r="S57" i="4"/>
  <c r="S41" i="4"/>
  <c r="R59" i="4"/>
  <c r="I218" i="4"/>
  <c r="I86" i="4"/>
  <c r="L86" i="4" s="1"/>
  <c r="I76" i="4"/>
  <c r="L76" i="4" s="1"/>
  <c r="K252" i="4"/>
  <c r="I48" i="4"/>
  <c r="L48" i="4" s="1"/>
  <c r="I64" i="4"/>
  <c r="L64" i="4" s="1"/>
  <c r="I80" i="4"/>
  <c r="I248" i="4"/>
  <c r="I120" i="4"/>
  <c r="L120" i="4" s="1"/>
  <c r="R229" i="4"/>
  <c r="R201" i="4"/>
  <c r="I28" i="4"/>
  <c r="K28" i="4" s="1"/>
  <c r="R19" i="4"/>
  <c r="T19" i="4" s="1"/>
  <c r="L268" i="4"/>
  <c r="I254" i="4"/>
  <c r="R237" i="4"/>
  <c r="I222" i="4"/>
  <c r="R209" i="4"/>
  <c r="S207" i="4"/>
  <c r="R37" i="4"/>
  <c r="R41" i="4"/>
  <c r="S249" i="4"/>
  <c r="R95" i="4"/>
  <c r="S79" i="4"/>
  <c r="R99" i="4"/>
  <c r="R91" i="4"/>
  <c r="R87" i="4"/>
  <c r="S27" i="4"/>
  <c r="K78" i="4"/>
  <c r="K54" i="4"/>
  <c r="H280" i="4"/>
  <c r="I280" i="4" s="1"/>
  <c r="K182" i="4"/>
  <c r="K66" i="4"/>
  <c r="L60" i="4"/>
  <c r="L222" i="4"/>
  <c r="K222" i="4"/>
  <c r="L28" i="4"/>
  <c r="K234" i="4"/>
  <c r="K210" i="4"/>
  <c r="L174" i="4"/>
  <c r="K174" i="4"/>
  <c r="L26" i="4"/>
  <c r="K64" i="4"/>
  <c r="L250" i="4"/>
  <c r="K250" i="4"/>
  <c r="F37" i="3"/>
  <c r="E36" i="3"/>
  <c r="M34" i="3"/>
  <c r="L34" i="3"/>
  <c r="G34" i="3"/>
  <c r="G32" i="3"/>
  <c r="L30" i="3"/>
  <c r="M28" i="3"/>
  <c r="L28" i="3"/>
  <c r="G28" i="3"/>
  <c r="M26" i="3"/>
  <c r="M24" i="3"/>
  <c r="L24" i="3"/>
  <c r="N24" i="3" s="1"/>
  <c r="G24" i="3"/>
  <c r="M22" i="3"/>
  <c r="L22" i="3"/>
  <c r="G22" i="3"/>
  <c r="M20" i="3"/>
  <c r="L20" i="3"/>
  <c r="N20" i="3" s="1"/>
  <c r="G20" i="3"/>
  <c r="M18" i="3"/>
  <c r="N18" i="3" s="1"/>
  <c r="L18" i="3"/>
  <c r="G18" i="3"/>
  <c r="M16" i="3"/>
  <c r="L16" i="3"/>
  <c r="G16" i="3"/>
  <c r="M14" i="3"/>
  <c r="L14" i="3"/>
  <c r="G14" i="3"/>
  <c r="M12" i="3"/>
  <c r="L12" i="3"/>
  <c r="G12" i="3"/>
  <c r="M10" i="3"/>
  <c r="L10" i="3"/>
  <c r="G10" i="3"/>
  <c r="M8" i="3"/>
  <c r="L8" i="3"/>
  <c r="N8" i="3" s="1"/>
  <c r="G8" i="3"/>
  <c r="M6" i="3"/>
  <c r="L6" i="3"/>
  <c r="G6" i="3"/>
  <c r="F63" i="2"/>
  <c r="O62" i="2"/>
  <c r="F62" i="2"/>
  <c r="L62" i="2" s="1"/>
  <c r="F59" i="2"/>
  <c r="F58" i="2"/>
  <c r="H58" i="2" s="1"/>
  <c r="F57" i="2"/>
  <c r="M56" i="2"/>
  <c r="F56" i="2"/>
  <c r="H56" i="2" s="1"/>
  <c r="O54" i="2"/>
  <c r="O52" i="2"/>
  <c r="M52" i="2"/>
  <c r="O50" i="2"/>
  <c r="M50" i="2"/>
  <c r="D46" i="2"/>
  <c r="F33" i="2"/>
  <c r="O32" i="2"/>
  <c r="M32" i="2"/>
  <c r="F32" i="2"/>
  <c r="H32" i="2" s="1"/>
  <c r="F31" i="2"/>
  <c r="O30" i="2"/>
  <c r="M30" i="2"/>
  <c r="F30" i="2"/>
  <c r="H30" i="2" s="1"/>
  <c r="F29" i="2"/>
  <c r="O28" i="2"/>
  <c r="M28" i="2"/>
  <c r="F28" i="2"/>
  <c r="F27" i="2"/>
  <c r="O26" i="2"/>
  <c r="M26" i="2"/>
  <c r="F26" i="2"/>
  <c r="F25" i="2"/>
  <c r="O24" i="2"/>
  <c r="M24" i="2"/>
  <c r="F24" i="2"/>
  <c r="H24" i="2" s="1"/>
  <c r="J24" i="2" s="1"/>
  <c r="F23" i="2"/>
  <c r="O22" i="2"/>
  <c r="M22" i="2"/>
  <c r="F22" i="2"/>
  <c r="H22" i="2" s="1"/>
  <c r="J22" i="2" s="1"/>
  <c r="F21" i="2"/>
  <c r="M20" i="2"/>
  <c r="F20" i="2"/>
  <c r="H20" i="2" s="1"/>
  <c r="F19" i="2"/>
  <c r="M18" i="2"/>
  <c r="F18" i="2"/>
  <c r="H18" i="2" s="1"/>
  <c r="F17" i="2"/>
  <c r="O16" i="2"/>
  <c r="F16" i="2"/>
  <c r="F15" i="2"/>
  <c r="M14" i="2"/>
  <c r="F14" i="2"/>
  <c r="H14" i="2" s="1"/>
  <c r="F13" i="2"/>
  <c r="F12" i="2"/>
  <c r="D9" i="2"/>
  <c r="C38" i="2" s="1"/>
  <c r="F16" i="1"/>
  <c r="H16" i="1" s="1"/>
  <c r="F11" i="1"/>
  <c r="H11" i="1" s="1"/>
  <c r="N34" i="3"/>
  <c r="N22" i="3"/>
  <c r="Q20" i="5"/>
  <c r="J200" i="5"/>
  <c r="K246" i="4" l="1"/>
  <c r="L246" i="4"/>
  <c r="K230" i="4"/>
  <c r="L230" i="4"/>
  <c r="L106" i="4"/>
  <c r="K106" i="4"/>
  <c r="N10" i="3"/>
  <c r="L196" i="4"/>
  <c r="K86" i="4"/>
  <c r="L238" i="4"/>
  <c r="K258" i="4"/>
  <c r="L152" i="4"/>
  <c r="K38" i="4"/>
  <c r="R165" i="4"/>
  <c r="R105" i="4"/>
  <c r="S267" i="4"/>
  <c r="S35" i="4"/>
  <c r="S19" i="4"/>
  <c r="S21" i="4"/>
  <c r="F37" i="2"/>
  <c r="N6" i="3"/>
  <c r="N16" i="3"/>
  <c r="N28" i="3"/>
  <c r="L146" i="4"/>
  <c r="K76" i="4"/>
  <c r="R159" i="4"/>
  <c r="K140" i="4"/>
  <c r="T105" i="4"/>
  <c r="R121" i="4"/>
  <c r="S129" i="4"/>
  <c r="T131" i="4"/>
  <c r="T139" i="4"/>
  <c r="R141" i="4"/>
  <c r="T153" i="4"/>
  <c r="R175" i="4"/>
  <c r="T177" i="4"/>
  <c r="T187" i="4"/>
  <c r="R197" i="4"/>
  <c r="R207" i="4"/>
  <c r="T209" i="4"/>
  <c r="R219" i="4"/>
  <c r="T229" i="4"/>
  <c r="T243" i="4"/>
  <c r="T253" i="4"/>
  <c r="R263" i="4"/>
  <c r="J16" i="3"/>
  <c r="J24" i="3"/>
  <c r="T31" i="4"/>
  <c r="S133" i="4"/>
  <c r="T143" i="4"/>
  <c r="S189" i="4"/>
  <c r="T199" i="4"/>
  <c r="R211" i="4"/>
  <c r="S247" i="4"/>
  <c r="F36" i="3"/>
  <c r="O146" i="5"/>
  <c r="Y146" i="5"/>
  <c r="O134" i="5"/>
  <c r="Y134" i="5"/>
  <c r="G26" i="3"/>
  <c r="S23" i="4"/>
  <c r="R27" i="4"/>
  <c r="S29" i="4"/>
  <c r="S43" i="4"/>
  <c r="S45" i="4"/>
  <c r="S55" i="4"/>
  <c r="S59" i="4"/>
  <c r="R63" i="4"/>
  <c r="S65" i="4"/>
  <c r="S71" i="4"/>
  <c r="S73" i="4"/>
  <c r="R79" i="4"/>
  <c r="R81" i="4"/>
  <c r="R83" i="4"/>
  <c r="S87" i="4"/>
  <c r="S95" i="4"/>
  <c r="S97" i="4"/>
  <c r="S99" i="4"/>
  <c r="T101" i="4"/>
  <c r="T111" i="4"/>
  <c r="T113" i="4"/>
  <c r="R125" i="4"/>
  <c r="R135" i="4"/>
  <c r="T147" i="4"/>
  <c r="T159" i="4"/>
  <c r="R169" i="4"/>
  <c r="S181" i="4"/>
  <c r="T201" i="4"/>
  <c r="S213" i="4"/>
  <c r="T215" i="4"/>
  <c r="S223" i="4"/>
  <c r="T237" i="4"/>
  <c r="R249" i="4"/>
  <c r="T267" i="4"/>
  <c r="S269" i="4"/>
  <c r="O120" i="5"/>
  <c r="Y120" i="5"/>
  <c r="R28" i="3"/>
  <c r="E37" i="3"/>
  <c r="G37" i="3" s="1"/>
  <c r="I37" i="3" s="1"/>
  <c r="R103" i="4"/>
  <c r="R117" i="4"/>
  <c r="R119" i="4"/>
  <c r="R137" i="4"/>
  <c r="R149" i="4"/>
  <c r="R151" i="4"/>
  <c r="S173" i="4"/>
  <c r="S185" i="4"/>
  <c r="S193" i="4"/>
  <c r="R203" i="4"/>
  <c r="R205" i="4"/>
  <c r="S239" i="4"/>
  <c r="R241" i="4"/>
  <c r="S251" i="4"/>
  <c r="O124" i="5"/>
  <c r="Y124" i="5"/>
  <c r="H271" i="4"/>
  <c r="O96" i="5"/>
  <c r="Y96" i="5"/>
  <c r="J207" i="5"/>
  <c r="W196" i="5"/>
  <c r="N14" i="3"/>
  <c r="F80" i="2"/>
  <c r="I39" i="2"/>
  <c r="I36" i="2"/>
  <c r="E94" i="2" s="1"/>
  <c r="F36" i="2"/>
  <c r="L18" i="2"/>
  <c r="L28" i="2"/>
  <c r="R28" i="2" s="1"/>
  <c r="M62" i="2"/>
  <c r="N62" i="2" s="1"/>
  <c r="P62" i="2" s="1"/>
  <c r="L34" i="2"/>
  <c r="H28" i="2"/>
  <c r="J28" i="2" s="1"/>
  <c r="H29" i="2" s="1"/>
  <c r="J29" i="2" s="1"/>
  <c r="R29" i="2" s="1"/>
  <c r="L16" i="2"/>
  <c r="K20" i="2"/>
  <c r="N34" i="2"/>
  <c r="P34" i="2" s="1"/>
  <c r="J30" i="2"/>
  <c r="H31" i="2" s="1"/>
  <c r="K30" i="2"/>
  <c r="K32" i="2"/>
  <c r="J32" i="2"/>
  <c r="H33" i="2" s="1"/>
  <c r="J60" i="2"/>
  <c r="H61" i="2" s="1"/>
  <c r="K61" i="2" s="1"/>
  <c r="L60" i="2"/>
  <c r="N60" i="2" s="1"/>
  <c r="P60" i="2" s="1"/>
  <c r="L20" i="2"/>
  <c r="N20" i="2" s="1"/>
  <c r="L22" i="2"/>
  <c r="N22" i="2" s="1"/>
  <c r="P22" i="2" s="1"/>
  <c r="L30" i="2"/>
  <c r="N30" i="2" s="1"/>
  <c r="P30" i="2" s="1"/>
  <c r="L32" i="2"/>
  <c r="N32" i="2" s="1"/>
  <c r="Q32" i="2" s="1"/>
  <c r="K28" i="2"/>
  <c r="L24" i="2"/>
  <c r="N24" i="2" s="1"/>
  <c r="P24" i="2" s="1"/>
  <c r="K18" i="2"/>
  <c r="I67" i="2"/>
  <c r="G14" i="1" s="1"/>
  <c r="N12" i="3"/>
  <c r="P12" i="3" s="1"/>
  <c r="J206" i="5"/>
  <c r="W195" i="5"/>
  <c r="G84" i="5"/>
  <c r="G203" i="5" s="1"/>
  <c r="N187" i="5"/>
  <c r="N173" i="5"/>
  <c r="I170" i="5"/>
  <c r="L170" i="5" s="1"/>
  <c r="N191" i="5"/>
  <c r="P191" i="5" s="1"/>
  <c r="S191" i="5" s="1"/>
  <c r="I194" i="5"/>
  <c r="L194" i="5" s="1"/>
  <c r="H83" i="5"/>
  <c r="O161" i="5"/>
  <c r="H195" i="5"/>
  <c r="H206" i="5" s="1"/>
  <c r="H156" i="5"/>
  <c r="J14" i="2"/>
  <c r="H15" i="2" s="1"/>
  <c r="J15" i="2" s="1"/>
  <c r="O18" i="2"/>
  <c r="R18" i="2" s="1"/>
  <c r="J18" i="2"/>
  <c r="H19" i="2" s="1"/>
  <c r="K19" i="2" s="1"/>
  <c r="L164" i="4"/>
  <c r="K164" i="4"/>
  <c r="L148" i="4"/>
  <c r="K148" i="4"/>
  <c r="L236" i="4"/>
  <c r="K236" i="4"/>
  <c r="L216" i="4"/>
  <c r="K216" i="4"/>
  <c r="K56" i="4"/>
  <c r="L56" i="4"/>
  <c r="L228" i="4"/>
  <c r="K228" i="4"/>
  <c r="L50" i="4"/>
  <c r="K50" i="4"/>
  <c r="K190" i="4"/>
  <c r="L190" i="4"/>
  <c r="K170" i="4"/>
  <c r="L170" i="4"/>
  <c r="L46" i="4"/>
  <c r="K46" i="4"/>
  <c r="L184" i="4"/>
  <c r="K184" i="4"/>
  <c r="K68" i="4"/>
  <c r="L68" i="4"/>
  <c r="K128" i="4"/>
  <c r="L128" i="4"/>
  <c r="L172" i="4"/>
  <c r="K172" i="4"/>
  <c r="L72" i="4"/>
  <c r="L70" i="4"/>
  <c r="R261" i="4"/>
  <c r="S149" i="4"/>
  <c r="K208" i="4"/>
  <c r="R239" i="4"/>
  <c r="K104" i="4"/>
  <c r="R251" i="4"/>
  <c r="R195" i="4"/>
  <c r="R227" i="4"/>
  <c r="S117" i="4"/>
  <c r="T193" i="4"/>
  <c r="T151" i="4"/>
  <c r="T137" i="4"/>
  <c r="T119" i="4"/>
  <c r="K120" i="4"/>
  <c r="L162" i="4"/>
  <c r="L32" i="4"/>
  <c r="L24" i="4"/>
  <c r="S91" i="4"/>
  <c r="S217" i="4"/>
  <c r="R111" i="4"/>
  <c r="S81" i="4"/>
  <c r="S171" i="4"/>
  <c r="R171" i="4"/>
  <c r="S39" i="4"/>
  <c r="R71" i="4"/>
  <c r="R161" i="4"/>
  <c r="R65" i="4"/>
  <c r="R163" i="4"/>
  <c r="R33" i="4"/>
  <c r="R93" i="4"/>
  <c r="S49" i="4"/>
  <c r="R147" i="4"/>
  <c r="S147" i="4"/>
  <c r="S261" i="4"/>
  <c r="S61" i="4"/>
  <c r="S205" i="4"/>
  <c r="R39" i="4"/>
  <c r="S151" i="4"/>
  <c r="R193" i="4"/>
  <c r="S195" i="4"/>
  <c r="T249" i="4"/>
  <c r="T185" i="4"/>
  <c r="T173" i="4"/>
  <c r="T125" i="4"/>
  <c r="T99" i="4"/>
  <c r="T83" i="4"/>
  <c r="T59" i="4"/>
  <c r="T53" i="4"/>
  <c r="K270" i="4"/>
  <c r="K22" i="4"/>
  <c r="L138" i="4"/>
  <c r="K92" i="4"/>
  <c r="R73" i="4"/>
  <c r="R269" i="4"/>
  <c r="R213" i="4"/>
  <c r="L116" i="4"/>
  <c r="R173" i="4"/>
  <c r="S69" i="4"/>
  <c r="S127" i="4"/>
  <c r="S119" i="4"/>
  <c r="R185" i="4"/>
  <c r="R127" i="4"/>
  <c r="K240" i="4"/>
  <c r="S85" i="4"/>
  <c r="R29" i="4"/>
  <c r="S103" i="4"/>
  <c r="S115" i="4"/>
  <c r="S101" i="4"/>
  <c r="R115" i="4"/>
  <c r="S137" i="4"/>
  <c r="S161" i="4"/>
  <c r="S113" i="4"/>
  <c r="T251" i="4"/>
  <c r="T239" i="4"/>
  <c r="T203" i="4"/>
  <c r="T189" i="4"/>
  <c r="M3" i="12"/>
  <c r="H3" i="12"/>
  <c r="L8" i="12"/>
  <c r="E9" i="1"/>
  <c r="F9" i="1" s="1"/>
  <c r="S53" i="4"/>
  <c r="L276" i="4"/>
  <c r="L52" i="4"/>
  <c r="K52" i="4"/>
  <c r="R51" i="4"/>
  <c r="H200" i="5"/>
  <c r="N177" i="5"/>
  <c r="P177" i="5" s="1"/>
  <c r="S177" i="5" s="1"/>
  <c r="K24" i="5"/>
  <c r="I25" i="5" s="1"/>
  <c r="I49" i="5"/>
  <c r="G83" i="5"/>
  <c r="G202" i="5" s="1"/>
  <c r="O132" i="5"/>
  <c r="J58" i="2"/>
  <c r="H59" i="2" s="1"/>
  <c r="K59" i="2" s="1"/>
  <c r="K58" i="2"/>
  <c r="J56" i="2"/>
  <c r="H57" i="2" s="1"/>
  <c r="J57" i="2" s="1"/>
  <c r="K56" i="2"/>
  <c r="F50" i="2"/>
  <c r="F51" i="2"/>
  <c r="H12" i="2"/>
  <c r="L12" i="2"/>
  <c r="N12" i="2" s="1"/>
  <c r="H62" i="2"/>
  <c r="L58" i="2"/>
  <c r="N58" i="2" s="1"/>
  <c r="K14" i="2"/>
  <c r="L14" i="2"/>
  <c r="N14" i="2" s="1"/>
  <c r="D64" i="2"/>
  <c r="E20" i="12"/>
  <c r="F20" i="12" s="1"/>
  <c r="H20" i="12" s="1"/>
  <c r="O20" i="2"/>
  <c r="N18" i="2"/>
  <c r="R32" i="2"/>
  <c r="L56" i="2"/>
  <c r="N56" i="2" s="1"/>
  <c r="H23" i="2"/>
  <c r="J23" i="2" s="1"/>
  <c r="R23" i="2" s="1"/>
  <c r="H25" i="2"/>
  <c r="J25" i="2" s="1"/>
  <c r="R25" i="2" s="1"/>
  <c r="L26" i="2"/>
  <c r="N26" i="2" s="1"/>
  <c r="P26" i="2" s="1"/>
  <c r="R34" i="2"/>
  <c r="J34" i="2"/>
  <c r="H35" i="2" s="1"/>
  <c r="M12" i="12"/>
  <c r="M9" i="12"/>
  <c r="M11" i="12"/>
  <c r="G14" i="12"/>
  <c r="H14" i="12" s="1"/>
  <c r="M14" i="12"/>
  <c r="G10" i="12"/>
  <c r="H10" i="12" s="1"/>
  <c r="M10" i="12"/>
  <c r="G13" i="12"/>
  <c r="H13" i="12" s="1"/>
  <c r="M13" i="12"/>
  <c r="G5" i="12"/>
  <c r="H5" i="12" s="1"/>
  <c r="M5" i="12"/>
  <c r="M15" i="12"/>
  <c r="H28" i="1"/>
  <c r="E30" i="1"/>
  <c r="F91" i="2"/>
  <c r="I65" i="2"/>
  <c r="O64" i="2" s="1"/>
  <c r="L26" i="5"/>
  <c r="K26" i="5"/>
  <c r="I27" i="5" s="1"/>
  <c r="L27" i="5" s="1"/>
  <c r="I75" i="5"/>
  <c r="K75" i="5" s="1"/>
  <c r="I76" i="5" s="1"/>
  <c r="I146" i="5"/>
  <c r="L146" i="5" s="1"/>
  <c r="N12" i="5"/>
  <c r="T12" i="5" s="1"/>
  <c r="N28" i="5"/>
  <c r="P28" i="5" s="1"/>
  <c r="R28" i="5" s="1"/>
  <c r="T28" i="5" s="1"/>
  <c r="N132" i="5"/>
  <c r="I134" i="5"/>
  <c r="L134" i="5" s="1"/>
  <c r="K144" i="5"/>
  <c r="I145" i="5" s="1"/>
  <c r="K145" i="5" s="1"/>
  <c r="N171" i="5"/>
  <c r="P171" i="5" s="1"/>
  <c r="R171" i="5" s="1"/>
  <c r="T171" i="5" s="1"/>
  <c r="I66" i="5"/>
  <c r="L66" i="5" s="1"/>
  <c r="I62" i="5"/>
  <c r="K62" i="5" s="1"/>
  <c r="N57" i="5"/>
  <c r="P57" i="5" s="1"/>
  <c r="S57" i="5" s="1"/>
  <c r="I179" i="5"/>
  <c r="L179" i="5" s="1"/>
  <c r="I28" i="5"/>
  <c r="K28" i="5" s="1"/>
  <c r="I29" i="5" s="1"/>
  <c r="K29" i="5" s="1"/>
  <c r="N71" i="5"/>
  <c r="P71" i="5" s="1"/>
  <c r="S71" i="5" s="1"/>
  <c r="N163" i="5"/>
  <c r="P163" i="5" s="1"/>
  <c r="S163" i="5" s="1"/>
  <c r="N112" i="5"/>
  <c r="P112" i="5" s="1"/>
  <c r="R112" i="5" s="1"/>
  <c r="T112" i="5" s="1"/>
  <c r="N69" i="5"/>
  <c r="P69" i="5" s="1"/>
  <c r="S69" i="5" s="1"/>
  <c r="I109" i="5"/>
  <c r="K109" i="5" s="1"/>
  <c r="N100" i="5"/>
  <c r="P100" i="5" s="1"/>
  <c r="S100" i="5" s="1"/>
  <c r="N150" i="5"/>
  <c r="P150" i="5" s="1"/>
  <c r="I100" i="5"/>
  <c r="L100" i="5" s="1"/>
  <c r="N63" i="5"/>
  <c r="P63" i="5" s="1"/>
  <c r="S63" i="5" s="1"/>
  <c r="I70" i="5"/>
  <c r="L70" i="5" s="1"/>
  <c r="N120" i="5"/>
  <c r="P120" i="5" s="1"/>
  <c r="S120" i="5" s="1"/>
  <c r="N22" i="5"/>
  <c r="P22" i="5" s="1"/>
  <c r="R22" i="5" s="1"/>
  <c r="T22" i="5" s="1"/>
  <c r="N130" i="5"/>
  <c r="P130" i="5" s="1"/>
  <c r="R130" i="5" s="1"/>
  <c r="T130" i="5" s="1"/>
  <c r="N146" i="5"/>
  <c r="P146" i="5" s="1"/>
  <c r="R146" i="5" s="1"/>
  <c r="T146" i="5" s="1"/>
  <c r="N96" i="5"/>
  <c r="P96" i="5" s="1"/>
  <c r="S96" i="5" s="1"/>
  <c r="K32" i="5"/>
  <c r="I33" i="5" s="1"/>
  <c r="N14" i="5"/>
  <c r="P14" i="5" s="1"/>
  <c r="R14" i="5" s="1"/>
  <c r="O44" i="5"/>
  <c r="N18" i="5"/>
  <c r="T18" i="5" s="1"/>
  <c r="I113" i="5"/>
  <c r="K113" i="5" s="1"/>
  <c r="I122" i="5"/>
  <c r="K122" i="5" s="1"/>
  <c r="N148" i="5"/>
  <c r="N175" i="5"/>
  <c r="N189" i="5"/>
  <c r="P189" i="5" s="1"/>
  <c r="S189" i="5" s="1"/>
  <c r="N110" i="5"/>
  <c r="P110" i="5" s="1"/>
  <c r="I103" i="5"/>
  <c r="K103" i="5" s="1"/>
  <c r="I120" i="5"/>
  <c r="K120" i="5" s="1"/>
  <c r="I121" i="5" s="1"/>
  <c r="K121" i="5" s="1"/>
  <c r="K22" i="5"/>
  <c r="I23" i="5" s="1"/>
  <c r="L23" i="5" s="1"/>
  <c r="L22" i="5"/>
  <c r="K138" i="5"/>
  <c r="I139" i="5" s="1"/>
  <c r="L138" i="5"/>
  <c r="K81" i="5"/>
  <c r="I82" i="5" s="1"/>
  <c r="L82" i="5" s="1"/>
  <c r="L81" i="5"/>
  <c r="G45" i="5"/>
  <c r="G201" i="5" s="1"/>
  <c r="N51" i="5"/>
  <c r="P51" i="5" s="1"/>
  <c r="R51" i="5" s="1"/>
  <c r="T51" i="5" s="1"/>
  <c r="P173" i="5"/>
  <c r="S173" i="5" s="1"/>
  <c r="L24" i="5"/>
  <c r="K67" i="5"/>
  <c r="I68" i="5" s="1"/>
  <c r="L68" i="5" s="1"/>
  <c r="N34" i="5"/>
  <c r="P34" i="5" s="1"/>
  <c r="R34" i="5" s="1"/>
  <c r="T34" i="5" s="1"/>
  <c r="N122" i="5"/>
  <c r="P122" i="5" s="1"/>
  <c r="S122" i="5" s="1"/>
  <c r="N118" i="5"/>
  <c r="P118" i="5" s="1"/>
  <c r="R118" i="5" s="1"/>
  <c r="T118" i="5" s="1"/>
  <c r="N26" i="5"/>
  <c r="P26" i="5" s="1"/>
  <c r="S26" i="5" s="1"/>
  <c r="I18" i="5"/>
  <c r="K18" i="5" s="1"/>
  <c r="I19" i="5" s="1"/>
  <c r="L19" i="5" s="1"/>
  <c r="T19" i="5" s="1"/>
  <c r="I115" i="5"/>
  <c r="L115" i="5" s="1"/>
  <c r="I165" i="5"/>
  <c r="L165" i="5" s="1"/>
  <c r="N73" i="5"/>
  <c r="P73" i="5" s="1"/>
  <c r="R73" i="5" s="1"/>
  <c r="T73" i="5" s="1"/>
  <c r="P187" i="5"/>
  <c r="S187" i="5" s="1"/>
  <c r="K12" i="5"/>
  <c r="I13" i="5" s="1"/>
  <c r="N142" i="5"/>
  <c r="P142" i="5" s="1"/>
  <c r="R142" i="5" s="1"/>
  <c r="T142" i="5" s="1"/>
  <c r="I132" i="5"/>
  <c r="K132" i="5" s="1"/>
  <c r="I133" i="5" s="1"/>
  <c r="K133" i="5" s="1"/>
  <c r="I96" i="5"/>
  <c r="K96" i="5" s="1"/>
  <c r="I97" i="5" s="1"/>
  <c r="N138" i="5"/>
  <c r="P138" i="5" s="1"/>
  <c r="S138" i="5" s="1"/>
  <c r="N144" i="5"/>
  <c r="P144" i="5" s="1"/>
  <c r="S144" i="5" s="1"/>
  <c r="N98" i="5"/>
  <c r="P98" i="5" s="1"/>
  <c r="R98" i="5" s="1"/>
  <c r="T98" i="5" s="1"/>
  <c r="K16" i="5"/>
  <c r="I17" i="5" s="1"/>
  <c r="L17" i="5" s="1"/>
  <c r="T17" i="5" s="1"/>
  <c r="L16" i="5"/>
  <c r="L88" i="5"/>
  <c r="K88" i="5"/>
  <c r="I89" i="5" s="1"/>
  <c r="I124" i="5"/>
  <c r="K124" i="5" s="1"/>
  <c r="I125" i="5" s="1"/>
  <c r="I163" i="5"/>
  <c r="K163" i="5" s="1"/>
  <c r="I164" i="5" s="1"/>
  <c r="N102" i="5"/>
  <c r="P102" i="5" s="1"/>
  <c r="R102" i="5" s="1"/>
  <c r="T102" i="5" s="1"/>
  <c r="L102" i="5"/>
  <c r="N193" i="5"/>
  <c r="P193" i="5" s="1"/>
  <c r="R193" i="5" s="1"/>
  <c r="T193" i="5" s="1"/>
  <c r="L108" i="5"/>
  <c r="N106" i="5"/>
  <c r="P106" i="5" s="1"/>
  <c r="R106" i="5" s="1"/>
  <c r="T106" i="5" s="1"/>
  <c r="I187" i="5"/>
  <c r="K187" i="5" s="1"/>
  <c r="I188" i="5" s="1"/>
  <c r="N124" i="5"/>
  <c r="P124" i="5" s="1"/>
  <c r="S124" i="5" s="1"/>
  <c r="I63" i="5"/>
  <c r="K110" i="5"/>
  <c r="I111" i="5" s="1"/>
  <c r="K111" i="5" s="1"/>
  <c r="I57" i="5"/>
  <c r="L57" i="5" s="1"/>
  <c r="N16" i="5"/>
  <c r="T16" i="5" s="1"/>
  <c r="N61" i="5"/>
  <c r="P61" i="5" s="1"/>
  <c r="R61" i="5" s="1"/>
  <c r="T61" i="5" s="1"/>
  <c r="I173" i="5"/>
  <c r="L173" i="5" s="1"/>
  <c r="N114" i="5"/>
  <c r="P114" i="5" s="1"/>
  <c r="N108" i="5"/>
  <c r="P108" i="5" s="1"/>
  <c r="R108" i="5" s="1"/>
  <c r="T108" i="5" s="1"/>
  <c r="N65" i="5"/>
  <c r="P65" i="5" s="1"/>
  <c r="R65" i="5" s="1"/>
  <c r="T65" i="5" s="1"/>
  <c r="I150" i="5"/>
  <c r="P140" i="5"/>
  <c r="R140" i="5" s="1"/>
  <c r="T140" i="5" s="1"/>
  <c r="O20" i="5"/>
  <c r="N67" i="5"/>
  <c r="P67" i="5" s="1"/>
  <c r="S67" i="5" s="1"/>
  <c r="N77" i="5"/>
  <c r="P77" i="5" s="1"/>
  <c r="N81" i="5"/>
  <c r="P81" i="5" s="1"/>
  <c r="I143" i="5"/>
  <c r="K143" i="5" s="1"/>
  <c r="N167" i="5"/>
  <c r="P167" i="5" s="1"/>
  <c r="K177" i="5"/>
  <c r="I178" i="5" s="1"/>
  <c r="K178" i="5" s="1"/>
  <c r="K14" i="5"/>
  <c r="I15" i="5" s="1"/>
  <c r="K15" i="5" s="1"/>
  <c r="P24" i="5"/>
  <c r="S24" i="5" s="1"/>
  <c r="L73" i="5"/>
  <c r="I16" i="3"/>
  <c r="G17" i="3" s="1"/>
  <c r="J17" i="3" s="1"/>
  <c r="R17" i="3" s="1"/>
  <c r="O16" i="3"/>
  <c r="P16" i="3" s="1"/>
  <c r="I24" i="3"/>
  <c r="G25" i="3" s="1"/>
  <c r="I25" i="3" s="1"/>
  <c r="O24" i="3"/>
  <c r="Q24" i="3" s="1"/>
  <c r="J8" i="3"/>
  <c r="I34" i="3"/>
  <c r="G35" i="3" s="1"/>
  <c r="I35" i="3" s="1"/>
  <c r="L74" i="4"/>
  <c r="K74" i="4"/>
  <c r="K142" i="4"/>
  <c r="L142" i="4"/>
  <c r="L114" i="4"/>
  <c r="K114" i="4"/>
  <c r="K198" i="4"/>
  <c r="L198" i="4"/>
  <c r="L108" i="4"/>
  <c r="K108" i="4"/>
  <c r="L156" i="4"/>
  <c r="K156" i="4"/>
  <c r="L256" i="4"/>
  <c r="K256" i="4"/>
  <c r="L218" i="4"/>
  <c r="K218" i="4"/>
  <c r="K224" i="4"/>
  <c r="L224" i="4"/>
  <c r="T107" i="4"/>
  <c r="S107" i="4"/>
  <c r="R109" i="4"/>
  <c r="S109" i="4"/>
  <c r="T123" i="4"/>
  <c r="R123" i="4"/>
  <c r="S123" i="4"/>
  <c r="T145" i="4"/>
  <c r="S145" i="4"/>
  <c r="R145" i="4"/>
  <c r="T155" i="4"/>
  <c r="R155" i="4"/>
  <c r="R157" i="4"/>
  <c r="S157" i="4"/>
  <c r="S167" i="4"/>
  <c r="R167" i="4"/>
  <c r="T167" i="4"/>
  <c r="T179" i="4"/>
  <c r="S179" i="4"/>
  <c r="R179" i="4"/>
  <c r="K200" i="4"/>
  <c r="L200" i="4"/>
  <c r="S221" i="4"/>
  <c r="T221" i="4"/>
  <c r="K232" i="4"/>
  <c r="L232" i="4"/>
  <c r="R231" i="4"/>
  <c r="S231" i="4"/>
  <c r="R233" i="4"/>
  <c r="T233" i="4"/>
  <c r="T245" i="4"/>
  <c r="R245" i="4"/>
  <c r="S255" i="4"/>
  <c r="R255" i="4"/>
  <c r="T265" i="4"/>
  <c r="S265" i="4"/>
  <c r="L100" i="4"/>
  <c r="K100" i="4"/>
  <c r="K36" i="4"/>
  <c r="L36" i="4"/>
  <c r="K134" i="4"/>
  <c r="L134" i="4"/>
  <c r="L40" i="4"/>
  <c r="K40" i="4"/>
  <c r="K206" i="4"/>
  <c r="L206" i="4"/>
  <c r="K192" i="4"/>
  <c r="L192" i="4"/>
  <c r="K166" i="4"/>
  <c r="L166" i="4"/>
  <c r="L244" i="4"/>
  <c r="K244" i="4"/>
  <c r="L264" i="4"/>
  <c r="K264" i="4"/>
  <c r="K254" i="4"/>
  <c r="L254" i="4"/>
  <c r="K214" i="4"/>
  <c r="L214" i="4"/>
  <c r="L80" i="4"/>
  <c r="K80" i="4"/>
  <c r="L96" i="4"/>
  <c r="K96" i="4"/>
  <c r="L242" i="4"/>
  <c r="K242" i="4"/>
  <c r="K158" i="4"/>
  <c r="L158" i="4"/>
  <c r="L194" i="4"/>
  <c r="K194" i="4"/>
  <c r="K110" i="4"/>
  <c r="L110" i="4"/>
  <c r="L220" i="4"/>
  <c r="K220" i="4"/>
  <c r="K90" i="4"/>
  <c r="L90" i="4"/>
  <c r="L30" i="4"/>
  <c r="K30" i="4"/>
  <c r="L248" i="4"/>
  <c r="K248" i="4"/>
  <c r="L130" i="4"/>
  <c r="K130" i="4"/>
  <c r="L98" i="4"/>
  <c r="K98" i="4"/>
  <c r="K62" i="4"/>
  <c r="L62" i="4"/>
  <c r="L150" i="4"/>
  <c r="K44" i="4"/>
  <c r="K132" i="4"/>
  <c r="R143" i="4"/>
  <c r="L204" i="4"/>
  <c r="K212" i="4"/>
  <c r="S233" i="4"/>
  <c r="L168" i="4"/>
  <c r="L154" i="4"/>
  <c r="K82" i="4"/>
  <c r="L260" i="4"/>
  <c r="L42" i="4"/>
  <c r="L202" i="4"/>
  <c r="K48" i="4"/>
  <c r="K88" i="4"/>
  <c r="R133" i="4"/>
  <c r="R265" i="4"/>
  <c r="S245" i="4"/>
  <c r="K180" i="4"/>
  <c r="K144" i="4"/>
  <c r="R107" i="4"/>
  <c r="S155" i="4"/>
  <c r="S199" i="4"/>
  <c r="R189" i="4"/>
  <c r="T211" i="4"/>
  <c r="T157" i="4"/>
  <c r="L58" i="4"/>
  <c r="R247" i="4"/>
  <c r="K124" i="4"/>
  <c r="R221" i="4"/>
  <c r="S211" i="4"/>
  <c r="L34" i="4"/>
  <c r="S143" i="4"/>
  <c r="T255" i="4"/>
  <c r="T231" i="4"/>
  <c r="T133" i="4"/>
  <c r="K186" i="4"/>
  <c r="L122" i="4"/>
  <c r="L118" i="4"/>
  <c r="L178" i="4"/>
  <c r="L262" i="4"/>
  <c r="R23" i="4"/>
  <c r="K160" i="4"/>
  <c r="S177" i="4"/>
  <c r="K112" i="4"/>
  <c r="R253" i="4"/>
  <c r="K136" i="4"/>
  <c r="R131" i="4"/>
  <c r="S141" i="4"/>
  <c r="T207" i="4"/>
  <c r="T27" i="4"/>
  <c r="T129" i="4"/>
  <c r="T121" i="4"/>
  <c r="T23" i="4"/>
  <c r="S121" i="4"/>
  <c r="S203" i="4"/>
  <c r="R129" i="4"/>
  <c r="S163" i="4"/>
  <c r="R25" i="4"/>
  <c r="S25" i="4"/>
  <c r="S225" i="4"/>
  <c r="T225" i="4"/>
  <c r="O58" i="2"/>
  <c r="O56" i="2"/>
  <c r="J23" i="12"/>
  <c r="G54" i="2" s="1"/>
  <c r="G67" i="2" s="1"/>
  <c r="L28" i="12"/>
  <c r="L226" i="4"/>
  <c r="K226" i="4"/>
  <c r="R225" i="4"/>
  <c r="O271" i="4"/>
  <c r="K278" i="4"/>
  <c r="I279" i="4" s="1"/>
  <c r="K279" i="4" s="1"/>
  <c r="K141" i="5"/>
  <c r="G28" i="1"/>
  <c r="I28" i="1" s="1"/>
  <c r="O14" i="2"/>
  <c r="J14" i="3"/>
  <c r="Q34" i="3"/>
  <c r="R34" i="3"/>
  <c r="P34" i="3"/>
  <c r="J26" i="3"/>
  <c r="I26" i="3"/>
  <c r="G27" i="3" s="1"/>
  <c r="I27" i="3" s="1"/>
  <c r="J37" i="3"/>
  <c r="R37" i="3" s="1"/>
  <c r="N32" i="3"/>
  <c r="M36" i="3"/>
  <c r="E7" i="1" s="1"/>
  <c r="G36" i="3"/>
  <c r="P18" i="3"/>
  <c r="J34" i="3"/>
  <c r="I8" i="3"/>
  <c r="G9" i="3" s="1"/>
  <c r="J9" i="3" s="1"/>
  <c r="R9" i="3" s="1"/>
  <c r="Q8" i="3"/>
  <c r="L26" i="3"/>
  <c r="I32" i="3"/>
  <c r="G33" i="3" s="1"/>
  <c r="J33" i="3" s="1"/>
  <c r="R33" i="3" s="1"/>
  <c r="M30" i="3"/>
  <c r="N30" i="3" s="1"/>
  <c r="G30" i="3"/>
  <c r="J30" i="3" s="1"/>
  <c r="J28" i="3"/>
  <c r="J22" i="3"/>
  <c r="F39" i="2"/>
  <c r="D13" i="1" s="1"/>
  <c r="H26" i="2"/>
  <c r="J26" i="2" s="1"/>
  <c r="H27" i="2" s="1"/>
  <c r="J27" i="2" s="1"/>
  <c r="R27" i="2" s="1"/>
  <c r="G29" i="1"/>
  <c r="I29" i="1" s="1"/>
  <c r="I11" i="1"/>
  <c r="L141" i="5"/>
  <c r="K51" i="5"/>
  <c r="I52" i="5" s="1"/>
  <c r="L52" i="5" s="1"/>
  <c r="L51" i="5"/>
  <c r="N128" i="5"/>
  <c r="P128" i="5" s="1"/>
  <c r="R128" i="5" s="1"/>
  <c r="T128" i="5" s="1"/>
  <c r="I128" i="5"/>
  <c r="L128" i="5" s="1"/>
  <c r="K130" i="5"/>
  <c r="I131" i="5" s="1"/>
  <c r="L130" i="5"/>
  <c r="N183" i="5"/>
  <c r="P183" i="5" s="1"/>
  <c r="R183" i="5" s="1"/>
  <c r="T183" i="5" s="1"/>
  <c r="I38" i="5"/>
  <c r="N38" i="5"/>
  <c r="P38" i="5" s="1"/>
  <c r="S38" i="5" s="1"/>
  <c r="N40" i="5"/>
  <c r="P40" i="5" s="1"/>
  <c r="S40" i="5" s="1"/>
  <c r="I40" i="5"/>
  <c r="G44" i="5"/>
  <c r="N36" i="5"/>
  <c r="P36" i="5" s="1"/>
  <c r="S36" i="5" s="1"/>
  <c r="I36" i="5"/>
  <c r="I42" i="5"/>
  <c r="N42" i="5"/>
  <c r="P42" i="5" s="1"/>
  <c r="R42" i="5" s="1"/>
  <c r="T42" i="5" s="1"/>
  <c r="N49" i="5"/>
  <c r="P49" i="5" s="1"/>
  <c r="S49" i="5" s="1"/>
  <c r="N59" i="5"/>
  <c r="P59" i="5" s="1"/>
  <c r="S59" i="5" s="1"/>
  <c r="I59" i="5"/>
  <c r="N88" i="5"/>
  <c r="G157" i="5"/>
  <c r="G205" i="5" s="1"/>
  <c r="K136" i="5"/>
  <c r="I137" i="5" s="1"/>
  <c r="L136" i="5"/>
  <c r="N136" i="5"/>
  <c r="P136" i="5" s="1"/>
  <c r="N154" i="5"/>
  <c r="P154" i="5" s="1"/>
  <c r="I154" i="5"/>
  <c r="I175" i="5"/>
  <c r="O175" i="5"/>
  <c r="N32" i="5"/>
  <c r="P32" i="5" s="1"/>
  <c r="K71" i="5"/>
  <c r="I72" i="5" s="1"/>
  <c r="L72" i="5" s="1"/>
  <c r="L71" i="5"/>
  <c r="N53" i="5"/>
  <c r="P53" i="5" s="1"/>
  <c r="R53" i="5" s="1"/>
  <c r="T53" i="5" s="1"/>
  <c r="I53" i="5"/>
  <c r="K77" i="5"/>
  <c r="I78" i="5" s="1"/>
  <c r="K78" i="5" s="1"/>
  <c r="L77" i="5"/>
  <c r="G156" i="5"/>
  <c r="N90" i="5"/>
  <c r="P90" i="5" s="1"/>
  <c r="I90" i="5"/>
  <c r="K90" i="5" s="1"/>
  <c r="I91" i="5" s="1"/>
  <c r="I126" i="5"/>
  <c r="K126" i="5" s="1"/>
  <c r="I127" i="5" s="1"/>
  <c r="K127" i="5" s="1"/>
  <c r="N126" i="5"/>
  <c r="P126" i="5" s="1"/>
  <c r="R126" i="5" s="1"/>
  <c r="T126" i="5" s="1"/>
  <c r="N94" i="5"/>
  <c r="P94" i="5" s="1"/>
  <c r="I94" i="5"/>
  <c r="K94" i="5" s="1"/>
  <c r="I95" i="5" s="1"/>
  <c r="K95" i="5" s="1"/>
  <c r="N116" i="5"/>
  <c r="P116" i="5" s="1"/>
  <c r="I116" i="5"/>
  <c r="K116" i="5" s="1"/>
  <c r="I117" i="5" s="1"/>
  <c r="K117" i="5" s="1"/>
  <c r="N179" i="5"/>
  <c r="P179" i="5" s="1"/>
  <c r="I161" i="5"/>
  <c r="N161" i="5"/>
  <c r="G195" i="5"/>
  <c r="G206" i="5" s="1"/>
  <c r="K189" i="5"/>
  <c r="I190" i="5" s="1"/>
  <c r="L189" i="5"/>
  <c r="I185" i="5"/>
  <c r="N185" i="5"/>
  <c r="P185" i="5" s="1"/>
  <c r="L181" i="5"/>
  <c r="K181" i="5"/>
  <c r="I182" i="5" s="1"/>
  <c r="N181" i="5"/>
  <c r="P181" i="5" s="1"/>
  <c r="I148" i="5"/>
  <c r="O148" i="5"/>
  <c r="N104" i="5"/>
  <c r="P104" i="5" s="1"/>
  <c r="I104" i="5"/>
  <c r="L169" i="5"/>
  <c r="K79" i="5"/>
  <c r="I80" i="5" s="1"/>
  <c r="K80" i="5" s="1"/>
  <c r="K118" i="5"/>
  <c r="I119" i="5" s="1"/>
  <c r="E208" i="5"/>
  <c r="L65" i="5"/>
  <c r="L61" i="5"/>
  <c r="L69" i="5"/>
  <c r="N20" i="5"/>
  <c r="K106" i="5"/>
  <c r="I107" i="5" s="1"/>
  <c r="L106" i="5"/>
  <c r="K183" i="5"/>
  <c r="I184" i="5" s="1"/>
  <c r="L183" i="5"/>
  <c r="I55" i="5"/>
  <c r="N55" i="5"/>
  <c r="N152" i="5"/>
  <c r="P152" i="5" s="1"/>
  <c r="I152" i="5"/>
  <c r="I92" i="5"/>
  <c r="N92" i="5"/>
  <c r="P92" i="5" s="1"/>
  <c r="N165" i="5"/>
  <c r="P165" i="5" s="1"/>
  <c r="R165" i="5" s="1"/>
  <c r="G196" i="5"/>
  <c r="G207" i="5" s="1"/>
  <c r="O55" i="5"/>
  <c r="O83" i="5" s="1"/>
  <c r="L193" i="5"/>
  <c r="K167" i="5"/>
  <c r="I168" i="5" s="1"/>
  <c r="K34" i="5"/>
  <c r="I35" i="5" s="1"/>
  <c r="K30" i="5"/>
  <c r="I31" i="5" s="1"/>
  <c r="K31" i="5" s="1"/>
  <c r="N134" i="5"/>
  <c r="P134" i="5" s="1"/>
  <c r="K98" i="5"/>
  <c r="I99" i="5" s="1"/>
  <c r="H8" i="5"/>
  <c r="I74" i="5"/>
  <c r="K74" i="5" s="1"/>
  <c r="I191" i="5"/>
  <c r="Q195" i="5"/>
  <c r="N75" i="5"/>
  <c r="P75" i="5" s="1"/>
  <c r="P79" i="5"/>
  <c r="R79" i="5" s="1"/>
  <c r="T79" i="5" s="1"/>
  <c r="I20" i="5"/>
  <c r="N169" i="5"/>
  <c r="P169" i="5" s="1"/>
  <c r="K171" i="5"/>
  <c r="I172" i="5" s="1"/>
  <c r="N30" i="5"/>
  <c r="P30" i="5" s="1"/>
  <c r="R30" i="5" s="1"/>
  <c r="T30" i="5" s="1"/>
  <c r="J8" i="5"/>
  <c r="Q83" i="5"/>
  <c r="J9" i="5"/>
  <c r="Q44" i="5"/>
  <c r="J6" i="5"/>
  <c r="J208" i="5"/>
  <c r="G8" i="1" s="1"/>
  <c r="Q156" i="5"/>
  <c r="S83" i="4"/>
  <c r="L126" i="4"/>
  <c r="Q271" i="4"/>
  <c r="T271" i="4" s="1"/>
  <c r="J280" i="4"/>
  <c r="K280" i="4" s="1"/>
  <c r="K266" i="4"/>
  <c r="L278" i="4"/>
  <c r="L84" i="4"/>
  <c r="K84" i="4"/>
  <c r="K276" i="4"/>
  <c r="I277" i="4" s="1"/>
  <c r="K277" i="4" s="1"/>
  <c r="S51" i="4"/>
  <c r="J18" i="3"/>
  <c r="J10" i="3"/>
  <c r="I18" i="3"/>
  <c r="G19" i="3" s="1"/>
  <c r="I19" i="3" s="1"/>
  <c r="I28" i="3"/>
  <c r="G29" i="3" s="1"/>
  <c r="I29" i="3" s="1"/>
  <c r="R26" i="3"/>
  <c r="I30" i="3"/>
  <c r="G31" i="3" s="1"/>
  <c r="I31" i="3" s="1"/>
  <c r="O30" i="3"/>
  <c r="O32" i="3"/>
  <c r="R32" i="3" s="1"/>
  <c r="Q28" i="3"/>
  <c r="R14" i="3"/>
  <c r="P14" i="3"/>
  <c r="Q14" i="3"/>
  <c r="I22" i="3"/>
  <c r="G23" i="3" s="1"/>
  <c r="I23" i="3" s="1"/>
  <c r="O22" i="3"/>
  <c r="Q22" i="3" s="1"/>
  <c r="H36" i="3"/>
  <c r="I12" i="3"/>
  <c r="G13" i="3" s="1"/>
  <c r="J13" i="3" s="1"/>
  <c r="R13" i="3" s="1"/>
  <c r="R18" i="3"/>
  <c r="I14" i="3"/>
  <c r="G15" i="3" s="1"/>
  <c r="I15" i="3" s="1"/>
  <c r="P6" i="3"/>
  <c r="R6" i="3"/>
  <c r="Q6" i="3"/>
  <c r="Q12" i="3"/>
  <c r="R12" i="3"/>
  <c r="R20" i="3"/>
  <c r="Q20" i="3"/>
  <c r="P20" i="3"/>
  <c r="Q10" i="3"/>
  <c r="P10" i="3"/>
  <c r="R10" i="3"/>
  <c r="J20" i="3"/>
  <c r="P8" i="3"/>
  <c r="Q18" i="3"/>
  <c r="J12" i="3"/>
  <c r="R8" i="3"/>
  <c r="I10" i="3"/>
  <c r="G11" i="3" s="1"/>
  <c r="I20" i="3"/>
  <c r="G21" i="3" s="1"/>
  <c r="J32" i="3"/>
  <c r="P28" i="3"/>
  <c r="J6" i="3"/>
  <c r="I6" i="3"/>
  <c r="G7" i="3" s="1"/>
  <c r="I37" i="2"/>
  <c r="E95" i="2" s="1"/>
  <c r="H22" i="12"/>
  <c r="L7" i="12"/>
  <c r="H21" i="12"/>
  <c r="I16" i="12"/>
  <c r="H24" i="12"/>
  <c r="E16" i="12"/>
  <c r="H27" i="12"/>
  <c r="K25" i="12"/>
  <c r="G23" i="12"/>
  <c r="H23" i="12" s="1"/>
  <c r="G12" i="12"/>
  <c r="H12" i="12" s="1"/>
  <c r="H15" i="12"/>
  <c r="H26" i="12"/>
  <c r="G6" i="12"/>
  <c r="G16" i="2" s="1"/>
  <c r="F6" i="12"/>
  <c r="M6" i="12" s="1"/>
  <c r="G11" i="12"/>
  <c r="H11" i="12" s="1"/>
  <c r="G9" i="12"/>
  <c r="J4" i="12"/>
  <c r="M4" i="12" s="1"/>
  <c r="K7" i="12"/>
  <c r="K8" i="12"/>
  <c r="I16" i="1"/>
  <c r="J20" i="2"/>
  <c r="H21" i="2" s="1"/>
  <c r="E97" i="2" l="1"/>
  <c r="F94" i="2"/>
  <c r="F97" i="2" s="1"/>
  <c r="H288" i="4"/>
  <c r="I271" i="4"/>
  <c r="L279" i="4"/>
  <c r="N28" i="2"/>
  <c r="P28" i="2" s="1"/>
  <c r="K170" i="5"/>
  <c r="H30" i="1"/>
  <c r="G96" i="2"/>
  <c r="G36" i="2"/>
  <c r="H36" i="2" s="1"/>
  <c r="G39" i="2"/>
  <c r="R62" i="2"/>
  <c r="Q20" i="2"/>
  <c r="Q30" i="2"/>
  <c r="R12" i="2"/>
  <c r="K57" i="2"/>
  <c r="R57" i="2" s="1"/>
  <c r="L36" i="2"/>
  <c r="Q60" i="2"/>
  <c r="J59" i="2"/>
  <c r="R59" i="2" s="1"/>
  <c r="R60" i="2"/>
  <c r="R30" i="2"/>
  <c r="P32" i="2"/>
  <c r="R22" i="2"/>
  <c r="J61" i="2"/>
  <c r="R61" i="2" s="1"/>
  <c r="R58" i="2"/>
  <c r="R26" i="2"/>
  <c r="R24" i="2"/>
  <c r="Q18" i="2"/>
  <c r="K15" i="2"/>
  <c r="R15" i="2" s="1"/>
  <c r="P18" i="2"/>
  <c r="I156" i="5"/>
  <c r="K194" i="5"/>
  <c r="R177" i="5"/>
  <c r="T177" i="5" s="1"/>
  <c r="P132" i="5"/>
  <c r="R132" i="5" s="1"/>
  <c r="T132" i="5" s="1"/>
  <c r="J19" i="2"/>
  <c r="R19" i="2" s="1"/>
  <c r="R271" i="4"/>
  <c r="J8" i="12"/>
  <c r="M8" i="12" s="1"/>
  <c r="F28" i="12"/>
  <c r="R20" i="2"/>
  <c r="L25" i="5"/>
  <c r="K25" i="5"/>
  <c r="K49" i="5"/>
  <c r="I83" i="5"/>
  <c r="L49" i="5"/>
  <c r="J62" i="2"/>
  <c r="H63" i="2" s="1"/>
  <c r="J63" i="2" s="1"/>
  <c r="R63" i="2" s="1"/>
  <c r="K62" i="2"/>
  <c r="K12" i="2"/>
  <c r="J12" i="2"/>
  <c r="H13" i="2" s="1"/>
  <c r="K31" i="2"/>
  <c r="J31" i="2"/>
  <c r="Q12" i="2"/>
  <c r="P12" i="2"/>
  <c r="E28" i="12"/>
  <c r="P20" i="2"/>
  <c r="J33" i="2"/>
  <c r="K33" i="2"/>
  <c r="P14" i="2"/>
  <c r="M9" i="2"/>
  <c r="J35" i="2"/>
  <c r="G4" i="12"/>
  <c r="J25" i="3"/>
  <c r="R25" i="3" s="1"/>
  <c r="L13" i="5"/>
  <c r="T13" i="5" s="1"/>
  <c r="I13" i="3"/>
  <c r="I17" i="3"/>
  <c r="L75" i="5"/>
  <c r="L29" i="5"/>
  <c r="K100" i="5"/>
  <c r="I101" i="5" s="1"/>
  <c r="K101" i="5" s="1"/>
  <c r="L62" i="5"/>
  <c r="L109" i="5"/>
  <c r="K146" i="5"/>
  <c r="I147" i="5" s="1"/>
  <c r="K147" i="5" s="1"/>
  <c r="P12" i="5"/>
  <c r="S12" i="5" s="1"/>
  <c r="I123" i="5"/>
  <c r="R173" i="5"/>
  <c r="T173" i="5" s="1"/>
  <c r="P18" i="5"/>
  <c r="R18" i="5" s="1"/>
  <c r="K179" i="5"/>
  <c r="I180" i="5" s="1"/>
  <c r="L180" i="5" s="1"/>
  <c r="T14" i="5"/>
  <c r="R120" i="5"/>
  <c r="T120" i="5" s="1"/>
  <c r="K66" i="5"/>
  <c r="K134" i="5"/>
  <c r="I135" i="5" s="1"/>
  <c r="K135" i="5" s="1"/>
  <c r="R138" i="5"/>
  <c r="T138" i="5" s="1"/>
  <c r="L28" i="5"/>
  <c r="R122" i="5"/>
  <c r="T122" i="5" s="1"/>
  <c r="L133" i="5"/>
  <c r="K70" i="5"/>
  <c r="S79" i="5"/>
  <c r="K13" i="5"/>
  <c r="R191" i="5"/>
  <c r="T191" i="5" s="1"/>
  <c r="L103" i="5"/>
  <c r="R24" i="5"/>
  <c r="T24" i="5" s="1"/>
  <c r="R150" i="5"/>
  <c r="T150" i="5" s="1"/>
  <c r="S150" i="5"/>
  <c r="L178" i="5"/>
  <c r="L74" i="5"/>
  <c r="R57" i="5"/>
  <c r="T57" i="5" s="1"/>
  <c r="S171" i="5"/>
  <c r="K115" i="5"/>
  <c r="R187" i="5"/>
  <c r="T187" i="5" s="1"/>
  <c r="L163" i="5"/>
  <c r="K23" i="5"/>
  <c r="R63" i="5"/>
  <c r="T63" i="5" s="1"/>
  <c r="S28" i="5"/>
  <c r="S118" i="5"/>
  <c r="L132" i="5"/>
  <c r="R144" i="5"/>
  <c r="T144" i="5" s="1"/>
  <c r="S102" i="5"/>
  <c r="L111" i="5"/>
  <c r="L187" i="5"/>
  <c r="K165" i="5"/>
  <c r="I166" i="5" s="1"/>
  <c r="L166" i="5" s="1"/>
  <c r="R110" i="5"/>
  <c r="T110" i="5" s="1"/>
  <c r="S110" i="5"/>
  <c r="K82" i="5"/>
  <c r="S140" i="5"/>
  <c r="S98" i="5"/>
  <c r="S106" i="5"/>
  <c r="P175" i="5"/>
  <c r="R175" i="5" s="1"/>
  <c r="T175" i="5" s="1"/>
  <c r="K19" i="5"/>
  <c r="S165" i="5"/>
  <c r="R71" i="5"/>
  <c r="T71" i="5" s="1"/>
  <c r="P148" i="5"/>
  <c r="R148" i="5" s="1"/>
  <c r="T148" i="5" s="1"/>
  <c r="R96" i="5"/>
  <c r="T96" i="5" s="1"/>
  <c r="R38" i="5"/>
  <c r="T38" i="5" s="1"/>
  <c r="S61" i="5"/>
  <c r="S51" i="5"/>
  <c r="S112" i="5"/>
  <c r="K68" i="5"/>
  <c r="L96" i="5"/>
  <c r="S142" i="5"/>
  <c r="L143" i="5"/>
  <c r="K27" i="5"/>
  <c r="S53" i="5"/>
  <c r="R69" i="5"/>
  <c r="T69" i="5" s="1"/>
  <c r="S22" i="5"/>
  <c r="S73" i="5"/>
  <c r="L15" i="5"/>
  <c r="T15" i="5" s="1"/>
  <c r="K72" i="5"/>
  <c r="R36" i="5"/>
  <c r="T36" i="5" s="1"/>
  <c r="S65" i="5"/>
  <c r="S146" i="5"/>
  <c r="S130" i="5"/>
  <c r="P20" i="5"/>
  <c r="R20" i="5" s="1"/>
  <c r="T20" i="5" s="1"/>
  <c r="R124" i="5"/>
  <c r="T124" i="5" s="1"/>
  <c r="R163" i="5"/>
  <c r="T163" i="5" s="1"/>
  <c r="R100" i="5"/>
  <c r="T100" i="5" s="1"/>
  <c r="L18" i="5"/>
  <c r="K173" i="5"/>
  <c r="I174" i="5" s="1"/>
  <c r="S193" i="5"/>
  <c r="S167" i="5"/>
  <c r="R167" i="5"/>
  <c r="T167" i="5" s="1"/>
  <c r="S77" i="5"/>
  <c r="R77" i="5"/>
  <c r="T77" i="5" s="1"/>
  <c r="R81" i="5"/>
  <c r="T81" i="5" s="1"/>
  <c r="S81" i="5"/>
  <c r="K63" i="5"/>
  <c r="I64" i="5" s="1"/>
  <c r="L63" i="5"/>
  <c r="L150" i="5"/>
  <c r="K150" i="5"/>
  <c r="I151" i="5" s="1"/>
  <c r="L145" i="5"/>
  <c r="P16" i="5"/>
  <c r="R16" i="5" s="1"/>
  <c r="N44" i="5"/>
  <c r="P44" i="5" s="1"/>
  <c r="S44" i="5" s="1"/>
  <c r="L124" i="5"/>
  <c r="K57" i="5"/>
  <c r="I58" i="5" s="1"/>
  <c r="K58" i="5" s="1"/>
  <c r="R189" i="5"/>
  <c r="T189" i="5" s="1"/>
  <c r="S14" i="5"/>
  <c r="S108" i="5"/>
  <c r="K139" i="5"/>
  <c r="L139" i="5"/>
  <c r="L125" i="5"/>
  <c r="K125" i="5"/>
  <c r="S183" i="5"/>
  <c r="R40" i="5"/>
  <c r="T40" i="5" s="1"/>
  <c r="S34" i="5"/>
  <c r="L31" i="5"/>
  <c r="R59" i="5"/>
  <c r="T59" i="5" s="1"/>
  <c r="K52" i="5"/>
  <c r="R67" i="5"/>
  <c r="T67" i="5" s="1"/>
  <c r="J27" i="3"/>
  <c r="R27" i="3" s="1"/>
  <c r="J35" i="3"/>
  <c r="R35" i="3" s="1"/>
  <c r="R16" i="3"/>
  <c r="Q16" i="3"/>
  <c r="P24" i="3"/>
  <c r="R24" i="3"/>
  <c r="R56" i="2"/>
  <c r="P56" i="2"/>
  <c r="Q56" i="2"/>
  <c r="J25" i="12"/>
  <c r="G25" i="12" s="1"/>
  <c r="H25" i="12" s="1"/>
  <c r="N25" i="12" s="1"/>
  <c r="K28" i="12"/>
  <c r="P58" i="2"/>
  <c r="Q58" i="2"/>
  <c r="P271" i="4"/>
  <c r="S271" i="4" s="1"/>
  <c r="O273" i="4"/>
  <c r="G9" i="5"/>
  <c r="Q14" i="2"/>
  <c r="R14" i="2"/>
  <c r="G13" i="1"/>
  <c r="G15" i="1" s="1"/>
  <c r="G94" i="2" s="1"/>
  <c r="J31" i="3"/>
  <c r="R31" i="3" s="1"/>
  <c r="N26" i="3"/>
  <c r="L36" i="3"/>
  <c r="I33" i="3"/>
  <c r="I9" i="3"/>
  <c r="J36" i="3"/>
  <c r="P30" i="3"/>
  <c r="G30" i="1"/>
  <c r="I30" i="1" s="1"/>
  <c r="L89" i="5"/>
  <c r="K89" i="5"/>
  <c r="I44" i="5"/>
  <c r="L44" i="5" s="1"/>
  <c r="K20" i="5"/>
  <c r="L20" i="5"/>
  <c r="K152" i="5"/>
  <c r="I153" i="5" s="1"/>
  <c r="L152" i="5"/>
  <c r="H204" i="5"/>
  <c r="H9" i="5"/>
  <c r="H159" i="5"/>
  <c r="K148" i="5"/>
  <c r="I149" i="5" s="1"/>
  <c r="L148" i="5"/>
  <c r="G204" i="5"/>
  <c r="L154" i="5"/>
  <c r="K154" i="5"/>
  <c r="I155" i="5" s="1"/>
  <c r="K59" i="5"/>
  <c r="I60" i="5" s="1"/>
  <c r="L59" i="5"/>
  <c r="G200" i="5"/>
  <c r="G6" i="5"/>
  <c r="K184" i="5"/>
  <c r="L184" i="5"/>
  <c r="L172" i="5"/>
  <c r="K172" i="5"/>
  <c r="R169" i="5"/>
  <c r="T169" i="5" s="1"/>
  <c r="S169" i="5"/>
  <c r="K35" i="5"/>
  <c r="L35" i="5"/>
  <c r="K92" i="5"/>
  <c r="I93" i="5" s="1"/>
  <c r="L92" i="5"/>
  <c r="R114" i="5"/>
  <c r="T114" i="5" s="1"/>
  <c r="S114" i="5"/>
  <c r="K91" i="5"/>
  <c r="L91" i="5"/>
  <c r="L182" i="5"/>
  <c r="K182" i="5"/>
  <c r="R185" i="5"/>
  <c r="T185" i="5" s="1"/>
  <c r="S185" i="5"/>
  <c r="R179" i="5"/>
  <c r="T179" i="5" s="1"/>
  <c r="S179" i="5"/>
  <c r="S94" i="5"/>
  <c r="R94" i="5"/>
  <c r="T94" i="5" s="1"/>
  <c r="R90" i="5"/>
  <c r="T90" i="5" s="1"/>
  <c r="S90" i="5"/>
  <c r="L76" i="5"/>
  <c r="K76" i="5"/>
  <c r="R136" i="5"/>
  <c r="T136" i="5" s="1"/>
  <c r="S136" i="5"/>
  <c r="P88" i="5"/>
  <c r="N156" i="5"/>
  <c r="K128" i="5"/>
  <c r="I129" i="5" s="1"/>
  <c r="R75" i="5"/>
  <c r="T75" i="5" s="1"/>
  <c r="S75" i="5"/>
  <c r="H6" i="5"/>
  <c r="H202" i="5"/>
  <c r="R92" i="5"/>
  <c r="T92" i="5" s="1"/>
  <c r="S92" i="5"/>
  <c r="K107" i="5"/>
  <c r="L107" i="5"/>
  <c r="R104" i="5"/>
  <c r="T104" i="5" s="1"/>
  <c r="S104" i="5"/>
  <c r="K190" i="5"/>
  <c r="L190" i="5"/>
  <c r="K137" i="5"/>
  <c r="L137" i="5"/>
  <c r="L99" i="5"/>
  <c r="K99" i="5"/>
  <c r="K168" i="5"/>
  <c r="L168" i="5"/>
  <c r="T165" i="5"/>
  <c r="S152" i="5"/>
  <c r="R152" i="5"/>
  <c r="T152" i="5" s="1"/>
  <c r="K97" i="5"/>
  <c r="L97" i="5"/>
  <c r="L119" i="5"/>
  <c r="K119" i="5"/>
  <c r="L104" i="5"/>
  <c r="K104" i="5"/>
  <c r="I105" i="5" s="1"/>
  <c r="L161" i="5"/>
  <c r="K161" i="5"/>
  <c r="I195" i="5"/>
  <c r="L195" i="5" s="1"/>
  <c r="R116" i="5"/>
  <c r="T116" i="5" s="1"/>
  <c r="S116" i="5"/>
  <c r="L53" i="5"/>
  <c r="K53" i="5"/>
  <c r="I54" i="5" s="1"/>
  <c r="L33" i="5"/>
  <c r="K33" i="5"/>
  <c r="K188" i="5"/>
  <c r="L188" i="5"/>
  <c r="K175" i="5"/>
  <c r="I176" i="5" s="1"/>
  <c r="L175" i="5"/>
  <c r="R154" i="5"/>
  <c r="T154" i="5" s="1"/>
  <c r="S154" i="5"/>
  <c r="K42" i="5"/>
  <c r="I43" i="5" s="1"/>
  <c r="L42" i="5"/>
  <c r="L40" i="5"/>
  <c r="K40" i="5"/>
  <c r="I41" i="5" s="1"/>
  <c r="O156" i="5"/>
  <c r="L78" i="5"/>
  <c r="N83" i="5"/>
  <c r="P83" i="5" s="1"/>
  <c r="S83" i="5" s="1"/>
  <c r="L80" i="5"/>
  <c r="S30" i="5"/>
  <c r="G8" i="5"/>
  <c r="K17" i="5"/>
  <c r="R49" i="5"/>
  <c r="T49" i="5" s="1"/>
  <c r="R26" i="5"/>
  <c r="T26" i="5" s="1"/>
  <c r="S128" i="5"/>
  <c r="K191" i="5"/>
  <c r="I192" i="5" s="1"/>
  <c r="L191" i="5"/>
  <c r="R181" i="5"/>
  <c r="T181" i="5" s="1"/>
  <c r="S181" i="5"/>
  <c r="K185" i="5"/>
  <c r="I186" i="5" s="1"/>
  <c r="L185" i="5"/>
  <c r="N195" i="5"/>
  <c r="P161" i="5"/>
  <c r="K38" i="5"/>
  <c r="I39" i="5" s="1"/>
  <c r="L38" i="5"/>
  <c r="R134" i="5"/>
  <c r="T134" i="5" s="1"/>
  <c r="S134" i="5"/>
  <c r="K55" i="5"/>
  <c r="L55" i="5"/>
  <c r="R32" i="5"/>
  <c r="T32" i="5" s="1"/>
  <c r="S32" i="5"/>
  <c r="L164" i="5"/>
  <c r="K164" i="5"/>
  <c r="L36" i="5"/>
  <c r="K36" i="5"/>
  <c r="I37" i="5" s="1"/>
  <c r="L131" i="5"/>
  <c r="K131" i="5"/>
  <c r="I206" i="5"/>
  <c r="L83" i="5"/>
  <c r="S42" i="5"/>
  <c r="P55" i="5"/>
  <c r="O195" i="5"/>
  <c r="G9" i="1"/>
  <c r="I9" i="1" s="1"/>
  <c r="L277" i="4"/>
  <c r="L280" i="4"/>
  <c r="Q273" i="4"/>
  <c r="T273" i="4" s="1"/>
  <c r="Q32" i="3"/>
  <c r="J19" i="3"/>
  <c r="R19" i="3" s="1"/>
  <c r="J29" i="3"/>
  <c r="R29" i="3" s="1"/>
  <c r="P32" i="3"/>
  <c r="R30" i="3"/>
  <c r="Q30" i="3"/>
  <c r="J23" i="3"/>
  <c r="R23" i="3" s="1"/>
  <c r="R22" i="3"/>
  <c r="J15" i="3"/>
  <c r="R15" i="3" s="1"/>
  <c r="P22" i="3"/>
  <c r="O36" i="3"/>
  <c r="G7" i="1" s="1"/>
  <c r="I36" i="3"/>
  <c r="J7" i="3"/>
  <c r="R7" i="3" s="1"/>
  <c r="I7" i="3"/>
  <c r="J11" i="3"/>
  <c r="R11" i="3" s="1"/>
  <c r="I11" i="3"/>
  <c r="J21" i="3"/>
  <c r="R21" i="3" s="1"/>
  <c r="I21" i="3"/>
  <c r="O36" i="2"/>
  <c r="L16" i="12"/>
  <c r="G64" i="2"/>
  <c r="J7" i="12"/>
  <c r="M54" i="2"/>
  <c r="H28" i="12"/>
  <c r="H9" i="12"/>
  <c r="H6" i="12"/>
  <c r="F16" i="12"/>
  <c r="M16" i="2"/>
  <c r="R16" i="2" s="1"/>
  <c r="H16" i="2"/>
  <c r="E14" i="1"/>
  <c r="K16" i="12"/>
  <c r="K21" i="2"/>
  <c r="J21" i="2"/>
  <c r="L271" i="4" l="1"/>
  <c r="K271" i="4"/>
  <c r="I272" i="4" s="1"/>
  <c r="M36" i="2"/>
  <c r="N36" i="2" s="1"/>
  <c r="P36" i="2" s="1"/>
  <c r="R33" i="2"/>
  <c r="R31" i="2"/>
  <c r="S132" i="5"/>
  <c r="G28" i="12"/>
  <c r="J28" i="12"/>
  <c r="H208" i="5"/>
  <c r="H210" i="5" s="1"/>
  <c r="K83" i="5"/>
  <c r="I50" i="5"/>
  <c r="K13" i="2"/>
  <c r="J13" i="2"/>
  <c r="R35" i="2"/>
  <c r="G7" i="12"/>
  <c r="H7" i="12" s="1"/>
  <c r="M7" i="12"/>
  <c r="K123" i="5"/>
  <c r="L147" i="5"/>
  <c r="L101" i="5"/>
  <c r="R12" i="5"/>
  <c r="S20" i="5"/>
  <c r="K180" i="5"/>
  <c r="S18" i="5"/>
  <c r="L135" i="5"/>
  <c r="K166" i="5"/>
  <c r="S148" i="5"/>
  <c r="P195" i="5"/>
  <c r="S195" i="5" s="1"/>
  <c r="S175" i="5"/>
  <c r="R44" i="5"/>
  <c r="T44" i="5" s="1"/>
  <c r="L174" i="5"/>
  <c r="K174" i="5"/>
  <c r="L64" i="5"/>
  <c r="K64" i="5"/>
  <c r="K151" i="5"/>
  <c r="L151" i="5"/>
  <c r="I204" i="5"/>
  <c r="K204" i="5" s="1"/>
  <c r="I205" i="5" s="1"/>
  <c r="E8" i="1"/>
  <c r="S16" i="5"/>
  <c r="L58" i="5"/>
  <c r="R83" i="5"/>
  <c r="T83" i="5" s="1"/>
  <c r="I9" i="5"/>
  <c r="K9" i="5" s="1"/>
  <c r="R36" i="2"/>
  <c r="R21" i="2"/>
  <c r="P26" i="3"/>
  <c r="Q26" i="3"/>
  <c r="N36" i="3"/>
  <c r="P36" i="3" s="1"/>
  <c r="D7" i="1"/>
  <c r="R36" i="3"/>
  <c r="M64" i="2"/>
  <c r="L60" i="5"/>
  <c r="K60" i="5"/>
  <c r="K206" i="5"/>
  <c r="I207" i="5" s="1"/>
  <c r="L206" i="5"/>
  <c r="K195" i="5"/>
  <c r="I162" i="5"/>
  <c r="K156" i="5"/>
  <c r="I157" i="5" s="1"/>
  <c r="L156" i="5"/>
  <c r="K153" i="5"/>
  <c r="L153" i="5"/>
  <c r="L37" i="5"/>
  <c r="K37" i="5"/>
  <c r="S161" i="5"/>
  <c r="R161" i="5"/>
  <c r="T161" i="5" s="1"/>
  <c r="K41" i="5"/>
  <c r="L41" i="5"/>
  <c r="L54" i="5"/>
  <c r="K54" i="5"/>
  <c r="I200" i="5"/>
  <c r="G208" i="5"/>
  <c r="L149" i="5"/>
  <c r="K149" i="5"/>
  <c r="P156" i="5"/>
  <c r="R88" i="5"/>
  <c r="T88" i="5" s="1"/>
  <c r="S88" i="5"/>
  <c r="K93" i="5"/>
  <c r="L93" i="5"/>
  <c r="R55" i="5"/>
  <c r="T55" i="5" s="1"/>
  <c r="S55" i="5"/>
  <c r="I56" i="5"/>
  <c r="K39" i="5"/>
  <c r="L39" i="5"/>
  <c r="L186" i="5"/>
  <c r="K186" i="5"/>
  <c r="K192" i="5"/>
  <c r="L192" i="5"/>
  <c r="K43" i="5"/>
  <c r="L43" i="5"/>
  <c r="L176" i="5"/>
  <c r="K176" i="5"/>
  <c r="L105" i="5"/>
  <c r="K105" i="5"/>
  <c r="K129" i="5"/>
  <c r="L129" i="5"/>
  <c r="K155" i="5"/>
  <c r="L155" i="5"/>
  <c r="I21" i="5"/>
  <c r="I45" i="5" s="1"/>
  <c r="L45" i="5" s="1"/>
  <c r="K44" i="5"/>
  <c r="I202" i="5"/>
  <c r="R195" i="5"/>
  <c r="T195" i="5" s="1"/>
  <c r="I6" i="5"/>
  <c r="H9" i="1"/>
  <c r="G10" i="1"/>
  <c r="G12" i="1" s="1"/>
  <c r="J16" i="12"/>
  <c r="G8" i="12"/>
  <c r="H8" i="12" s="1"/>
  <c r="K36" i="2"/>
  <c r="H4" i="12"/>
  <c r="N16" i="2"/>
  <c r="E13" i="1"/>
  <c r="E15" i="1" s="1"/>
  <c r="H39" i="2"/>
  <c r="K39" i="2" s="1"/>
  <c r="K16" i="2"/>
  <c r="J16" i="2"/>
  <c r="H17" i="2" s="1"/>
  <c r="L272" i="4" l="1"/>
  <c r="K272" i="4"/>
  <c r="F13" i="1"/>
  <c r="I13" i="1" s="1"/>
  <c r="R13" i="2"/>
  <c r="L9" i="5"/>
  <c r="K50" i="5"/>
  <c r="I84" i="5"/>
  <c r="L84" i="5" s="1"/>
  <c r="L50" i="5"/>
  <c r="E10" i="1"/>
  <c r="L204" i="5"/>
  <c r="F7" i="1"/>
  <c r="G16" i="12"/>
  <c r="H16" i="12" s="1"/>
  <c r="Q36" i="2"/>
  <c r="Q36" i="3"/>
  <c r="J36" i="2"/>
  <c r="H37" i="2" s="1"/>
  <c r="R156" i="5"/>
  <c r="T156" i="5" s="1"/>
  <c r="S156" i="5"/>
  <c r="L200" i="5"/>
  <c r="K200" i="5"/>
  <c r="I201" i="5" s="1"/>
  <c r="K157" i="5"/>
  <c r="L157" i="5"/>
  <c r="K207" i="5"/>
  <c r="L207" i="5"/>
  <c r="L202" i="5"/>
  <c r="K202" i="5"/>
  <c r="I203" i="5" s="1"/>
  <c r="K56" i="5"/>
  <c r="L56" i="5"/>
  <c r="L205" i="5"/>
  <c r="K205" i="5"/>
  <c r="D8" i="1"/>
  <c r="D10" i="1" s="1"/>
  <c r="D12" i="1" s="1"/>
  <c r="I208" i="5"/>
  <c r="K6" i="5"/>
  <c r="I8" i="5" s="1"/>
  <c r="L6" i="5"/>
  <c r="K21" i="5"/>
  <c r="K45" i="5" s="1"/>
  <c r="L21" i="5"/>
  <c r="I196" i="5"/>
  <c r="L196" i="5" s="1"/>
  <c r="K162" i="5"/>
  <c r="K196" i="5" s="1"/>
  <c r="L162" i="5"/>
  <c r="G17" i="1"/>
  <c r="J39" i="2"/>
  <c r="Q16" i="2"/>
  <c r="P16" i="2"/>
  <c r="J17" i="2"/>
  <c r="K17" i="2"/>
  <c r="J37" i="2" l="1"/>
  <c r="K37" i="2"/>
  <c r="H13" i="1"/>
  <c r="E12" i="1"/>
  <c r="F12" i="1" s="1"/>
  <c r="E17" i="1"/>
  <c r="K84" i="5"/>
  <c r="H7" i="1"/>
  <c r="I7" i="1"/>
  <c r="R17" i="2"/>
  <c r="L8" i="5"/>
  <c r="K8" i="5"/>
  <c r="K203" i="5"/>
  <c r="L203" i="5"/>
  <c r="F8" i="1"/>
  <c r="K201" i="5"/>
  <c r="L201" i="5"/>
  <c r="L208" i="5"/>
  <c r="K208" i="5"/>
  <c r="F10" i="1" l="1"/>
  <c r="I8" i="1"/>
  <c r="H8" i="1"/>
  <c r="H10" i="1" l="1"/>
  <c r="I10" i="1"/>
  <c r="I12" i="1" l="1"/>
  <c r="H12" i="1"/>
  <c r="L52" i="2"/>
  <c r="R52" i="2" s="1"/>
  <c r="H52" i="2"/>
  <c r="J52" i="2" s="1"/>
  <c r="H53" i="2" s="1"/>
  <c r="L50" i="2"/>
  <c r="R50" i="2" s="1"/>
  <c r="L54" i="2"/>
  <c r="R54" i="2" s="1"/>
  <c r="F64" i="2"/>
  <c r="H64" i="2" s="1"/>
  <c r="H54" i="2"/>
  <c r="K54" i="2" s="1"/>
  <c r="F65" i="2"/>
  <c r="H50" i="2"/>
  <c r="K50" i="2" s="1"/>
  <c r="F67" i="2"/>
  <c r="H67" i="2" s="1"/>
  <c r="N50" i="2" l="1"/>
  <c r="P50" i="2" s="1"/>
  <c r="N54" i="2"/>
  <c r="P54" i="2" s="1"/>
  <c r="L64" i="2"/>
  <c r="N64" i="2" s="1"/>
  <c r="Q64" i="2" s="1"/>
  <c r="J64" i="2"/>
  <c r="H65" i="2" s="1"/>
  <c r="J65" i="2" s="1"/>
  <c r="K64" i="2"/>
  <c r="J54" i="2"/>
  <c r="H55" i="2" s="1"/>
  <c r="K55" i="2" s="1"/>
  <c r="P64" i="2"/>
  <c r="K67" i="2"/>
  <c r="J67" i="2"/>
  <c r="J53" i="2"/>
  <c r="K53" i="2"/>
  <c r="J50" i="2"/>
  <c r="H51" i="2" s="1"/>
  <c r="Q50" i="2"/>
  <c r="K52" i="2"/>
  <c r="D14" i="1"/>
  <c r="N52" i="2"/>
  <c r="K65" i="2" l="1"/>
  <c r="Q54" i="2"/>
  <c r="R64" i="2"/>
  <c r="J55" i="2"/>
  <c r="R55" i="2" s="1"/>
  <c r="J51" i="2"/>
  <c r="K51" i="2"/>
  <c r="R53" i="2"/>
  <c r="P52" i="2"/>
  <c r="Q52" i="2"/>
  <c r="D15" i="1"/>
  <c r="F14" i="1"/>
  <c r="R51" i="2" l="1"/>
  <c r="F15" i="1"/>
  <c r="D17" i="1"/>
  <c r="F17" i="1" s="1"/>
  <c r="H14" i="1"/>
  <c r="I14" i="1"/>
  <c r="H17" i="1" l="1"/>
  <c r="I17" i="1"/>
  <c r="I15" i="1"/>
  <c r="H15" i="1"/>
</calcChain>
</file>

<file path=xl/comments1.xml><?xml version="1.0" encoding="utf-8"?>
<comments xmlns="http://schemas.openxmlformats.org/spreadsheetml/2006/main">
  <authors>
    <author>Autor</author>
  </authors>
  <commentList>
    <comment ref="E28" authorId="0" shapeId="0">
      <text>
        <r>
          <rPr>
            <b/>
            <sz val="9"/>
            <color indexed="81"/>
            <rFont val="Tahoma"/>
            <family val="2"/>
          </rPr>
          <t>Rgarcia:</t>
        </r>
        <r>
          <rPr>
            <sz val="9"/>
            <color indexed="81"/>
            <rFont val="Tahoma"/>
            <family val="2"/>
          </rPr>
          <t xml:space="preserve">
Hay capturas en calidad de FA despues del cierre de naves inscritas en el RPI </t>
        </r>
      </text>
    </comment>
    <comment ref="E29" authorId="0" shapeId="0">
      <text>
        <r>
          <rPr>
            <b/>
            <sz val="9"/>
            <color indexed="81"/>
            <rFont val="Tahoma"/>
            <family val="2"/>
          </rPr>
          <t>Rgarcia:
No inscritas</t>
        </r>
      </text>
    </comment>
  </commentList>
</comments>
</file>

<file path=xl/comments2.xml><?xml version="1.0" encoding="utf-8"?>
<comments xmlns="http://schemas.openxmlformats.org/spreadsheetml/2006/main">
  <authors>
    <author>Autor</author>
  </authors>
  <commentList>
    <comment ref="G12" authorId="0" shapeId="0">
      <text>
        <r>
          <rPr>
            <b/>
            <sz val="9"/>
            <color indexed="81"/>
            <rFont val="Tahoma"/>
            <family val="2"/>
          </rPr>
          <t>Rgarcia:
Cesiones:</t>
        </r>
        <r>
          <rPr>
            <sz val="9"/>
            <color indexed="81"/>
            <rFont val="Tahoma"/>
            <family val="2"/>
          </rPr>
          <t xml:space="preserve">
446-2019 Cesión 27,254 ton desde XII Región EMB POLY EMB VICTOR ALEJANDRO-AREA PTO NATALES  a EMDEPES SA.
532-2019 Cesión 1402,741 t Merluza del sur de ORGANIZACIONES Región de Aysén a EMDEPES SA.
564-2019 Cesión 1363,311 t Merluza del sur desde XII Region-Embarcaciones Area Natales y Punta Arenas a EMDEPES SA.
---------------------------------------------------------------------------------------------------------------
674-2019 Cesión 167,674 t Merluza del sur de ORGANIZACIONES Región de Aysén a EMDEPES SA.
675-2019 Cesión 40,601 t Merluza del sur de ORGANIZACIONES Región de Aysén a EMDEPES SA.
687-2019 Cesión 5,222 t Merluza del sur de ORGANIZACIONES Región de Aysén a EMDEPES SA.
809-2019 Cesión 177,507  t Merluza del sur de ORGANIZACIONES Región de Aysén a EMDEPES SA.
810-2019 Cesión  27,254 t Merluza del sur desde XII Region-Embarcaciones Area Natales y Punta Arenas a EMDEPES SA.
---------------------------------------------------------------------------------------------------------------
1109/29-03-19 Cesión 13,627 ton Merluza del sur desde XII Region - Embarcacion DAMAR II a EMDEPES SA
1356/10-04-19  Cesión 248,690 t Merluza del sur Area Pto Montt A Región de Los Lagos a EMDEPES SA
R Ex 2143 Cesion de 13,627 ton de region Magallanes  a Emdepes  
R Ex 2144 Cesion de 11,58 ton de region Aysen  a Emdepes  
R Ex 2145 Cesion de 3,889 ton de region Aysen  a Emdepes  
</t>
        </r>
        <r>
          <rPr>
            <sz val="9"/>
            <color rgb="FFFF0000"/>
            <rFont val="Tahoma"/>
            <family val="2"/>
          </rPr>
          <t>OK</t>
        </r>
      </text>
    </comment>
    <comment ref="G14" authorId="0" shapeId="0">
      <text>
        <r>
          <rPr>
            <b/>
            <sz val="9"/>
            <color indexed="81"/>
            <rFont val="Tahoma"/>
            <family val="2"/>
          </rPr>
          <t xml:space="preserve">Rgarcia:
</t>
        </r>
        <r>
          <rPr>
            <sz val="9"/>
            <color indexed="81"/>
            <rFont val="Tahoma"/>
            <family val="2"/>
          </rPr>
          <t xml:space="preserve">
</t>
        </r>
        <r>
          <rPr>
            <b/>
            <sz val="9"/>
            <color indexed="81"/>
            <rFont val="Tahoma"/>
            <family val="2"/>
          </rPr>
          <t>Cesiones:</t>
        </r>
        <r>
          <rPr>
            <sz val="9"/>
            <color indexed="81"/>
            <rFont val="Tahoma"/>
            <family val="2"/>
          </rPr>
          <t xml:space="preserve">
392-2019 Cesión 305,556 ton de AREA CALBUCO B Región de Los Lagos a PESQ GRIMAR
396-2019 Cesión 106 ton de AREA PALENA Región de Los Lagos a PESQ GRIMAR
442-2019 Cesión 193,879 ton de ORGANIZACIONES Región de AISEN  a PESQ GRIMAR
1097/28-03-19 Cesión 18,446 ton de ORGANIZACIONES Región de AISEN  a PESQ GRIMAR SA
1464/17-04-19 Cesión 10,819  ton de ORG-XI a GRIMAR SA
R Ex 2034 Cesion de 6,935 ton de region Aysen  a Grimar
R Ex 6 Cesion de 10,294 ton de region Los Lagos, Area Calbuco D  a Grimar
-------------------------------------------------------------------------- ----------------
</t>
        </r>
        <r>
          <rPr>
            <b/>
            <sz val="9"/>
            <color indexed="81"/>
            <rFont val="Tahoma"/>
            <family val="2"/>
          </rPr>
          <t>Negocios:</t>
        </r>
        <r>
          <rPr>
            <sz val="9"/>
            <color indexed="81"/>
            <rFont val="Tahoma"/>
            <family val="2"/>
          </rPr>
          <t xml:space="preserve">
288/31-01-19 Compra venta  ENTRE PESQ. GRIMAR y DERIS S.A.(-137,012). GRIMAR SA queda con 0,1548659 (+737,007)
</t>
        </r>
      </text>
    </comment>
    <comment ref="I14" authorId="0" shapeId="0">
      <text>
        <r>
          <rPr>
            <b/>
            <sz val="9"/>
            <color indexed="81"/>
            <rFont val="Tahoma"/>
            <family val="2"/>
          </rPr>
          <t xml:space="preserve">Rgarcia:
</t>
        </r>
        <r>
          <rPr>
            <sz val="9"/>
            <color indexed="81"/>
            <rFont val="Tahoma"/>
            <family val="2"/>
          </rPr>
          <t>Se descuentan 46,125 Ton de desembarques 2019, correspondientes a capturas realizadas durante el 2018</t>
        </r>
      </text>
    </comment>
    <comment ref="G16" authorId="0" shapeId="0">
      <text>
        <r>
          <rPr>
            <b/>
            <sz val="9"/>
            <color indexed="81"/>
            <rFont val="Tahoma"/>
            <family val="2"/>
          </rPr>
          <t>Rgarcia:
Cesiones:
-----------------------------------------------------------
Negocios:</t>
        </r>
        <r>
          <rPr>
            <sz val="9"/>
            <color indexed="81"/>
            <rFont val="Tahoma"/>
            <family val="2"/>
          </rPr>
          <t xml:space="preserve">
745-19, deja sin efecto cv fd de  77,062 entre DERIS SA Y PESCA CISNES SA
</t>
        </r>
        <r>
          <rPr>
            <sz val="9"/>
            <color rgb="FFFF0000"/>
            <rFont val="Tahoma"/>
            <family val="2"/>
          </rPr>
          <t>OK</t>
        </r>
      </text>
    </comment>
    <comment ref="G18" authorId="0" shapeId="0">
      <text>
        <r>
          <rPr>
            <b/>
            <sz val="9"/>
            <color indexed="81"/>
            <rFont val="Tahoma"/>
            <family val="2"/>
          </rPr>
          <t>Rgarcia:
Cesiones:</t>
        </r>
        <r>
          <rPr>
            <sz val="9"/>
            <color indexed="81"/>
            <rFont val="Tahoma"/>
            <family val="2"/>
          </rPr>
          <t xml:space="preserve">
531-2019 Cesión 722.274 t Merluza del sur de ORGANIZACIONES Región de Aysén a PESQ SUR AUSTRAL
1096/28-03-19 Cesión 15,924 ton de ORGANIZACIONES Región de AISEN  a PESQ SUR AUSTRAL
1195/29-03-19 Cesión 59,755 ton de ORGANIZACION Región de AISEN  a PESQ SUR AUSTRAL
-------------------------------------------------------------------------------------------------
</t>
        </r>
        <r>
          <rPr>
            <b/>
            <sz val="9"/>
            <color indexed="81"/>
            <rFont val="Tahoma"/>
            <family val="2"/>
          </rPr>
          <t>Negocios:</t>
        </r>
        <r>
          <rPr>
            <sz val="9"/>
            <color indexed="81"/>
            <rFont val="Tahoma"/>
            <family val="2"/>
          </rPr>
          <t xml:space="preserve">
Descuentos---------------------------------------------------------------
Res 377-19 Otorga 0,0076800 de Sur Austral a Deris (36,54912) </t>
        </r>
        <r>
          <rPr>
            <sz val="9"/>
            <color indexed="81"/>
            <rFont val="Tahoma"/>
            <family val="2"/>
          </rPr>
          <t xml:space="preserve">
Incrementos----------------------------------------------------------------
Res 286-19 Otorga 0.1531210 de Deris a Sur Austral (728,7028) </t>
        </r>
        <r>
          <rPr>
            <sz val="9"/>
            <color indexed="81"/>
            <rFont val="Tahoma"/>
            <family val="2"/>
          </rPr>
          <t xml:space="preserve">
Res 402-19 Sin Efecto 0,0000400 de Sur Austral (+) a PacificBlu (0,1808)) </t>
        </r>
        <r>
          <rPr>
            <sz val="9"/>
            <color rgb="FFFF0000"/>
            <rFont val="Tahoma"/>
            <family val="2"/>
          </rPr>
          <t xml:space="preserve">
</t>
        </r>
      </text>
    </comment>
    <comment ref="I18" authorId="0" shapeId="0">
      <text>
        <r>
          <rPr>
            <b/>
            <sz val="9"/>
            <color indexed="81"/>
            <rFont val="Tahoma"/>
            <family val="2"/>
          </rPr>
          <t>Rgarcia:</t>
        </r>
        <r>
          <rPr>
            <sz val="9"/>
            <color indexed="81"/>
            <rFont val="Tahoma"/>
            <family val="2"/>
          </rPr>
          <t xml:space="preserve">
Se descuentan -33,118  Ton de desembarques 2019 correspondientes a capturas realizadas durante el 2018</t>
        </r>
      </text>
    </comment>
    <comment ref="G20" authorId="0" shapeId="0">
      <text>
        <r>
          <rPr>
            <b/>
            <sz val="9"/>
            <color indexed="81"/>
            <rFont val="Tahoma"/>
            <family val="2"/>
          </rPr>
          <t>Rgarcia:</t>
        </r>
        <r>
          <rPr>
            <sz val="9"/>
            <color indexed="81"/>
            <rFont val="Tahoma"/>
            <family val="2"/>
          </rPr>
          <t xml:space="preserve">
</t>
        </r>
        <r>
          <rPr>
            <b/>
            <sz val="9"/>
            <color indexed="81"/>
            <rFont val="Tahoma"/>
            <family val="2"/>
          </rPr>
          <t>Cesiones:
Incrementos---------------------------------------------------------</t>
        </r>
        <r>
          <rPr>
            <sz val="9"/>
            <color indexed="81"/>
            <rFont val="Tahoma"/>
            <family val="2"/>
          </rPr>
          <t xml:space="preserve">
R Ex 797-19 Cesión 167,778 t de Area X Región a DERIS S.A.
R Ex 798-19 Cesión 222,222 t de Area X Región a DERIS S.A.
R Ex 799-19 Cesión 147,667 t de Area X Región a DERIS S.A.
R Ex 811-29 Cesión 324,448 t de  Area X Región a DERIS S.A.
R Ex 2-19 Cesion de 118,581 ton de region Los Lagos, Puerto Montt C  a Deris
--------------------------------------------------------------------------
</t>
        </r>
        <r>
          <rPr>
            <b/>
            <sz val="9"/>
            <color indexed="81"/>
            <rFont val="Tahoma"/>
            <family val="2"/>
          </rPr>
          <t xml:space="preserve">Negocios:
</t>
        </r>
        <r>
          <rPr>
            <sz val="9"/>
            <color indexed="81"/>
            <rFont val="Tahoma"/>
            <family val="2"/>
          </rPr>
          <t xml:space="preserve">
</t>
        </r>
        <r>
          <rPr>
            <b/>
            <sz val="9"/>
            <color indexed="10"/>
            <rFont val="Tahoma"/>
            <family val="2"/>
          </rPr>
          <t>Descuentos</t>
        </r>
        <r>
          <rPr>
            <b/>
            <sz val="9"/>
            <color indexed="81"/>
            <rFont val="Tahoma"/>
            <family val="2"/>
          </rPr>
          <t>--------------------------------------------------------------</t>
        </r>
        <r>
          <rPr>
            <sz val="9"/>
            <color indexed="81"/>
            <rFont val="Tahoma"/>
            <family val="2"/>
          </rPr>
          <t xml:space="preserve">
Res 286-19 Otorga 0.1531210 de Deris a Sur Austral (728,70284) 
Res 745-19 Sin Efecto 0,0282095 de Pesca Cisnes (+) a Deris (73,2094) </t>
        </r>
        <r>
          <rPr>
            <sz val="9"/>
            <color rgb="FFFF0000"/>
            <rFont val="Tahoma"/>
            <family val="2"/>
          </rPr>
          <t xml:space="preserve">
</t>
        </r>
        <r>
          <rPr>
            <sz val="9"/>
            <color indexed="81"/>
            <rFont val="Tahoma"/>
            <family val="2"/>
          </rPr>
          <t xml:space="preserve">
</t>
        </r>
        <r>
          <rPr>
            <b/>
            <sz val="9"/>
            <color indexed="21"/>
            <rFont val="Tahoma"/>
            <family val="2"/>
          </rPr>
          <t>Incrementos</t>
        </r>
        <r>
          <rPr>
            <b/>
            <sz val="9"/>
            <color indexed="81"/>
            <rFont val="Tahoma"/>
            <family val="2"/>
          </rPr>
          <t>---------------------------------------------------------</t>
        </r>
        <r>
          <rPr>
            <sz val="9"/>
            <color indexed="81"/>
            <rFont val="Tahoma"/>
            <family val="2"/>
          </rPr>
          <t xml:space="preserve">
Res 288-19 Otorga 0,0287900 de Grimar a Deris (137,012 t) 
Res 377-19 Otorga 0,0076800 de Sur Austral a Deris (36,54912) </t>
        </r>
        <r>
          <rPr>
            <sz val="9"/>
            <color rgb="FFFF0000"/>
            <rFont val="Tahoma"/>
            <family val="2"/>
          </rPr>
          <t xml:space="preserve">
</t>
        </r>
        <r>
          <rPr>
            <sz val="9"/>
            <color indexed="81"/>
            <rFont val="Tahoma"/>
            <family val="2"/>
          </rPr>
          <t>Res 1806-19 CV 0,0075 desde Alexis cabrera (+) a Deris (35,6925)
Res 1806-19 CV 0,0075 desde Alexis cabrera (+) a Deris (35,6925)</t>
        </r>
        <r>
          <rPr>
            <sz val="9"/>
            <color rgb="FFFF0000"/>
            <rFont val="Tahoma"/>
            <family val="2"/>
          </rPr>
          <t xml:space="preserve">
</t>
        </r>
      </text>
    </comment>
    <comment ref="G28" authorId="0" shapeId="0">
      <text>
        <r>
          <rPr>
            <b/>
            <sz val="9"/>
            <color indexed="81"/>
            <rFont val="Tahoma"/>
            <family val="2"/>
          </rPr>
          <t xml:space="preserve">Rgarcia:
</t>
        </r>
        <r>
          <rPr>
            <b/>
            <sz val="9"/>
            <color indexed="10"/>
            <rFont val="Tahoma"/>
            <family val="2"/>
          </rPr>
          <t>Descuentos-----------------------------------------------------</t>
        </r>
        <r>
          <rPr>
            <sz val="9"/>
            <color indexed="81"/>
            <rFont val="Tahoma"/>
            <family val="2"/>
          </rPr>
          <t xml:space="preserve">
Res 745-19 Sin Efecto 0,0282095  LTP A de Pesca Cisnes (+) a Deris (0,1808)
</t>
        </r>
      </text>
    </comment>
    <comment ref="G34" authorId="0" shapeId="0">
      <text>
        <r>
          <rPr>
            <b/>
            <sz val="9"/>
            <color indexed="81"/>
            <rFont val="Tahoma"/>
            <family val="2"/>
          </rPr>
          <t>Autor:</t>
        </r>
        <r>
          <rPr>
            <sz val="9"/>
            <color indexed="81"/>
            <rFont val="Tahoma"/>
            <family val="2"/>
          </rPr>
          <t xml:space="preserve">
Res 1806-19 CV 0,0075 desde Alexis cabrera (+) a Deris (35,6925)
Res 1806-19 CV 0,0075 desde Alexis cabrera (+) a Deris (35,6925)</t>
        </r>
      </text>
    </comment>
    <comment ref="G54" authorId="0" shapeId="0">
      <text>
        <r>
          <rPr>
            <b/>
            <sz val="9"/>
            <color indexed="81"/>
            <rFont val="Tahoma"/>
            <family val="2"/>
          </rPr>
          <t>rgarcia:</t>
        </r>
        <r>
          <rPr>
            <sz val="9"/>
            <color indexed="81"/>
            <rFont val="Tahoma"/>
            <family val="2"/>
          </rPr>
          <t xml:space="preserve">
R Ex 746-19_Deja Sin Efecto CV Fideicomiso LTP A 0,1041028 LTP A entre PESCA CISNE SA (+300,946) a DERIS (-300,946 t)</t>
        </r>
      </text>
    </comment>
    <comment ref="G58" authorId="0" shape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 ref="G59" authorId="0" shapeId="0">
      <text>
        <r>
          <rPr>
            <b/>
            <sz val="9"/>
            <color indexed="81"/>
            <rFont val="Tahoma"/>
            <family val="2"/>
          </rPr>
          <t>Rgarcia:</t>
        </r>
        <r>
          <rPr>
            <sz val="9"/>
            <color indexed="81"/>
            <rFont val="Tahoma"/>
            <family val="2"/>
          </rPr>
          <t xml:space="preserve">
R Ex 746-19_Deja Sin Efecto CV Fideicomiso LTP A 0,1041028 LTP A entre PESCA CISNE SA (+300,946) a DERIS (-300,946 t)
R Ex 1362-19_CV 0,0075 LTP B entre ALEXIS CABRERA VALLEJOS a DERIS SA (22,8225 t)
R Ex 1363-19_CV 0,0075 LTP B entre ALEXIS CABRERA VALLEJOS a DERIS SA (22,8225 t)
--------------------------------------------------------------------------------------
R Ex 1716 Cesion de 12,5 ton de Emb CRISNHA I, region Magallanes  a Deris</t>
        </r>
      </text>
    </comment>
    <comment ref="G63" authorId="0" shapeId="0">
      <text>
        <r>
          <rPr>
            <b/>
            <sz val="9"/>
            <color indexed="81"/>
            <rFont val="Tahoma"/>
            <family val="2"/>
          </rPr>
          <t>rgarcia:</t>
        </r>
        <r>
          <rPr>
            <sz val="9"/>
            <color indexed="81"/>
            <rFont val="Tahoma"/>
            <family val="2"/>
          </rPr>
          <t xml:space="preserve">
R Ex 1362-19_CV 0,0075 LTP B entre ALEXIS CABRERA VALLEJOS a DERIS SA (22,8225 t)
R Ex 1363-19_CV 0,0075 LTP B entre ALEXIS CABRERA VALLEJOS a DERIS SA (22,8225 t)</t>
        </r>
      </text>
    </comment>
    <comment ref="E94" authorId="0" shapeId="0">
      <text>
        <r>
          <rPr>
            <b/>
            <sz val="9"/>
            <color indexed="81"/>
            <rFont val="Tahoma"/>
            <family val="2"/>
          </rPr>
          <t>Rgarcia</t>
        </r>
        <r>
          <rPr>
            <sz val="9"/>
            <color indexed="81"/>
            <rFont val="Tahoma"/>
            <family val="2"/>
          </rPr>
          <t xml:space="preserve">
Se descuentan -46,125 Ton de desembarques 2019 correspondientes a capturas realizadas durante el 2018
Se descuentan -33,118  Ton de desembarques 2019 correspondientes a capturas realizadas durante el 2018
TOTAL: 46,125+33,118= 79,243</t>
        </r>
      </text>
    </comment>
  </commentList>
</comments>
</file>

<file path=xl/comments3.xml><?xml version="1.0" encoding="utf-8"?>
<comments xmlns="http://schemas.openxmlformats.org/spreadsheetml/2006/main">
  <authors>
    <author>Autor</author>
  </authors>
  <commentList>
    <comment ref="E6" authorId="0" shapeId="0">
      <text>
        <r>
          <rPr>
            <b/>
            <sz val="9"/>
            <color indexed="81"/>
            <rFont val="Tahoma"/>
            <family val="2"/>
          </rPr>
          <t>Rgarcia:</t>
        </r>
        <r>
          <rPr>
            <sz val="9"/>
            <color indexed="81"/>
            <rFont val="Tahoma"/>
            <family val="2"/>
          </rPr>
          <t xml:space="preserve">
1190-2019 adelantamiento de cuota de 47,191 ton</t>
        </r>
      </text>
    </comment>
    <comment ref="F6" authorId="0" shapeId="0">
      <text>
        <r>
          <rPr>
            <b/>
            <sz val="9"/>
            <color indexed="81"/>
            <rFont val="Tahoma"/>
            <family val="2"/>
          </rPr>
          <t>Rgarcia:</t>
        </r>
        <r>
          <rPr>
            <sz val="9"/>
            <color indexed="81"/>
            <rFont val="Tahoma"/>
            <family val="2"/>
          </rPr>
          <t xml:space="preserve">
797-2019 Cesión 147,667 ton de Calbuco A Región de Los Lagos a Desris S.A.
</t>
        </r>
      </text>
    </comment>
    <comment ref="K6" authorId="0" shapeId="0">
      <text>
        <r>
          <rPr>
            <b/>
            <sz val="9"/>
            <color indexed="81"/>
            <rFont val="Tahoma"/>
            <family val="2"/>
          </rPr>
          <t>Rgacia:</t>
        </r>
        <r>
          <rPr>
            <sz val="9"/>
            <color indexed="81"/>
            <rFont val="Tahoma"/>
            <family val="2"/>
          </rPr>
          <t xml:space="preserve">
01-03-2019 _ Cierre de Cuota  [ 668 ]
04-04-2019 _ Apertura de Cuota (56680)</t>
        </r>
      </text>
    </comment>
    <comment ref="E8" authorId="0" shapeId="0">
      <text>
        <r>
          <rPr>
            <b/>
            <sz val="9"/>
            <color indexed="81"/>
            <rFont val="Tahoma"/>
            <family val="2"/>
          </rPr>
          <t>Rgarcia:</t>
        </r>
        <r>
          <rPr>
            <sz val="9"/>
            <color indexed="81"/>
            <rFont val="Tahoma"/>
            <family val="2"/>
          </rPr>
          <t xml:space="preserve">
690-2019 adelantamiento de cuota de 110,823 ton</t>
        </r>
      </text>
    </comment>
    <comment ref="F8" authorId="0" shapeId="0">
      <text>
        <r>
          <rPr>
            <b/>
            <sz val="9"/>
            <color indexed="81"/>
            <rFont val="Tahoma"/>
            <family val="2"/>
          </rPr>
          <t>Rgarcia:</t>
        </r>
        <r>
          <rPr>
            <sz val="9"/>
            <color indexed="81"/>
            <rFont val="Tahoma"/>
            <family val="2"/>
          </rPr>
          <t xml:space="preserve">
392-2019 Cesión 305,556 ton de AREA CALBUCO B Región de Los Lagos a PESQ GRIMAR</t>
        </r>
      </text>
    </comment>
    <comment ref="F12" authorId="0" shapeId="0">
      <text>
        <r>
          <rPr>
            <b/>
            <sz val="9"/>
            <color indexed="81"/>
            <rFont val="Tahoma"/>
            <charset val="1"/>
          </rPr>
          <t xml:space="preserve">Rgarcia:
</t>
        </r>
        <r>
          <rPr>
            <sz val="9"/>
            <color indexed="81"/>
            <rFont val="Tahoma"/>
            <family val="2"/>
          </rPr>
          <t>R Ex 6 Cesion de 10,294 ton de region Los Lagos, Area Calbuco D  a Grimar</t>
        </r>
      </text>
    </comment>
    <comment ref="E14" authorId="0" shapeId="0">
      <text>
        <r>
          <rPr>
            <b/>
            <sz val="9"/>
            <color indexed="81"/>
            <rFont val="Tahoma"/>
            <family val="2"/>
          </rPr>
          <t xml:space="preserve">rgarcia::
</t>
        </r>
        <r>
          <rPr>
            <sz val="9"/>
            <color indexed="81"/>
            <rFont val="Tahoma"/>
            <family val="2"/>
          </rPr>
          <t xml:space="preserve">R Ex 03 / 03-07-019 adelantamiento de cuota de 77,723 ton
</t>
        </r>
      </text>
    </comment>
    <comment ref="K14" authorId="0" shapeId="0">
      <text>
        <r>
          <rPr>
            <b/>
            <sz val="9"/>
            <color indexed="81"/>
            <rFont val="Tahoma"/>
            <family val="2"/>
          </rPr>
          <t>rgarcia:</t>
        </r>
        <r>
          <rPr>
            <sz val="9"/>
            <color indexed="81"/>
            <rFont val="Tahoma"/>
            <family val="2"/>
          </rPr>
          <t xml:space="preserve">
30_05-2019 _R Ex 1733 Cierre de Cuota _Enero-Julio 
04-07-2019 _ Ord  57737 Apertura  de  Cuota Enero-Julio 
</t>
        </r>
      </text>
    </comment>
    <comment ref="K16" authorId="0" shapeId="0">
      <text>
        <r>
          <rPr>
            <b/>
            <sz val="9"/>
            <color indexed="81"/>
            <rFont val="Tahoma"/>
            <family val="2"/>
          </rPr>
          <t>Rgarcia:</t>
        </r>
        <r>
          <rPr>
            <sz val="9"/>
            <color indexed="81"/>
            <rFont val="Tahoma"/>
            <family val="2"/>
          </rPr>
          <t xml:space="preserve">
04-07-2019_Res. Ex. N° 2259  Cierre Enero-Junio</t>
        </r>
      </text>
    </comment>
    <comment ref="E20" authorId="0" shapeId="0">
      <text>
        <r>
          <rPr>
            <b/>
            <sz val="9"/>
            <color indexed="81"/>
            <rFont val="Tahoma"/>
            <family val="2"/>
          </rPr>
          <t>rgarcia::</t>
        </r>
        <r>
          <rPr>
            <sz val="9"/>
            <color indexed="81"/>
            <rFont val="Tahoma"/>
            <family val="2"/>
          </rPr>
          <t xml:space="preserve">
1717 / 07-05-019 adelantamiento de cuota de 20 ton
R Ex 04 / 03-07-019 adelantamiento de cuota de 34,438  ton
</t>
        </r>
      </text>
    </comment>
    <comment ref="K20" authorId="0" shapeId="0">
      <text>
        <r>
          <rPr>
            <b/>
            <sz val="9"/>
            <color indexed="81"/>
            <rFont val="Tahoma"/>
            <family val="2"/>
          </rPr>
          <t>rgarcia:</t>
        </r>
        <r>
          <rPr>
            <sz val="9"/>
            <color indexed="81"/>
            <rFont val="Tahoma"/>
            <family val="2"/>
          </rPr>
          <t xml:space="preserve">
23_04-2019 _Ord 1265 _Cierre de Cuota _Enero-Julio 
04-07-2019 _ Ord  57738_Apertura  de  Cuota Enero-Julio 
</t>
        </r>
      </text>
    </comment>
    <comment ref="E21" authorId="0" shapeId="0">
      <text>
        <r>
          <rPr>
            <b/>
            <sz val="9"/>
            <color indexed="81"/>
            <rFont val="Tahoma"/>
            <family val="2"/>
          </rPr>
          <t xml:space="preserve">Autor:
</t>
        </r>
      </text>
    </comment>
    <comment ref="F24" authorId="0" shapeId="0">
      <text>
        <r>
          <rPr>
            <b/>
            <sz val="9"/>
            <color indexed="81"/>
            <rFont val="Tahoma"/>
            <family val="2"/>
          </rPr>
          <t>rgarcia:</t>
        </r>
        <r>
          <rPr>
            <sz val="9"/>
            <color indexed="81"/>
            <rFont val="Tahoma"/>
            <family val="2"/>
          </rPr>
          <t xml:space="preserve">
396-2019 Cesión 106 ton de AREA PALENA Región de Los Lagos a PESQ GRIMAR</t>
        </r>
      </text>
    </comment>
    <comment ref="K24" authorId="0" shapeId="0">
      <text>
        <r>
          <rPr>
            <b/>
            <sz val="9"/>
            <color indexed="81"/>
            <rFont val="Tahoma"/>
            <family val="2"/>
          </rPr>
          <t>rgarcia:</t>
        </r>
        <r>
          <rPr>
            <sz val="9"/>
            <color indexed="81"/>
            <rFont val="Tahoma"/>
            <family val="2"/>
          </rPr>
          <t xml:space="preserve">
13_02-2019 _Cierre de Cuota _Enero-Julio 2019 [ 497 ]
</t>
        </r>
      </text>
    </comment>
    <comment ref="E26" authorId="0" shapeId="0">
      <text>
        <r>
          <rPr>
            <b/>
            <sz val="9"/>
            <color indexed="81"/>
            <rFont val="Tahoma"/>
            <family val="2"/>
          </rPr>
          <t>Rgarcia:</t>
        </r>
        <r>
          <rPr>
            <sz val="9"/>
            <color indexed="81"/>
            <rFont val="Tahoma"/>
            <family val="2"/>
          </rPr>
          <t xml:space="preserve">
1190-2019 adelantamiento de cuota de 94,755 ton</t>
        </r>
      </text>
    </comment>
    <comment ref="F26" authorId="0" shapeId="0">
      <text>
        <r>
          <rPr>
            <b/>
            <sz val="9"/>
            <color indexed="81"/>
            <rFont val="Tahoma"/>
            <family val="2"/>
          </rPr>
          <t>Rgarcia:</t>
        </r>
        <r>
          <rPr>
            <sz val="9"/>
            <color indexed="81"/>
            <rFont val="Tahoma"/>
            <family val="2"/>
          </rPr>
          <t xml:space="preserve">
811-2019 Cesión 324,448 ton de Patagonia Región de Los Lagos a Desris S.A.</t>
        </r>
      </text>
    </comment>
    <comment ref="K26" authorId="0" shapeId="0">
      <text>
        <r>
          <rPr>
            <b/>
            <sz val="9"/>
            <color indexed="81"/>
            <rFont val="Tahoma"/>
            <family val="2"/>
          </rPr>
          <t>Autor:</t>
        </r>
        <r>
          <rPr>
            <sz val="9"/>
            <color indexed="81"/>
            <rFont val="Tahoma"/>
            <family val="2"/>
          </rPr>
          <t xml:space="preserve">
05-03-2019 _ Cierre de Cuota [ 675 ]
04-04-2019 _ Apertura de Cuota  (56681)</t>
        </r>
      </text>
    </comment>
    <comment ref="F28" authorId="0" shapeId="0">
      <text>
        <r>
          <rPr>
            <b/>
            <sz val="9"/>
            <color indexed="81"/>
            <rFont val="Tahoma"/>
            <family val="2"/>
          </rPr>
          <t>Rgarcia:</t>
        </r>
        <r>
          <rPr>
            <sz val="9"/>
            <color indexed="81"/>
            <rFont val="Tahoma"/>
            <family val="2"/>
          </rPr>
          <t xml:space="preserve">
1356/10-04-19  Cesión 248,690 t Merluza del sur Area Pto Montt A Región de Los Lagos a EMDEPES SA</t>
        </r>
      </text>
    </comment>
    <comment ref="K28" authorId="0" shapeId="0">
      <text>
        <r>
          <rPr>
            <b/>
            <sz val="9"/>
            <color indexed="81"/>
            <rFont val="Tahoma"/>
            <family val="2"/>
          </rPr>
          <t>rgarcia:</t>
        </r>
        <r>
          <rPr>
            <sz val="9"/>
            <color indexed="81"/>
            <rFont val="Tahoma"/>
            <family val="2"/>
          </rPr>
          <t xml:space="preserve">
11_04-2019 _Cierre de Cuota _Enero-Julio 2019 [1188 ]
</t>
        </r>
      </text>
    </comment>
    <comment ref="K29" authorId="0" shapeId="0">
      <text>
        <r>
          <rPr>
            <b/>
            <sz val="9"/>
            <color indexed="81"/>
            <rFont val="Tahoma"/>
            <family val="2"/>
          </rPr>
          <t>rgarcia:</t>
        </r>
        <r>
          <rPr>
            <sz val="9"/>
            <color indexed="81"/>
            <rFont val="Tahoma"/>
            <family val="2"/>
          </rPr>
          <t xml:space="preserve">
11_04-2019 _Cierre de Cuota _Enero-Julio 2019 [1188 ]
</t>
        </r>
      </text>
    </comment>
    <comment ref="E30" authorId="0" shapeId="0">
      <text>
        <r>
          <rPr>
            <b/>
            <sz val="9"/>
            <color indexed="81"/>
            <rFont val="Tahoma"/>
            <family val="2"/>
          </rPr>
          <t>Rgarcia:</t>
        </r>
        <r>
          <rPr>
            <sz val="9"/>
            <color indexed="81"/>
            <rFont val="Tahoma"/>
            <family val="2"/>
          </rPr>
          <t xml:space="preserve">
1190-2019 adelantamiento de cuota de 101,544 ton</t>
        </r>
      </text>
    </comment>
    <comment ref="F30" authorId="0" shapeId="0">
      <text>
        <r>
          <rPr>
            <b/>
            <sz val="9"/>
            <color indexed="81"/>
            <rFont val="Tahoma"/>
            <family val="2"/>
          </rPr>
          <t>Rgarcia:</t>
        </r>
        <r>
          <rPr>
            <sz val="9"/>
            <color indexed="81"/>
            <rFont val="Tahoma"/>
            <family val="2"/>
          </rPr>
          <t xml:space="preserve">
797-2019 Cesión 222,222 ton de Pto. Montt B Región de Los Lagos a Desris S.A.</t>
        </r>
      </text>
    </comment>
    <comment ref="E32" authorId="0" shapeId="0">
      <text>
        <r>
          <rPr>
            <b/>
            <sz val="9"/>
            <color indexed="81"/>
            <rFont val="Tahoma"/>
            <family val="2"/>
          </rPr>
          <t>Rgarcia:</t>
        </r>
        <r>
          <rPr>
            <sz val="9"/>
            <color indexed="81"/>
            <rFont val="Tahoma"/>
            <family val="2"/>
          </rPr>
          <t xml:space="preserve">
1190-2019 adelantamiento de cuota de 59,976 ton</t>
        </r>
      </text>
    </comment>
    <comment ref="F32" authorId="0" shapeId="0">
      <text>
        <r>
          <rPr>
            <b/>
            <sz val="9"/>
            <color indexed="81"/>
            <rFont val="Tahoma"/>
            <family val="2"/>
          </rPr>
          <t>Rgarcia:</t>
        </r>
        <r>
          <rPr>
            <sz val="9"/>
            <color indexed="81"/>
            <rFont val="Tahoma"/>
            <family val="2"/>
          </rPr>
          <t xml:space="preserve">
R Ex 797-19 Cesión 167,778 ton de Pto. Montt C Región de Los Lagos a Desris S.A.
R Ex 2-19 Cesion  118,581 ton de  Puerto Montt C  a Deris S A</t>
        </r>
      </text>
    </comment>
    <comment ref="K32" authorId="0" shapeId="0">
      <text>
        <r>
          <rPr>
            <b/>
            <sz val="9"/>
            <color indexed="81"/>
            <rFont val="Tahoma"/>
            <family val="2"/>
          </rPr>
          <t>rgarcia:</t>
        </r>
        <r>
          <rPr>
            <sz val="9"/>
            <color indexed="81"/>
            <rFont val="Tahoma"/>
            <family val="2"/>
          </rPr>
          <t xml:space="preserve">
04_07-2019 _Cierre de Cuota _Enero-Julio 2019 [2259 ]
</t>
        </r>
      </text>
    </comment>
    <comment ref="K34" authorId="0" shapeId="0">
      <text>
        <r>
          <rPr>
            <b/>
            <sz val="9"/>
            <color indexed="81"/>
            <rFont val="Tahoma"/>
            <family val="2"/>
          </rPr>
          <t>Autor:</t>
        </r>
        <r>
          <rPr>
            <sz val="9"/>
            <color indexed="81"/>
            <rFont val="Tahoma"/>
            <family val="2"/>
          </rPr>
          <t xml:space="preserve">
10-01-2019 _ Cierre de Cuota _Enero-Julio 2019 [ 112 ]
14-01-2019 _ Cierre de Cuota _Año 2019 [ 122 ]</t>
        </r>
      </text>
    </comment>
    <comment ref="K35" authorId="0" shapeId="0">
      <text>
        <r>
          <rPr>
            <b/>
            <sz val="9"/>
            <color indexed="81"/>
            <rFont val="Tahoma"/>
            <family val="2"/>
          </rPr>
          <t>Autor:</t>
        </r>
        <r>
          <rPr>
            <sz val="9"/>
            <color indexed="81"/>
            <rFont val="Tahoma"/>
            <family val="2"/>
          </rPr>
          <t xml:space="preserve">
10-01-2019 _ Cierre de Cuota Merluza del sur, X Región_RESIDUAL_Enero-Julio 2019 [ 112 ]
14-01-2019 _ Cierre de Cuota Merluza del sur, X Región_BOLSON RESIDUAL_Año 2019 [ 122 ]</t>
        </r>
      </text>
    </comment>
  </commentList>
</comments>
</file>

<file path=xl/comments4.xml><?xml version="1.0" encoding="utf-8"?>
<comments xmlns="http://schemas.openxmlformats.org/spreadsheetml/2006/main">
  <authors>
    <author>Autor</author>
  </authors>
  <commentList>
    <comment ref="M12" authorId="0" shapeId="0">
      <text>
        <r>
          <rPr>
            <b/>
            <sz val="9"/>
            <color indexed="81"/>
            <rFont val="Tahoma"/>
            <family val="2"/>
          </rPr>
          <t xml:space="preserve">Rgarcia:
</t>
        </r>
        <r>
          <rPr>
            <sz val="9"/>
            <color indexed="81"/>
            <rFont val="Tahoma"/>
            <family val="2"/>
          </rPr>
          <t>09-07-2019_R Ex 1141_Cierre de cuota periodo</t>
        </r>
      </text>
    </comment>
    <comment ref="H14" authorId="0" shapeId="0">
      <text>
        <r>
          <rPr>
            <b/>
            <sz val="9"/>
            <color indexed="81"/>
            <rFont val="Tahoma"/>
            <family val="2"/>
          </rPr>
          <t>Rgarcia:</t>
        </r>
        <r>
          <rPr>
            <sz val="9"/>
            <color indexed="81"/>
            <rFont val="Tahoma"/>
            <family val="2"/>
          </rPr>
          <t xml:space="preserve">
2144-11-06-2019_Cesión 5-11,580  ton de ORG A PESQ EMDEPÉS</t>
        </r>
      </text>
    </comment>
    <comment ref="M14" authorId="0" shapeId="0">
      <text>
        <r>
          <rPr>
            <b/>
            <sz val="9"/>
            <color indexed="81"/>
            <rFont val="Tahoma"/>
            <family val="2"/>
          </rPr>
          <t xml:space="preserve">Rgarcia:
</t>
        </r>
        <r>
          <rPr>
            <sz val="9"/>
            <color indexed="81"/>
            <rFont val="Tahoma"/>
            <family val="2"/>
          </rPr>
          <t>09-07-2019_R Ex 1141_Cierre de cuota periodo</t>
        </r>
      </text>
    </comment>
    <comment ref="H16" authorId="0" shapeId="0">
      <text>
        <r>
          <rPr>
            <b/>
            <sz val="9"/>
            <color indexed="81"/>
            <rFont val="Tahoma"/>
            <family val="2"/>
          </rPr>
          <t>Autor:</t>
        </r>
        <r>
          <rPr>
            <sz val="9"/>
            <color indexed="81"/>
            <rFont val="Tahoma"/>
            <family val="2"/>
          </rPr>
          <t xml:space="preserve">
531-2019 Cesión 50,662  ton de ORG A PESQ SUR AUSTRAL</t>
        </r>
      </text>
    </comment>
    <comment ref="M16" authorId="0" shapeId="0">
      <text>
        <r>
          <rPr>
            <b/>
            <sz val="9"/>
            <color indexed="81"/>
            <rFont val="Tahoma"/>
            <family val="2"/>
          </rPr>
          <t>Autor:</t>
        </r>
        <r>
          <rPr>
            <sz val="9"/>
            <color indexed="81"/>
            <rFont val="Tahoma"/>
            <family val="2"/>
          </rPr>
          <t xml:space="preserve">
Cierre Ord N° 17218 </t>
        </r>
      </text>
    </comment>
    <comment ref="M17" authorId="0" shapeId="0">
      <text>
        <r>
          <rPr>
            <b/>
            <sz val="9"/>
            <color indexed="81"/>
            <rFont val="Tahoma"/>
            <family val="2"/>
          </rPr>
          <t>Autor:</t>
        </r>
        <r>
          <rPr>
            <sz val="9"/>
            <color indexed="81"/>
            <rFont val="Tahoma"/>
            <family val="2"/>
          </rPr>
          <t xml:space="preserve">
04-03-2019_Cierre Ord 17384</t>
        </r>
      </text>
    </comment>
    <comment ref="M18" authorId="0" shapeId="0">
      <text>
        <r>
          <rPr>
            <b/>
            <sz val="9"/>
            <color indexed="81"/>
            <rFont val="Tahoma"/>
            <family val="2"/>
          </rPr>
          <t>Rgarcia:</t>
        </r>
        <r>
          <rPr>
            <sz val="9"/>
            <color indexed="81"/>
            <rFont val="Tahoma"/>
            <family val="2"/>
          </rPr>
          <t xml:space="preserve">
08-07-2019_Cierre R Ex 1108 Ene- Jul</t>
        </r>
      </text>
    </comment>
    <comment ref="H20" authorId="0" shapeId="0">
      <text>
        <r>
          <rPr>
            <b/>
            <sz val="9"/>
            <color indexed="81"/>
            <rFont val="Tahoma"/>
            <family val="2"/>
          </rPr>
          <t>Autor:</t>
        </r>
        <r>
          <rPr>
            <sz val="9"/>
            <color indexed="81"/>
            <rFont val="Tahoma"/>
            <family val="2"/>
          </rPr>
          <t xml:space="preserve">
809-2019 Cesión 89,426  ton de ORG A EMDEPES SA</t>
        </r>
      </text>
    </comment>
    <comment ref="M20" authorId="0" shapeId="0">
      <text>
        <r>
          <rPr>
            <b/>
            <sz val="9"/>
            <color indexed="81"/>
            <rFont val="Tahoma"/>
            <family val="2"/>
          </rPr>
          <t>Autor:</t>
        </r>
        <r>
          <rPr>
            <sz val="9"/>
            <color indexed="81"/>
            <rFont val="Tahoma"/>
            <family val="2"/>
          </rPr>
          <t xml:space="preserve">
Ord 17384/04-03-2019 _ Cierre de Cuota periodo</t>
        </r>
      </text>
    </comment>
    <comment ref="H22" authorId="0" shapeId="0">
      <text>
        <r>
          <rPr>
            <b/>
            <sz val="9"/>
            <color indexed="81"/>
            <rFont val="Tahoma"/>
            <family val="2"/>
          </rPr>
          <t>Autor:</t>
        </r>
        <r>
          <rPr>
            <sz val="9"/>
            <color indexed="81"/>
            <rFont val="Tahoma"/>
            <family val="2"/>
          </rPr>
          <t xml:space="preserve">
531-2019 Cesión 59,545  ton de ORG A PESQ SUR AUSTRAL</t>
        </r>
      </text>
    </comment>
    <comment ref="M22" authorId="0" shapeId="0">
      <text>
        <r>
          <rPr>
            <b/>
            <sz val="9"/>
            <color indexed="81"/>
            <rFont val="Tahoma"/>
            <family val="2"/>
          </rPr>
          <t>Rgarcia:
28-05-2019_R Ex 841_Cierre de cuota period</t>
        </r>
      </text>
    </comment>
    <comment ref="M24" authorId="0" shapeId="0">
      <text>
        <r>
          <rPr>
            <b/>
            <sz val="9"/>
            <color indexed="81"/>
            <rFont val="Tahoma"/>
            <family val="2"/>
          </rPr>
          <t>Rgarcia:</t>
        </r>
        <r>
          <rPr>
            <sz val="9"/>
            <color indexed="81"/>
            <rFont val="Tahoma"/>
            <family val="2"/>
          </rPr>
          <t xml:space="preserve">
27-05-2019_ R EX 821_Cierre de cuota
28-05-2019_ R EX 839_Apertura de cuota</t>
        </r>
      </text>
    </comment>
    <comment ref="G25" authorId="0" shapeId="0">
      <text>
        <r>
          <rPr>
            <b/>
            <sz val="9"/>
            <color indexed="81"/>
            <rFont val="Tahoma"/>
            <family val="2"/>
          </rPr>
          <t>rgarcia:</t>
        </r>
        <r>
          <rPr>
            <sz val="9"/>
            <color indexed="81"/>
            <rFont val="Tahoma"/>
            <family val="2"/>
          </rPr>
          <t xml:space="preserve">
1886 / 23-05-019 adelantamiento de cuota 13,898</t>
        </r>
      </text>
    </comment>
    <comment ref="M26" authorId="0" shapeId="0">
      <text>
        <r>
          <rPr>
            <b/>
            <sz val="9"/>
            <color indexed="81"/>
            <rFont val="Tahoma"/>
            <family val="2"/>
          </rPr>
          <t>Rgarcia:</t>
        </r>
        <r>
          <rPr>
            <sz val="9"/>
            <color indexed="81"/>
            <rFont val="Tahoma"/>
            <family val="2"/>
          </rPr>
          <t xml:space="preserve">
03-06-2019_R Ex 847_Cierre de cuota</t>
        </r>
      </text>
    </comment>
    <comment ref="H30" authorId="0" shapeId="0">
      <text>
        <r>
          <rPr>
            <b/>
            <sz val="9"/>
            <color indexed="81"/>
            <rFont val="Tahoma"/>
            <family val="2"/>
          </rPr>
          <t>Autor:</t>
        </r>
        <r>
          <rPr>
            <sz val="9"/>
            <color indexed="81"/>
            <rFont val="Tahoma"/>
            <family val="2"/>
          </rPr>
          <t xml:space="preserve">
531-2019 Cesión 62,183 ton de ORG A PESQ SUR AUSTRAL</t>
        </r>
      </text>
    </comment>
    <comment ref="M30" authorId="0" shapeId="0">
      <text>
        <r>
          <rPr>
            <b/>
            <sz val="9"/>
            <color indexed="81"/>
            <rFont val="Tahoma"/>
            <family val="2"/>
          </rPr>
          <t>Autor:</t>
        </r>
        <r>
          <rPr>
            <sz val="9"/>
            <color indexed="81"/>
            <rFont val="Tahoma"/>
            <family val="2"/>
          </rPr>
          <t xml:space="preserve">
Cierre Ord N° 17218 </t>
        </r>
      </text>
    </comment>
    <comment ref="H51" authorId="0" shapeId="0">
      <text>
        <r>
          <rPr>
            <b/>
            <sz val="9"/>
            <color indexed="81"/>
            <rFont val="Tahoma"/>
            <family val="2"/>
          </rPr>
          <t>Autor:</t>
        </r>
        <r>
          <rPr>
            <sz val="9"/>
            <color indexed="81"/>
            <rFont val="Tahoma"/>
            <family val="2"/>
          </rPr>
          <t xml:space="preserve">
532-2019 Cesión 49,031  ton de ORG A EMDEPES SA</t>
        </r>
      </text>
    </comment>
    <comment ref="M51" authorId="0" shapeId="0">
      <text>
        <r>
          <rPr>
            <b/>
            <sz val="9"/>
            <color indexed="81"/>
            <rFont val="Tahoma"/>
            <family val="2"/>
          </rPr>
          <t>Rgarcia:</t>
        </r>
        <r>
          <rPr>
            <sz val="9"/>
            <color indexed="81"/>
            <rFont val="Tahoma"/>
            <family val="2"/>
          </rPr>
          <t xml:space="preserve">
Cierre Ord N° 17367/ 28-02-2019 periodo</t>
        </r>
      </text>
    </comment>
    <comment ref="H53" authorId="0" shapeId="0">
      <text>
        <r>
          <rPr>
            <b/>
            <sz val="9"/>
            <color indexed="81"/>
            <rFont val="Tahoma"/>
            <family val="2"/>
          </rPr>
          <t>rgarcia:</t>
        </r>
        <r>
          <rPr>
            <sz val="9"/>
            <color indexed="81"/>
            <rFont val="Tahoma"/>
            <family val="2"/>
          </rPr>
          <t xml:space="preserve">
532-2019 Cesión 4,316  ton de ORG A EMDEPES SA</t>
        </r>
      </text>
    </comment>
    <comment ref="M53" authorId="0" shapeId="0">
      <text>
        <r>
          <rPr>
            <b/>
            <sz val="9"/>
            <color indexed="81"/>
            <rFont val="Tahoma"/>
            <family val="2"/>
          </rPr>
          <t>Autor:</t>
        </r>
        <r>
          <rPr>
            <sz val="9"/>
            <color indexed="81"/>
            <rFont val="Tahoma"/>
            <family val="2"/>
          </rPr>
          <t xml:space="preserve">
Cierre Ord N° 17221 </t>
        </r>
      </text>
    </comment>
    <comment ref="H55" authorId="0" shapeId="0">
      <text>
        <r>
          <rPr>
            <b/>
            <sz val="9"/>
            <color indexed="81"/>
            <rFont val="Tahoma"/>
            <family val="2"/>
          </rPr>
          <t>Autor:</t>
        </r>
        <r>
          <rPr>
            <sz val="9"/>
            <color indexed="81"/>
            <rFont val="Tahoma"/>
            <family val="2"/>
          </rPr>
          <t xml:space="preserve">
674-2019 Cesión 68,281 ton de ORG A A EMDEPES SA NE</t>
        </r>
      </text>
    </comment>
    <comment ref="M55" authorId="0" shapeId="0">
      <text>
        <r>
          <rPr>
            <b/>
            <sz val="9"/>
            <color indexed="81"/>
            <rFont val="Tahoma"/>
            <family val="2"/>
          </rPr>
          <t>Rgarcia:</t>
        </r>
        <r>
          <rPr>
            <sz val="9"/>
            <color indexed="81"/>
            <rFont val="Tahoma"/>
            <family val="2"/>
          </rPr>
          <t xml:space="preserve">
Cierre Ord N° 17367/ 28-02-2019 periodo</t>
        </r>
      </text>
    </comment>
    <comment ref="H57" authorId="0" shapeId="0">
      <text>
        <r>
          <rPr>
            <b/>
            <sz val="9"/>
            <color indexed="81"/>
            <rFont val="Tahoma"/>
            <family val="2"/>
          </rPr>
          <t>Autor:</t>
        </r>
        <r>
          <rPr>
            <sz val="9"/>
            <color indexed="81"/>
            <rFont val="Tahoma"/>
            <family val="2"/>
          </rPr>
          <t xml:space="preserve">
531-2019 Cesión 97,352 ton de ORG A PESQ SUR AUSTRAL</t>
        </r>
      </text>
    </comment>
    <comment ref="M57" authorId="0" shapeId="0">
      <text>
        <r>
          <rPr>
            <b/>
            <sz val="9"/>
            <color indexed="81"/>
            <rFont val="Tahoma"/>
            <family val="2"/>
          </rPr>
          <t>rgarcia:</t>
        </r>
        <r>
          <rPr>
            <sz val="9"/>
            <color indexed="81"/>
            <rFont val="Tahoma"/>
            <family val="2"/>
          </rPr>
          <t xml:space="preserve">
Cierre Ord N° ORD  17367 / 28-02-2019
Apertura Ord N° R EX  610 / 28-04-2019</t>
        </r>
      </text>
    </comment>
    <comment ref="H59" authorId="0" shapeId="0">
      <text>
        <r>
          <rPr>
            <b/>
            <sz val="9"/>
            <color indexed="81"/>
            <rFont val="Tahoma"/>
            <family val="2"/>
          </rPr>
          <t>Autor:</t>
        </r>
        <r>
          <rPr>
            <sz val="9"/>
            <color indexed="81"/>
            <rFont val="Tahoma"/>
            <family val="2"/>
          </rPr>
          <t xml:space="preserve">
532-2019 Cesión 67,207 ton de ORG A EMDEPES SA</t>
        </r>
      </text>
    </comment>
    <comment ref="M59" authorId="0" shapeId="0">
      <text>
        <r>
          <rPr>
            <sz val="9"/>
            <color indexed="81"/>
            <rFont val="Tahoma"/>
            <family val="2"/>
          </rPr>
          <t xml:space="preserve">
</t>
        </r>
        <r>
          <rPr>
            <b/>
            <sz val="9"/>
            <color indexed="81"/>
            <rFont val="Tahoma"/>
            <family val="2"/>
          </rPr>
          <t>Rgarcia:</t>
        </r>
        <r>
          <rPr>
            <sz val="9"/>
            <color indexed="81"/>
            <rFont val="Tahoma"/>
            <family val="2"/>
          </rPr>
          <t>Cierre Ord N° 17367/ 28-02-2019 periodo</t>
        </r>
      </text>
    </comment>
    <comment ref="H63" authorId="0" shapeId="0">
      <text>
        <r>
          <rPr>
            <b/>
            <sz val="9"/>
            <color indexed="81"/>
            <rFont val="Tahoma"/>
            <family val="2"/>
          </rPr>
          <t>Autor:</t>
        </r>
        <r>
          <rPr>
            <sz val="9"/>
            <color indexed="81"/>
            <rFont val="Tahoma"/>
            <family val="2"/>
          </rPr>
          <t xml:space="preserve">
532-2019 Cesión 13,840 ton de ORG A EMDEPES SA</t>
        </r>
      </text>
    </comment>
    <comment ref="M63" authorId="0" shapeId="0">
      <text>
        <r>
          <rPr>
            <b/>
            <sz val="9"/>
            <color indexed="81"/>
            <rFont val="Tahoma"/>
            <family val="2"/>
          </rPr>
          <t>Rgarcia:</t>
        </r>
        <r>
          <rPr>
            <sz val="9"/>
            <color indexed="81"/>
            <rFont val="Tahoma"/>
            <family val="2"/>
          </rPr>
          <t xml:space="preserve">
27-05-2019_ R EX 821_Cierre de cuota</t>
        </r>
      </text>
    </comment>
    <comment ref="H65" authorId="0" shapeId="0">
      <text>
        <r>
          <rPr>
            <b/>
            <sz val="9"/>
            <color indexed="81"/>
            <rFont val="Tahoma"/>
            <family val="2"/>
          </rPr>
          <t>Autor:</t>
        </r>
        <r>
          <rPr>
            <sz val="9"/>
            <color indexed="81"/>
            <rFont val="Tahoma"/>
            <family val="2"/>
          </rPr>
          <t xml:space="preserve">
532-2019 Cesión 66,110 ton de ORG A EMDEPES SA</t>
        </r>
      </text>
    </comment>
    <comment ref="M65" authorId="0" shapeId="0">
      <text>
        <r>
          <rPr>
            <b/>
            <sz val="9"/>
            <color indexed="81"/>
            <rFont val="Tahoma"/>
            <family val="2"/>
          </rPr>
          <t>Autor:</t>
        </r>
        <r>
          <rPr>
            <sz val="9"/>
            <color indexed="81"/>
            <rFont val="Tahoma"/>
            <family val="2"/>
          </rPr>
          <t xml:space="preserve">
Cierre Ord N° 17221 </t>
        </r>
      </text>
    </comment>
    <comment ref="H67" authorId="0" shapeId="0">
      <text>
        <r>
          <rPr>
            <b/>
            <sz val="9"/>
            <color indexed="81"/>
            <rFont val="Tahoma"/>
            <family val="2"/>
          </rPr>
          <t>Autor:</t>
        </r>
        <r>
          <rPr>
            <sz val="9"/>
            <color indexed="81"/>
            <rFont val="Tahoma"/>
            <family val="2"/>
          </rPr>
          <t xml:space="preserve">
532-2019 Cesión 13,840 ton de ORG A EMDEPES SA</t>
        </r>
      </text>
    </comment>
    <comment ref="M67" authorId="0" shapeId="0">
      <text>
        <r>
          <rPr>
            <b/>
            <sz val="9"/>
            <color indexed="81"/>
            <rFont val="Tahoma"/>
            <family val="2"/>
          </rPr>
          <t>Autor:</t>
        </r>
        <r>
          <rPr>
            <sz val="9"/>
            <color indexed="81"/>
            <rFont val="Tahoma"/>
            <family val="2"/>
          </rPr>
          <t xml:space="preserve">
Cierre Ord N° 17221 </t>
        </r>
      </text>
    </comment>
    <comment ref="H69" authorId="0" shapeId="0">
      <text>
        <r>
          <rPr>
            <b/>
            <sz val="9"/>
            <color indexed="81"/>
            <rFont val="Tahoma"/>
            <family val="2"/>
          </rPr>
          <t>Autor:</t>
        </r>
        <r>
          <rPr>
            <sz val="9"/>
            <color indexed="81"/>
            <rFont val="Tahoma"/>
            <family val="2"/>
          </rPr>
          <t xml:space="preserve">
532-2019 Cesión 54,294 ton de ORG A EMDEPES SA</t>
        </r>
      </text>
    </comment>
    <comment ref="M69" authorId="0" shapeId="0">
      <text>
        <r>
          <rPr>
            <b/>
            <sz val="9"/>
            <color indexed="81"/>
            <rFont val="Tahoma"/>
            <family val="2"/>
          </rPr>
          <t>Autor:</t>
        </r>
        <r>
          <rPr>
            <sz val="9"/>
            <color indexed="81"/>
            <rFont val="Tahoma"/>
            <family val="2"/>
          </rPr>
          <t xml:space="preserve">
Cierre Ord N° 17221 </t>
        </r>
      </text>
    </comment>
    <comment ref="H71" authorId="0" shapeId="0">
      <text>
        <r>
          <rPr>
            <b/>
            <sz val="9"/>
            <color indexed="81"/>
            <rFont val="Tahoma"/>
            <family val="2"/>
          </rPr>
          <t>Autor:</t>
        </r>
        <r>
          <rPr>
            <sz val="9"/>
            <color indexed="81"/>
            <rFont val="Tahoma"/>
            <family val="2"/>
          </rPr>
          <t xml:space="preserve">
532-2019 Cesión 13,997 ton de ORG A EMDEPES SA</t>
        </r>
      </text>
    </comment>
    <comment ref="M71" authorId="0" shapeId="0">
      <text>
        <r>
          <rPr>
            <b/>
            <sz val="9"/>
            <color indexed="81"/>
            <rFont val="Tahoma"/>
            <family val="2"/>
          </rPr>
          <t>Autor:</t>
        </r>
        <r>
          <rPr>
            <sz val="9"/>
            <color indexed="81"/>
            <rFont val="Tahoma"/>
            <family val="2"/>
          </rPr>
          <t xml:space="preserve">
Cierre Ord N° 17221 </t>
        </r>
      </text>
    </comment>
    <comment ref="H73" authorId="0" shapeId="0">
      <text>
        <r>
          <rPr>
            <b/>
            <sz val="9"/>
            <color indexed="81"/>
            <rFont val="Tahoma"/>
            <family val="2"/>
          </rPr>
          <t>Autor:</t>
        </r>
        <r>
          <rPr>
            <sz val="9"/>
            <color indexed="81"/>
            <rFont val="Tahoma"/>
            <family val="2"/>
          </rPr>
          <t xml:space="preserve">
532-2019 Cesión 24,238 ton de ORG A EMDEPES SA</t>
        </r>
      </text>
    </comment>
    <comment ref="M73" authorId="0" shapeId="0">
      <text>
        <r>
          <rPr>
            <b/>
            <sz val="9"/>
            <color indexed="81"/>
            <rFont val="Tahoma"/>
            <family val="2"/>
          </rPr>
          <t>Rgarcia:</t>
        </r>
        <r>
          <rPr>
            <sz val="9"/>
            <color indexed="81"/>
            <rFont val="Tahoma"/>
            <family val="2"/>
          </rPr>
          <t xml:space="preserve">
Cierre Ord N° 17367/ 28-02-2019 periodo</t>
        </r>
      </text>
    </comment>
    <comment ref="H75" authorId="0" shapeId="0">
      <text>
        <r>
          <rPr>
            <b/>
            <sz val="9"/>
            <color indexed="81"/>
            <rFont val="Tahoma"/>
            <family val="2"/>
          </rPr>
          <t>Autor:</t>
        </r>
        <r>
          <rPr>
            <sz val="9"/>
            <color indexed="81"/>
            <rFont val="Tahoma"/>
            <family val="2"/>
          </rPr>
          <t xml:space="preserve">
675-2019 Cesión 10,192 ton de ORG A EMDEPES SA</t>
        </r>
      </text>
    </comment>
    <comment ref="M75" authorId="0" shapeId="0">
      <text>
        <r>
          <rPr>
            <b/>
            <sz val="9"/>
            <color indexed="81"/>
            <rFont val="Tahoma"/>
            <family val="2"/>
          </rPr>
          <t>rgarcia:</t>
        </r>
        <r>
          <rPr>
            <sz val="9"/>
            <color indexed="81"/>
            <rFont val="Tahoma"/>
            <family val="2"/>
          </rPr>
          <t xml:space="preserve">
Cierre Ord N° ORD  17368 / 28-02-2019
Apertura  R EX  610 / 28-04-2019</t>
        </r>
      </text>
    </comment>
    <comment ref="H77" authorId="0" shapeId="0">
      <text>
        <r>
          <rPr>
            <b/>
            <sz val="9"/>
            <color indexed="81"/>
            <rFont val="Tahoma"/>
            <family val="2"/>
          </rPr>
          <t>rgarcia:</t>
        </r>
        <r>
          <rPr>
            <sz val="9"/>
            <color indexed="81"/>
            <rFont val="Tahoma"/>
            <family val="2"/>
          </rPr>
          <t xml:space="preserve">
1464-2019 Cesión -10,819  ton de ORG-XI a GRIMAR SA</t>
        </r>
      </text>
    </comment>
    <comment ref="M77" authorId="0" shapeId="0">
      <text>
        <r>
          <rPr>
            <b/>
            <sz val="9"/>
            <color indexed="81"/>
            <rFont val="Tahoma"/>
            <family val="2"/>
          </rPr>
          <t>rgarcia:</t>
        </r>
        <r>
          <rPr>
            <sz val="9"/>
            <color indexed="81"/>
            <rFont val="Tahoma"/>
            <family val="2"/>
          </rPr>
          <t xml:space="preserve">
Cierre Ord N° R EX 609 / 18-04-2019</t>
        </r>
      </text>
    </comment>
    <comment ref="M78" authorId="0" shapeId="0">
      <text>
        <r>
          <rPr>
            <b/>
            <sz val="9"/>
            <color indexed="81"/>
            <rFont val="Tahoma"/>
            <family val="2"/>
          </rPr>
          <t>rgarcia:</t>
        </r>
        <r>
          <rPr>
            <sz val="9"/>
            <color indexed="81"/>
            <rFont val="Tahoma"/>
            <family val="2"/>
          </rPr>
          <t xml:space="preserve">
Cierre Ord N° R EX 609 / 18-04-2019</t>
        </r>
      </text>
    </comment>
    <comment ref="G79" authorId="0" shapeId="0">
      <text>
        <r>
          <rPr>
            <b/>
            <sz val="9"/>
            <color indexed="81"/>
            <rFont val="Tahoma"/>
            <family val="2"/>
          </rPr>
          <t>rgarcia:</t>
        </r>
        <r>
          <rPr>
            <sz val="9"/>
            <color indexed="81"/>
            <rFont val="Tahoma"/>
            <family val="2"/>
          </rPr>
          <t xml:space="preserve">
1531-19.Modifica Res. Ex. N° 3-2019. Adelantamiento cuota </t>
        </r>
      </text>
    </comment>
    <comment ref="H79" authorId="0" shapeId="0">
      <text>
        <r>
          <rPr>
            <b/>
            <sz val="9"/>
            <color indexed="81"/>
            <rFont val="Tahoma"/>
            <family val="2"/>
          </rPr>
          <t>Autor:</t>
        </r>
        <r>
          <rPr>
            <sz val="9"/>
            <color indexed="81"/>
            <rFont val="Tahoma"/>
            <family val="2"/>
          </rPr>
          <t xml:space="preserve">
532-2019 Cesión 22,302 ton de ORG A EMDEPES SA</t>
        </r>
      </text>
    </comment>
    <comment ref="M79" authorId="0" shapeId="0">
      <text>
        <r>
          <rPr>
            <b/>
            <sz val="9"/>
            <color indexed="81"/>
            <rFont val="Tahoma"/>
            <family val="2"/>
          </rPr>
          <t xml:space="preserve">Rgarcia:
</t>
        </r>
        <r>
          <rPr>
            <sz val="9"/>
            <color indexed="81"/>
            <rFont val="Tahoma"/>
            <family val="2"/>
          </rPr>
          <t>Cierre Ord N° 17367/ 28-02-2019 periodo</t>
        </r>
      </text>
    </comment>
    <comment ref="H88" authorId="0" shapeId="0">
      <text>
        <r>
          <rPr>
            <b/>
            <sz val="9"/>
            <color indexed="81"/>
            <rFont val="Tahoma"/>
            <family val="2"/>
          </rPr>
          <t>Autor:</t>
        </r>
        <r>
          <rPr>
            <sz val="9"/>
            <color indexed="81"/>
            <rFont val="Tahoma"/>
            <family val="2"/>
          </rPr>
          <t xml:space="preserve">
531-2019 Cesión 40,854 ton de ORG A PESQ SUR AUSTRAL</t>
        </r>
      </text>
    </comment>
    <comment ref="M88" authorId="0" shapeId="0">
      <text>
        <r>
          <rPr>
            <b/>
            <sz val="9"/>
            <color indexed="81"/>
            <rFont val="Tahoma"/>
            <family val="2"/>
          </rPr>
          <t>Autor:</t>
        </r>
        <r>
          <rPr>
            <sz val="9"/>
            <color indexed="81"/>
            <rFont val="Tahoma"/>
            <family val="2"/>
          </rPr>
          <t xml:space="preserve">
Cierre Ord N° 17218 </t>
        </r>
      </text>
    </comment>
    <comment ref="H90" authorId="0" shapeId="0">
      <text>
        <r>
          <rPr>
            <b/>
            <sz val="9"/>
            <color indexed="81"/>
            <rFont val="Tahoma"/>
            <family val="2"/>
          </rPr>
          <t>Autor:</t>
        </r>
        <r>
          <rPr>
            <sz val="9"/>
            <color indexed="81"/>
            <rFont val="Tahoma"/>
            <family val="2"/>
          </rPr>
          <t xml:space="preserve">
531-2019 Cesión 46,205 ton de ORG A PESQ SUR AUSTRAL</t>
        </r>
      </text>
    </comment>
    <comment ref="M90" authorId="0" shapeId="0">
      <text>
        <r>
          <rPr>
            <b/>
            <sz val="9"/>
            <color indexed="81"/>
            <rFont val="Tahoma"/>
            <family val="2"/>
          </rPr>
          <t>Autor:</t>
        </r>
        <r>
          <rPr>
            <sz val="9"/>
            <color indexed="81"/>
            <rFont val="Tahoma"/>
            <family val="2"/>
          </rPr>
          <t xml:space="preserve">
Cierre Ord N° 17218 </t>
        </r>
      </text>
    </comment>
    <comment ref="H92" authorId="0" shapeId="0">
      <text>
        <r>
          <rPr>
            <b/>
            <sz val="9"/>
            <color indexed="81"/>
            <rFont val="Tahoma"/>
            <family val="2"/>
          </rPr>
          <t>Autor:</t>
        </r>
        <r>
          <rPr>
            <sz val="9"/>
            <color indexed="81"/>
            <rFont val="Tahoma"/>
            <family val="2"/>
          </rPr>
          <t xml:space="preserve">
532-2019 Cesión 5,133
 ton de ORG A A EMDEPES SA</t>
        </r>
      </text>
    </comment>
    <comment ref="M92" authorId="0" shapeId="0">
      <text>
        <r>
          <rPr>
            <b/>
            <sz val="9"/>
            <color indexed="81"/>
            <rFont val="Tahoma"/>
            <family val="2"/>
          </rPr>
          <t>Autor:</t>
        </r>
        <r>
          <rPr>
            <sz val="9"/>
            <color indexed="81"/>
            <rFont val="Tahoma"/>
            <family val="2"/>
          </rPr>
          <t xml:space="preserve">
Cierre Ord N° 17221 </t>
        </r>
      </text>
    </comment>
    <comment ref="H94" authorId="0" shapeId="0">
      <text>
        <r>
          <rPr>
            <b/>
            <sz val="9"/>
            <color indexed="81"/>
            <rFont val="Tahoma"/>
            <family val="2"/>
          </rPr>
          <t>Autor:</t>
        </r>
        <r>
          <rPr>
            <sz val="9"/>
            <color indexed="81"/>
            <rFont val="Tahoma"/>
            <family val="2"/>
          </rPr>
          <t xml:space="preserve">
532-2019 Cesión 79,788 ton de ORG A A EMDEPES SA</t>
        </r>
      </text>
    </comment>
    <comment ref="M94" authorId="0" shapeId="0">
      <text>
        <r>
          <rPr>
            <b/>
            <sz val="9"/>
            <color indexed="81"/>
            <rFont val="Tahoma"/>
            <family val="2"/>
          </rPr>
          <t>Autor:</t>
        </r>
        <r>
          <rPr>
            <sz val="9"/>
            <color indexed="81"/>
            <rFont val="Tahoma"/>
            <family val="2"/>
          </rPr>
          <t xml:space="preserve">
Cierre Ord N° 17221 </t>
        </r>
      </text>
    </comment>
    <comment ref="H96" authorId="0" shapeId="0">
      <text>
        <r>
          <rPr>
            <b/>
            <sz val="9"/>
            <color indexed="81"/>
            <rFont val="Tahoma"/>
            <family val="2"/>
          </rPr>
          <t>Autor:</t>
        </r>
        <r>
          <rPr>
            <sz val="9"/>
            <color indexed="81"/>
            <rFont val="Tahoma"/>
            <family val="2"/>
          </rPr>
          <t xml:space="preserve">
809-2019 Cesión 31,515  ton de ORG A EMDEPES SA</t>
        </r>
      </text>
    </comment>
    <comment ref="M96" authorId="0" shape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M100" authorId="0" shapeId="0">
      <text>
        <r>
          <rPr>
            <b/>
            <sz val="9"/>
            <color indexed="81"/>
            <rFont val="Tahoma"/>
            <family val="2"/>
          </rPr>
          <t>Rgarcia</t>
        </r>
        <r>
          <rPr>
            <sz val="9"/>
            <color indexed="81"/>
            <rFont val="Tahoma"/>
            <family val="2"/>
          </rPr>
          <t xml:space="preserve">
28-05-2019_R Ex 841_Cierre de cuota periodo
</t>
        </r>
      </text>
    </comment>
    <comment ref="H102" authorId="0" shapeId="0">
      <text>
        <r>
          <rPr>
            <b/>
            <sz val="9"/>
            <color indexed="81"/>
            <rFont val="Tahoma"/>
            <family val="2"/>
          </rPr>
          <t>Autor:</t>
        </r>
        <r>
          <rPr>
            <sz val="9"/>
            <color indexed="81"/>
            <rFont val="Tahoma"/>
            <family val="2"/>
          </rPr>
          <t xml:space="preserve">
532-2019 Cesión 49,481 ton de ORG A A EMDEPES SA</t>
        </r>
      </text>
    </comment>
    <comment ref="M102" authorId="0" shapeId="0">
      <text>
        <r>
          <rPr>
            <b/>
            <sz val="9"/>
            <color indexed="81"/>
            <rFont val="Tahoma"/>
            <family val="2"/>
          </rPr>
          <t>Autor:</t>
        </r>
        <r>
          <rPr>
            <sz val="9"/>
            <color indexed="81"/>
            <rFont val="Tahoma"/>
            <family val="2"/>
          </rPr>
          <t xml:space="preserve">
Cierre Ord N° 17367/ 28-02-2019 periodo</t>
        </r>
      </text>
    </comment>
    <comment ref="G104" authorId="0" shapeId="0">
      <text>
        <r>
          <rPr>
            <b/>
            <sz val="9"/>
            <color indexed="81"/>
            <rFont val="Tahoma"/>
            <family val="2"/>
          </rPr>
          <t>rgarcia:</t>
        </r>
        <r>
          <rPr>
            <sz val="9"/>
            <color indexed="81"/>
            <rFont val="Tahoma"/>
            <family val="2"/>
          </rPr>
          <t xml:space="preserve">
1102-19.Modifica Res. Ex. N° 3-2019. Adelantamiento cuota </t>
        </r>
      </text>
    </comment>
    <comment ref="M104" authorId="0" shapeId="0">
      <text>
        <r>
          <rPr>
            <b/>
            <sz val="9"/>
            <color indexed="81"/>
            <rFont val="Tahoma"/>
            <family val="2"/>
          </rPr>
          <t xml:space="preserve">Rgarcia:
</t>
        </r>
        <r>
          <rPr>
            <sz val="9"/>
            <color indexed="81"/>
            <rFont val="Tahoma"/>
            <family val="2"/>
          </rPr>
          <t>Cierre</t>
        </r>
        <r>
          <rPr>
            <b/>
            <sz val="9"/>
            <color indexed="81"/>
            <rFont val="Tahoma"/>
            <family val="2"/>
          </rPr>
          <t xml:space="preserve"> </t>
        </r>
        <r>
          <rPr>
            <sz val="9"/>
            <color indexed="81"/>
            <rFont val="Tahoma"/>
            <family val="2"/>
          </rPr>
          <t>Ord 17384 /</t>
        </r>
        <r>
          <rPr>
            <b/>
            <sz val="9"/>
            <color indexed="81"/>
            <rFont val="Tahoma"/>
            <family val="2"/>
          </rPr>
          <t xml:space="preserve"> </t>
        </r>
        <r>
          <rPr>
            <sz val="9"/>
            <color indexed="81"/>
            <rFont val="Tahoma"/>
            <family val="2"/>
          </rPr>
          <t>04-03-2019_Enero-Julio 2019 
Apertura Ord 17535  / 01-04-2019 _Enero-Julio 2019</t>
        </r>
      </text>
    </comment>
    <comment ref="M106" authorId="0" shapeId="0">
      <text>
        <r>
          <rPr>
            <b/>
            <sz val="9"/>
            <color indexed="81"/>
            <rFont val="Tahoma"/>
            <family val="2"/>
          </rPr>
          <t>Autor:</t>
        </r>
        <r>
          <rPr>
            <sz val="9"/>
            <color indexed="81"/>
            <rFont val="Tahoma"/>
            <family val="2"/>
          </rPr>
          <t xml:space="preserve">
24-05-2019_Cierre R Ex 820</t>
        </r>
      </text>
    </comment>
    <comment ref="H108" authorId="0" shapeId="0">
      <text>
        <r>
          <rPr>
            <b/>
            <sz val="9"/>
            <color indexed="81"/>
            <rFont val="Tahoma"/>
            <family val="2"/>
          </rPr>
          <t>Autor:</t>
        </r>
        <r>
          <rPr>
            <sz val="9"/>
            <color indexed="81"/>
            <rFont val="Tahoma"/>
            <family val="2"/>
          </rPr>
          <t xml:space="preserve">
532-2019 Cesión 17,854 ton de ORG A A EMDEPES SA</t>
        </r>
      </text>
    </comment>
    <comment ref="M108" authorId="0" shapeId="0">
      <text>
        <r>
          <rPr>
            <b/>
            <sz val="9"/>
            <color indexed="81"/>
            <rFont val="Tahoma"/>
            <family val="2"/>
          </rPr>
          <t>Autor:</t>
        </r>
        <r>
          <rPr>
            <sz val="9"/>
            <color indexed="81"/>
            <rFont val="Tahoma"/>
            <family val="2"/>
          </rPr>
          <t xml:space="preserve">
Cierre Ord N° 17221 </t>
        </r>
      </text>
    </comment>
    <comment ref="H110" authorId="0" shapeId="0">
      <text>
        <r>
          <rPr>
            <b/>
            <sz val="9"/>
            <color indexed="81"/>
            <rFont val="Tahoma"/>
            <family val="2"/>
          </rPr>
          <t>Autor:</t>
        </r>
        <r>
          <rPr>
            <sz val="9"/>
            <color indexed="81"/>
            <rFont val="Tahoma"/>
            <family val="2"/>
          </rPr>
          <t xml:space="preserve">
532-2019 Cesión 49,556 ton de ORG A A EMDEPES SA</t>
        </r>
      </text>
    </comment>
    <comment ref="M110" authorId="0" shapeId="0">
      <text>
        <r>
          <rPr>
            <b/>
            <sz val="9"/>
            <color indexed="81"/>
            <rFont val="Tahoma"/>
            <family val="2"/>
          </rPr>
          <t>Autor:</t>
        </r>
        <r>
          <rPr>
            <sz val="9"/>
            <color indexed="81"/>
            <rFont val="Tahoma"/>
            <family val="2"/>
          </rPr>
          <t xml:space="preserve">
Cierre Ord N° 17221 </t>
        </r>
      </text>
    </comment>
    <comment ref="H112" authorId="0" shapeId="0">
      <text>
        <r>
          <rPr>
            <b/>
            <sz val="9"/>
            <color indexed="81"/>
            <rFont val="Tahoma"/>
            <family val="2"/>
          </rPr>
          <t>Autor:</t>
        </r>
        <r>
          <rPr>
            <sz val="9"/>
            <color indexed="81"/>
            <rFont val="Tahoma"/>
            <family val="2"/>
          </rPr>
          <t xml:space="preserve">
531-2019 Cesión 34,481 ton de ORG A PESQ SUR AUSTRAL</t>
        </r>
      </text>
    </comment>
    <comment ref="M112" authorId="0" shapeId="0">
      <text>
        <r>
          <rPr>
            <b/>
            <sz val="9"/>
            <color indexed="81"/>
            <rFont val="Tahoma"/>
            <family val="2"/>
          </rPr>
          <t>Autor:</t>
        </r>
        <r>
          <rPr>
            <sz val="9"/>
            <color indexed="81"/>
            <rFont val="Tahoma"/>
            <family val="2"/>
          </rPr>
          <t xml:space="preserve">
Cierre Ord N° 17218 </t>
        </r>
      </text>
    </comment>
    <comment ref="H114" authorId="0" shapeId="0">
      <text>
        <r>
          <rPr>
            <b/>
            <sz val="9"/>
            <color indexed="81"/>
            <rFont val="Tahoma"/>
            <family val="2"/>
          </rPr>
          <t>Autor:</t>
        </r>
        <r>
          <rPr>
            <sz val="9"/>
            <color indexed="81"/>
            <rFont val="Tahoma"/>
            <family val="2"/>
          </rPr>
          <t xml:space="preserve">
532-2019 Cesión 75,880 ton de ORG A A EMDEPES SA</t>
        </r>
      </text>
    </comment>
    <comment ref="M114" authorId="0" shapeId="0">
      <text>
        <r>
          <rPr>
            <b/>
            <sz val="9"/>
            <color indexed="81"/>
            <rFont val="Tahoma"/>
            <family val="2"/>
          </rPr>
          <t>Autor:</t>
        </r>
        <r>
          <rPr>
            <sz val="9"/>
            <color indexed="81"/>
            <rFont val="Tahoma"/>
            <family val="2"/>
          </rPr>
          <t xml:space="preserve">
Cierre Ord N° 17221 </t>
        </r>
      </text>
    </comment>
    <comment ref="H116" authorId="0" shapeId="0">
      <text>
        <r>
          <rPr>
            <b/>
            <sz val="9"/>
            <color indexed="81"/>
            <rFont val="Tahoma"/>
            <family val="2"/>
          </rPr>
          <t>Autor:</t>
        </r>
        <r>
          <rPr>
            <sz val="9"/>
            <color indexed="81"/>
            <rFont val="Tahoma"/>
            <family val="2"/>
          </rPr>
          <t xml:space="preserve">
531-2019 Cesión 93,687 ton de ORG A PESQ SUR AUSTRAL</t>
        </r>
      </text>
    </comment>
    <comment ref="M116" authorId="0" shapeId="0">
      <text>
        <r>
          <rPr>
            <b/>
            <sz val="9"/>
            <color indexed="81"/>
            <rFont val="Tahoma"/>
            <family val="2"/>
          </rPr>
          <t>Rgarcia:</t>
        </r>
        <r>
          <rPr>
            <sz val="9"/>
            <color indexed="81"/>
            <rFont val="Tahoma"/>
            <family val="2"/>
          </rPr>
          <t xml:space="preserve">
Cierre Ord N° 17367/ 28-02-2019 periodo</t>
        </r>
      </text>
    </comment>
    <comment ref="H120" authorId="0" shapeId="0">
      <text>
        <r>
          <rPr>
            <b/>
            <sz val="9"/>
            <color indexed="81"/>
            <rFont val="Tahoma"/>
            <family val="2"/>
          </rPr>
          <t>Autor:</t>
        </r>
        <r>
          <rPr>
            <sz val="9"/>
            <color indexed="81"/>
            <rFont val="Tahoma"/>
            <family val="2"/>
          </rPr>
          <t xml:space="preserve">
532-2019 Cesión 44,368 Ton de ORG A A EMDEPES SA
687-2019 Cesión 5,222 Ton de ORG A A EMDEPES SA</t>
        </r>
      </text>
    </comment>
    <comment ref="M120" authorId="0" shapeId="0">
      <text>
        <r>
          <rPr>
            <b/>
            <sz val="9"/>
            <color indexed="81"/>
            <rFont val="Tahoma"/>
            <family val="2"/>
          </rPr>
          <t>Rgarcia:</t>
        </r>
        <r>
          <rPr>
            <sz val="9"/>
            <color indexed="81"/>
            <rFont val="Tahoma"/>
            <family val="2"/>
          </rPr>
          <t xml:space="preserve">
Cierre Ord N° 17368/ 28-02-2019 año</t>
        </r>
      </text>
    </comment>
    <comment ref="H122" authorId="0" shapeId="0">
      <text>
        <r>
          <rPr>
            <b/>
            <sz val="9"/>
            <color indexed="81"/>
            <rFont val="Tahoma"/>
            <family val="2"/>
          </rPr>
          <t>Autor:</t>
        </r>
        <r>
          <rPr>
            <sz val="9"/>
            <color indexed="81"/>
            <rFont val="Tahoma"/>
            <family val="2"/>
          </rPr>
          <t xml:space="preserve">
442-2019 Cesión 108,840 ton de ORGANIZACIONES Región de AISEN  a PESQ GRIMAR</t>
        </r>
      </text>
    </comment>
    <comment ref="M122" authorId="0" shapeId="0">
      <text>
        <r>
          <rPr>
            <b/>
            <sz val="9"/>
            <color indexed="81"/>
            <rFont val="Tahoma"/>
            <family val="2"/>
          </rPr>
          <t>Rgarcia</t>
        </r>
        <r>
          <rPr>
            <sz val="9"/>
            <color indexed="81"/>
            <rFont val="Tahoma"/>
            <family val="2"/>
          </rPr>
          <t xml:space="preserve">
03-06-2019_R Ex 847_Cierre de cuota año</t>
        </r>
      </text>
    </comment>
    <comment ref="H124" authorId="0" shapeId="0">
      <text>
        <r>
          <rPr>
            <b/>
            <sz val="9"/>
            <color indexed="81"/>
            <rFont val="Tahoma"/>
            <family val="2"/>
          </rPr>
          <t>Autor:</t>
        </r>
        <r>
          <rPr>
            <sz val="9"/>
            <color indexed="81"/>
            <rFont val="Tahoma"/>
            <family val="2"/>
          </rPr>
          <t xml:space="preserve">
442-2019 Cesión 46,652 ton de ORGANIZACIONES Región de AISEN  a PESQ GRIMAR</t>
        </r>
      </text>
    </comment>
    <comment ref="M124" authorId="0" shapeId="0">
      <text>
        <r>
          <rPr>
            <b/>
            <sz val="9"/>
            <color indexed="81"/>
            <rFont val="Tahoma"/>
            <family val="2"/>
          </rPr>
          <t>Rgarcia:</t>
        </r>
        <r>
          <rPr>
            <sz val="9"/>
            <color indexed="81"/>
            <rFont val="Tahoma"/>
            <family val="2"/>
          </rPr>
          <t xml:space="preserve">
Cierre año Ord N° 17585</t>
        </r>
      </text>
    </comment>
    <comment ref="H126" authorId="0" shapeId="0">
      <text>
        <r>
          <rPr>
            <b/>
            <sz val="9"/>
            <color indexed="81"/>
            <rFont val="Tahoma"/>
            <family val="2"/>
          </rPr>
          <t>Autor:</t>
        </r>
        <r>
          <rPr>
            <sz val="9"/>
            <color indexed="81"/>
            <rFont val="Tahoma"/>
            <family val="2"/>
          </rPr>
          <t xml:space="preserve">
532-2019 Cesión 86,635 ton de ORG A A EMDEPES SA</t>
        </r>
      </text>
    </comment>
    <comment ref="M126" authorId="0" shapeId="0">
      <text>
        <r>
          <rPr>
            <b/>
            <sz val="9"/>
            <color indexed="81"/>
            <rFont val="Tahoma"/>
            <family val="2"/>
          </rPr>
          <t>Autor:</t>
        </r>
        <r>
          <rPr>
            <sz val="9"/>
            <color indexed="81"/>
            <rFont val="Tahoma"/>
            <family val="2"/>
          </rPr>
          <t xml:space="preserve">
Cierre Ord N° 17221 </t>
        </r>
      </text>
    </comment>
    <comment ref="M128" authorId="0" shapeId="0">
      <text>
        <r>
          <rPr>
            <b/>
            <sz val="9"/>
            <color indexed="81"/>
            <rFont val="Tahoma"/>
            <family val="2"/>
          </rPr>
          <t>Autor:</t>
        </r>
        <r>
          <rPr>
            <sz val="9"/>
            <color indexed="81"/>
            <rFont val="Tahoma"/>
            <family val="2"/>
          </rPr>
          <t xml:space="preserve">
27-05-2019_ R EX 821_Cierre de cuota</t>
        </r>
      </text>
    </comment>
    <comment ref="H130" authorId="0" shapeId="0">
      <text>
        <r>
          <rPr>
            <b/>
            <sz val="9"/>
            <color indexed="81"/>
            <rFont val="Tahoma"/>
            <family val="2"/>
          </rPr>
          <t>Autor:</t>
        </r>
        <r>
          <rPr>
            <sz val="9"/>
            <color indexed="81"/>
            <rFont val="Tahoma"/>
            <family val="2"/>
          </rPr>
          <t xml:space="preserve">
532-2019 Cesión 9,427 ton de ORG A A EMDEPES SA</t>
        </r>
      </text>
    </comment>
    <comment ref="M130" authorId="0" shapeId="0">
      <text>
        <r>
          <rPr>
            <b/>
            <sz val="9"/>
            <color indexed="81"/>
            <rFont val="Tahoma"/>
            <family val="2"/>
          </rPr>
          <t>Autor:</t>
        </r>
        <r>
          <rPr>
            <sz val="9"/>
            <color indexed="81"/>
            <rFont val="Tahoma"/>
            <family val="2"/>
          </rPr>
          <t xml:space="preserve">
Cierre Ord N° 17221 </t>
        </r>
      </text>
    </comment>
    <comment ref="H132" authorId="0" shapeId="0">
      <text>
        <r>
          <rPr>
            <b/>
            <sz val="9"/>
            <color indexed="81"/>
            <rFont val="Tahoma"/>
            <family val="2"/>
          </rPr>
          <t>Autor:</t>
        </r>
        <r>
          <rPr>
            <sz val="9"/>
            <color indexed="81"/>
            <rFont val="Tahoma"/>
            <family val="2"/>
          </rPr>
          <t xml:space="preserve">
809-2019 Cesión 2,440  ton de ORG A EMDEPES SA</t>
        </r>
      </text>
    </comment>
    <comment ref="M132" authorId="0" shape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H134" authorId="0" shapeId="0">
      <text>
        <r>
          <rPr>
            <b/>
            <sz val="9"/>
            <color indexed="81"/>
            <rFont val="Tahoma"/>
            <family val="2"/>
          </rPr>
          <t>Autor:</t>
        </r>
        <r>
          <rPr>
            <sz val="9"/>
            <color indexed="81"/>
            <rFont val="Tahoma"/>
            <family val="2"/>
          </rPr>
          <t xml:space="preserve">
1096-28-03-19 Cesión 15,924 ton de ORGANIZACIONES Región de AISEN  a PESQ SUR AUSTRAL</t>
        </r>
      </text>
    </comment>
    <comment ref="M134" authorId="0" shapeId="0">
      <text>
        <r>
          <rPr>
            <b/>
            <sz val="9"/>
            <color indexed="81"/>
            <rFont val="Tahoma"/>
            <family val="2"/>
          </rPr>
          <t>Autor:</t>
        </r>
        <r>
          <rPr>
            <sz val="9"/>
            <color indexed="81"/>
            <rFont val="Tahoma"/>
            <family val="2"/>
          </rPr>
          <t xml:space="preserve">
Cierre Ord N° 17536 /01-04-2019</t>
        </r>
      </text>
    </comment>
    <comment ref="H136" authorId="0" shapeId="0">
      <text>
        <r>
          <rPr>
            <b/>
            <sz val="9"/>
            <color indexed="81"/>
            <rFont val="Tahoma"/>
            <family val="2"/>
          </rPr>
          <t>Autor:</t>
        </r>
        <r>
          <rPr>
            <sz val="9"/>
            <color indexed="81"/>
            <rFont val="Tahoma"/>
            <family val="2"/>
          </rPr>
          <t xml:space="preserve">
532-2019 Cesión 7,728  ton de ORG A A EMDEPES SA</t>
        </r>
      </text>
    </comment>
    <comment ref="M136" authorId="0" shapeId="0">
      <text>
        <r>
          <rPr>
            <b/>
            <sz val="9"/>
            <color indexed="81"/>
            <rFont val="Tahoma"/>
            <family val="2"/>
          </rPr>
          <t>Autor:</t>
        </r>
        <r>
          <rPr>
            <sz val="9"/>
            <color indexed="81"/>
            <rFont val="Tahoma"/>
            <family val="2"/>
          </rPr>
          <t xml:space="preserve">
Cierre Ord N° 17221 </t>
        </r>
      </text>
    </comment>
    <comment ref="H138" authorId="0" shapeId="0">
      <text>
        <r>
          <rPr>
            <b/>
            <sz val="9"/>
            <color indexed="81"/>
            <rFont val="Tahoma"/>
            <family val="2"/>
          </rPr>
          <t>Autor:</t>
        </r>
        <r>
          <rPr>
            <sz val="9"/>
            <color indexed="81"/>
            <rFont val="Tahoma"/>
            <family val="2"/>
          </rPr>
          <t xml:space="preserve">
531-2019 Cesión 73,206 ton de ORG A PESQ SUR AUSTRAL</t>
        </r>
      </text>
    </comment>
    <comment ref="M138" authorId="0" shapeId="0">
      <text>
        <r>
          <rPr>
            <b/>
            <sz val="9"/>
            <color indexed="81"/>
            <rFont val="Tahoma"/>
            <family val="2"/>
          </rPr>
          <t>Autor:</t>
        </r>
        <r>
          <rPr>
            <sz val="9"/>
            <color indexed="81"/>
            <rFont val="Tahoma"/>
            <family val="2"/>
          </rPr>
          <t xml:space="preserve">
Cierre Ord N° 17218 </t>
        </r>
      </text>
    </comment>
    <comment ref="G140" authorId="0" shapeId="0">
      <text>
        <r>
          <rPr>
            <b/>
            <sz val="9"/>
            <color indexed="81"/>
            <rFont val="Tahoma"/>
            <family val="2"/>
          </rPr>
          <t>Autor:</t>
        </r>
        <r>
          <rPr>
            <sz val="9"/>
            <color indexed="81"/>
            <rFont val="Tahoma"/>
            <family val="2"/>
          </rPr>
          <t xml:space="preserve">
1811-19.Modifica Res. Ex. N° 3-2019. Adelantamiento cuota </t>
        </r>
      </text>
    </comment>
    <comment ref="H140" authorId="0" shapeId="0">
      <text>
        <r>
          <rPr>
            <b/>
            <sz val="9"/>
            <color indexed="81"/>
            <rFont val="Tahoma"/>
            <family val="2"/>
          </rPr>
          <t>Autor:</t>
        </r>
        <r>
          <rPr>
            <sz val="9"/>
            <color indexed="81"/>
            <rFont val="Tahoma"/>
            <family val="2"/>
          </rPr>
          <t xml:space="preserve">
R EX 532-2019 Cesión 5 ton de ORG A A EMDEPES SA
R Ex 2145 Cesion de 3,889 ton de region Aysen  a Emdepes </t>
        </r>
      </text>
    </comment>
    <comment ref="M142" authorId="0" shapeId="0">
      <text>
        <r>
          <rPr>
            <b/>
            <sz val="9"/>
            <color indexed="81"/>
            <rFont val="Tahoma"/>
            <family val="2"/>
          </rPr>
          <t>Rgarcia:</t>
        </r>
        <r>
          <rPr>
            <sz val="9"/>
            <color indexed="81"/>
            <rFont val="Tahoma"/>
            <family val="2"/>
          </rPr>
          <t xml:space="preserve">
03-06-2019_R Ex 846_Cierre de cuota periodo</t>
        </r>
      </text>
    </comment>
    <comment ref="H144" authorId="0" shapeId="0">
      <text>
        <r>
          <rPr>
            <b/>
            <sz val="9"/>
            <color indexed="81"/>
            <rFont val="Tahoma"/>
            <family val="2"/>
          </rPr>
          <t>Autor:</t>
        </r>
        <r>
          <rPr>
            <sz val="9"/>
            <color indexed="81"/>
            <rFont val="Tahoma"/>
            <family val="2"/>
          </rPr>
          <t xml:space="preserve">
531-2019 Cesión 23,331 ton de ORG A PESQ SUR AUSTRAL</t>
        </r>
      </text>
    </comment>
    <comment ref="M144" authorId="0" shapeId="0">
      <text>
        <r>
          <rPr>
            <b/>
            <sz val="9"/>
            <color indexed="81"/>
            <rFont val="Tahoma"/>
            <family val="2"/>
          </rPr>
          <t>Autor:</t>
        </r>
        <r>
          <rPr>
            <sz val="9"/>
            <color indexed="81"/>
            <rFont val="Tahoma"/>
            <family val="2"/>
          </rPr>
          <t xml:space="preserve">
Cierre Ord N° 17218 </t>
        </r>
      </text>
    </comment>
    <comment ref="H146" authorId="0" shapeId="0">
      <text>
        <r>
          <rPr>
            <b/>
            <sz val="9"/>
            <color indexed="81"/>
            <rFont val="Tahoma"/>
            <family val="2"/>
          </rPr>
          <t>Autor:</t>
        </r>
        <r>
          <rPr>
            <sz val="9"/>
            <color indexed="81"/>
            <rFont val="Tahoma"/>
            <family val="2"/>
          </rPr>
          <t xml:space="preserve">
809-2019 Cesión 4  ton de ORG A EMDEPES SA</t>
        </r>
      </text>
    </comment>
    <comment ref="M146" authorId="0" shapeId="0">
      <text>
        <r>
          <rPr>
            <b/>
            <sz val="9"/>
            <color indexed="81"/>
            <rFont val="Tahoma"/>
            <family val="2"/>
          </rPr>
          <t>Rgarcia:</t>
        </r>
        <r>
          <rPr>
            <sz val="9"/>
            <color indexed="81"/>
            <rFont val="Tahoma"/>
            <family val="2"/>
          </rPr>
          <t xml:space="preserve">
28-05-2019_R Ex 841_Cierre de cuota periodo</t>
        </r>
      </text>
    </comment>
    <comment ref="H148" authorId="0" shapeId="0">
      <text>
        <r>
          <rPr>
            <b/>
            <sz val="9"/>
            <color indexed="81"/>
            <rFont val="Tahoma"/>
            <family val="2"/>
          </rPr>
          <t>Autor:</t>
        </r>
        <r>
          <rPr>
            <sz val="9"/>
            <color indexed="81"/>
            <rFont val="Tahoma"/>
            <family val="2"/>
          </rPr>
          <t xml:space="preserve">
442-2019 Cesión 3,662 ton de ORGANIZACIONES Región de AISEN  a PESQ GRIMAR</t>
        </r>
      </text>
    </comment>
    <comment ref="M148" authorId="0" shapeId="0">
      <text>
        <r>
          <rPr>
            <b/>
            <sz val="9"/>
            <color indexed="81"/>
            <rFont val="Tahoma"/>
            <family val="2"/>
          </rPr>
          <t>Rgarcia:</t>
        </r>
        <r>
          <rPr>
            <sz val="9"/>
            <color indexed="81"/>
            <rFont val="Tahoma"/>
            <family val="2"/>
          </rPr>
          <t xml:space="preserve">
Cierre año Ord N° 17585</t>
        </r>
      </text>
    </comment>
    <comment ref="M150" authorId="0" shapeId="0">
      <text>
        <r>
          <rPr>
            <b/>
            <sz val="9"/>
            <color indexed="81"/>
            <rFont val="Tahoma"/>
            <family val="2"/>
          </rPr>
          <t>Rgarcia:</t>
        </r>
        <r>
          <rPr>
            <sz val="9"/>
            <color indexed="81"/>
            <rFont val="Tahoma"/>
            <family val="2"/>
          </rPr>
          <t xml:space="preserve">
Cierre año Ord N° 17585</t>
        </r>
      </text>
    </comment>
    <comment ref="H152" authorId="0" shapeId="0">
      <text>
        <r>
          <rPr>
            <b/>
            <sz val="9"/>
            <color indexed="81"/>
            <rFont val="Tahoma"/>
            <family val="2"/>
          </rPr>
          <t>Autor:</t>
        </r>
        <r>
          <rPr>
            <sz val="9"/>
            <color indexed="81"/>
            <rFont val="Tahoma"/>
            <family val="2"/>
          </rPr>
          <t xml:space="preserve">
531-2019 Cesión 21,249 ton de ORG A PESQ SUR AUSTRAL</t>
        </r>
      </text>
    </comment>
    <comment ref="M152" authorId="0" shapeId="0">
      <text>
        <r>
          <rPr>
            <b/>
            <sz val="9"/>
            <color indexed="81"/>
            <rFont val="Tahoma"/>
            <family val="2"/>
          </rPr>
          <t>Autor:</t>
        </r>
        <r>
          <rPr>
            <sz val="9"/>
            <color indexed="81"/>
            <rFont val="Tahoma"/>
            <family val="2"/>
          </rPr>
          <t xml:space="preserve">
Cierre Ord N° 17218 </t>
        </r>
      </text>
    </comment>
    <comment ref="M154" authorId="0" shapeId="0">
      <text>
        <r>
          <rPr>
            <b/>
            <sz val="9"/>
            <color indexed="81"/>
            <rFont val="Tahoma"/>
            <family val="2"/>
          </rPr>
          <t>Rgarcia:</t>
        </r>
        <r>
          <rPr>
            <sz val="9"/>
            <color indexed="81"/>
            <rFont val="Tahoma"/>
            <family val="2"/>
          </rPr>
          <t xml:space="preserve">
Cierre año Ord N° 17585</t>
        </r>
      </text>
    </comment>
    <comment ref="H161" authorId="0" shapeId="0">
      <text>
        <r>
          <rPr>
            <b/>
            <sz val="9"/>
            <color indexed="81"/>
            <rFont val="Tahoma"/>
            <family val="2"/>
          </rPr>
          <t>Autor:</t>
        </r>
        <r>
          <rPr>
            <sz val="9"/>
            <color indexed="81"/>
            <rFont val="Tahoma"/>
            <family val="2"/>
          </rPr>
          <t xml:space="preserve">
532-2019 Cesión 61,342 ton de ORG A A EMDEPES SA.
1097/28-03-19 Cesión 18,446 ton de ORGANIZACIONES Región de AISEN  a PESQ GRIMAR SA</t>
        </r>
      </text>
    </comment>
    <comment ref="M161" authorId="0" shapeId="0">
      <text>
        <r>
          <rPr>
            <b/>
            <sz val="9"/>
            <color indexed="81"/>
            <rFont val="Tahoma"/>
            <family val="2"/>
          </rPr>
          <t xml:space="preserve">Rgarcia:
</t>
        </r>
        <r>
          <rPr>
            <sz val="9"/>
            <color indexed="81"/>
            <rFont val="Tahoma"/>
            <family val="2"/>
          </rPr>
          <t>Cierre Ord N° 17367/ 28-02-2019 periodo</t>
        </r>
        <r>
          <rPr>
            <b/>
            <sz val="9"/>
            <color indexed="81"/>
            <rFont val="Tahoma"/>
            <family val="2"/>
          </rPr>
          <t xml:space="preserve">
</t>
        </r>
        <r>
          <rPr>
            <sz val="9"/>
            <color indexed="81"/>
            <rFont val="Tahoma"/>
            <family val="2"/>
          </rPr>
          <t>Cierre Ord N° 17536 /01-04-2019 año</t>
        </r>
      </text>
    </comment>
    <comment ref="H163" authorId="0" shapeId="0">
      <text>
        <r>
          <rPr>
            <b/>
            <sz val="9"/>
            <color indexed="81"/>
            <rFont val="Tahoma"/>
            <family val="2"/>
          </rPr>
          <t>Autor:</t>
        </r>
        <r>
          <rPr>
            <sz val="9"/>
            <color indexed="81"/>
            <rFont val="Tahoma"/>
            <family val="2"/>
          </rPr>
          <t xml:space="preserve">
674-2019 Cesión 34,765 ton de ORG A A EMDEPES SA NE</t>
        </r>
      </text>
    </comment>
    <comment ref="M163" authorId="0" shapeId="0">
      <text>
        <r>
          <rPr>
            <b/>
            <sz val="9"/>
            <color indexed="81"/>
            <rFont val="Tahoma"/>
            <family val="2"/>
          </rPr>
          <t>Rgarcia:</t>
        </r>
        <r>
          <rPr>
            <sz val="9"/>
            <color indexed="81"/>
            <rFont val="Tahoma"/>
            <family val="2"/>
          </rPr>
          <t xml:space="preserve">
Cierre Ord N° 17368/ 28-02-2019 año</t>
        </r>
      </text>
    </comment>
    <comment ref="H165" authorId="0" shapeId="0">
      <text>
        <r>
          <rPr>
            <b/>
            <sz val="9"/>
            <color indexed="81"/>
            <rFont val="Tahoma"/>
            <family val="2"/>
          </rPr>
          <t>Autor:</t>
        </r>
        <r>
          <rPr>
            <sz val="9"/>
            <color indexed="81"/>
            <rFont val="Tahoma"/>
            <family val="2"/>
          </rPr>
          <t xml:space="preserve">
675-2019 Cesión 30,409 ton de ORG A A EMDEPES SA NE</t>
        </r>
      </text>
    </comment>
    <comment ref="M165" authorId="0" shapeId="0">
      <text>
        <r>
          <rPr>
            <b/>
            <sz val="9"/>
            <color indexed="81"/>
            <rFont val="Tahoma"/>
            <family val="2"/>
          </rPr>
          <t>Rgarcia:</t>
        </r>
        <r>
          <rPr>
            <sz val="9"/>
            <color indexed="81"/>
            <rFont val="Tahoma"/>
            <family val="2"/>
          </rPr>
          <t xml:space="preserve">
Cierre Ord N° 17368/ 28-02-2019 año</t>
        </r>
      </text>
    </comment>
    <comment ref="H167" authorId="0" shapeId="0">
      <text>
        <r>
          <rPr>
            <b/>
            <sz val="9"/>
            <color indexed="81"/>
            <rFont val="Tahoma"/>
            <family val="2"/>
          </rPr>
          <t>Autor:</t>
        </r>
        <r>
          <rPr>
            <sz val="9"/>
            <color indexed="81"/>
            <rFont val="Tahoma"/>
            <family val="2"/>
          </rPr>
          <t xml:space="preserve">
532-2019 Cesión 48,413 ton de ORG A A EMDEPES SA</t>
        </r>
      </text>
    </comment>
    <comment ref="M167" authorId="0" shapeId="0">
      <text>
        <r>
          <rPr>
            <b/>
            <sz val="9"/>
            <color indexed="81"/>
            <rFont val="Tahoma"/>
            <family val="2"/>
          </rPr>
          <t>Autor:</t>
        </r>
        <r>
          <rPr>
            <sz val="9"/>
            <color indexed="81"/>
            <rFont val="Tahoma"/>
            <family val="2"/>
          </rPr>
          <t xml:space="preserve">
Cierre Ord N° 17221 </t>
        </r>
      </text>
    </comment>
    <comment ref="M168" authorId="0" shapeId="0">
      <text>
        <r>
          <rPr>
            <b/>
            <sz val="9"/>
            <color indexed="81"/>
            <rFont val="Tahoma"/>
            <family val="2"/>
          </rPr>
          <t>Autor:</t>
        </r>
        <r>
          <rPr>
            <sz val="9"/>
            <color indexed="81"/>
            <rFont val="Tahoma"/>
            <family val="2"/>
          </rPr>
          <t xml:space="preserve">
Cierre Ord N° 17221 </t>
        </r>
      </text>
    </comment>
    <comment ref="H169" authorId="0" shapeId="0">
      <text>
        <r>
          <rPr>
            <b/>
            <sz val="9"/>
            <color indexed="81"/>
            <rFont val="Tahoma"/>
            <family val="2"/>
          </rPr>
          <t>Autor:</t>
        </r>
        <r>
          <rPr>
            <sz val="9"/>
            <color indexed="81"/>
            <rFont val="Tahoma"/>
            <family val="2"/>
          </rPr>
          <t xml:space="preserve">
532-2019 Cesión 57,424  ton de ORG A A EMDEPES SA</t>
        </r>
      </text>
    </comment>
    <comment ref="M169" authorId="0" shapeId="0">
      <text>
        <r>
          <rPr>
            <b/>
            <sz val="9"/>
            <color indexed="81"/>
            <rFont val="Tahoma"/>
            <family val="2"/>
          </rPr>
          <t>Autor:</t>
        </r>
        <r>
          <rPr>
            <sz val="9"/>
            <color indexed="81"/>
            <rFont val="Tahoma"/>
            <family val="2"/>
          </rPr>
          <t xml:space="preserve">
Cierre Ord N° 17221 </t>
        </r>
      </text>
    </comment>
    <comment ref="H171" authorId="0" shapeId="0">
      <text>
        <r>
          <rPr>
            <b/>
            <sz val="9"/>
            <color indexed="81"/>
            <rFont val="Tahoma"/>
            <family val="2"/>
          </rPr>
          <t>Autor:</t>
        </r>
        <r>
          <rPr>
            <sz val="9"/>
            <color indexed="81"/>
            <rFont val="Tahoma"/>
            <family val="2"/>
          </rPr>
          <t xml:space="preserve">
532-2019 Cesión 90,336 ton de ORG A A EMDEPES SA</t>
        </r>
      </text>
    </comment>
    <comment ref="M171" authorId="0" shapeId="0">
      <text>
        <r>
          <rPr>
            <b/>
            <sz val="9"/>
            <color indexed="81"/>
            <rFont val="Tahoma"/>
            <family val="2"/>
          </rPr>
          <t>Autor:</t>
        </r>
        <r>
          <rPr>
            <sz val="9"/>
            <color indexed="81"/>
            <rFont val="Tahoma"/>
            <family val="2"/>
          </rPr>
          <t xml:space="preserve">
Cierre Ord N° 17221 </t>
        </r>
      </text>
    </comment>
    <comment ref="H173" authorId="0" shapeId="0">
      <text>
        <r>
          <rPr>
            <b/>
            <sz val="9"/>
            <color indexed="81"/>
            <rFont val="Tahoma"/>
            <family val="2"/>
          </rPr>
          <t>Autor:</t>
        </r>
        <r>
          <rPr>
            <sz val="9"/>
            <color indexed="81"/>
            <rFont val="Tahoma"/>
            <family val="2"/>
          </rPr>
          <t xml:space="preserve">
532-2019 Cesión 20,890 ton de ORG A A EMDEPES SA</t>
        </r>
      </text>
    </comment>
    <comment ref="M173" authorId="0" shapeId="0">
      <text>
        <r>
          <rPr>
            <b/>
            <sz val="9"/>
            <color indexed="81"/>
            <rFont val="Tahoma"/>
            <family val="2"/>
          </rPr>
          <t>Autor:</t>
        </r>
        <r>
          <rPr>
            <sz val="9"/>
            <color indexed="81"/>
            <rFont val="Tahoma"/>
            <family val="2"/>
          </rPr>
          <t xml:space="preserve">
Cierre Ord N° 17221 </t>
        </r>
      </text>
    </comment>
    <comment ref="M174" authorId="0" shapeId="0">
      <text>
        <r>
          <rPr>
            <b/>
            <sz val="9"/>
            <color indexed="81"/>
            <rFont val="Tahoma"/>
            <family val="2"/>
          </rPr>
          <t>Autor:</t>
        </r>
        <r>
          <rPr>
            <sz val="9"/>
            <color indexed="81"/>
            <rFont val="Tahoma"/>
            <family val="2"/>
          </rPr>
          <t xml:space="preserve">
Cierre Ord N° 17221 </t>
        </r>
      </text>
    </comment>
    <comment ref="H175" authorId="0" shapeId="0">
      <text>
        <r>
          <rPr>
            <b/>
            <sz val="9"/>
            <color indexed="81"/>
            <rFont val="Tahoma"/>
            <family val="2"/>
          </rPr>
          <t>Autor:</t>
        </r>
        <r>
          <rPr>
            <sz val="9"/>
            <color indexed="81"/>
            <rFont val="Tahoma"/>
            <family val="2"/>
          </rPr>
          <t xml:space="preserve">
442-2019 Cesión 34,725 ton de ORGANIZACIONES Región de AISEN  a PESQ GRIMAR</t>
        </r>
      </text>
    </comment>
    <comment ref="M175" authorId="0" shapeId="0">
      <text>
        <r>
          <rPr>
            <b/>
            <sz val="9"/>
            <color indexed="81"/>
            <rFont val="Tahoma"/>
            <family val="2"/>
          </rPr>
          <t>Rgarcia:</t>
        </r>
        <r>
          <rPr>
            <sz val="9"/>
            <color indexed="81"/>
            <rFont val="Tahoma"/>
            <family val="2"/>
          </rPr>
          <t xml:space="preserve">
Cierre año Ord N° 17585</t>
        </r>
      </text>
    </comment>
    <comment ref="H177" authorId="0" shapeId="0">
      <text>
        <r>
          <rPr>
            <b/>
            <sz val="9"/>
            <color indexed="81"/>
            <rFont val="Tahoma"/>
            <family val="2"/>
          </rPr>
          <t>Autor:</t>
        </r>
        <r>
          <rPr>
            <sz val="9"/>
            <color indexed="81"/>
            <rFont val="Tahoma"/>
            <family val="2"/>
          </rPr>
          <t xml:space="preserve">
532-2019 Cesión 37,068 ton de ORG A A EMDEPES SA</t>
        </r>
      </text>
    </comment>
    <comment ref="M177" authorId="0" shapeId="0">
      <text>
        <r>
          <rPr>
            <b/>
            <sz val="9"/>
            <color indexed="81"/>
            <rFont val="Tahoma"/>
            <family val="2"/>
          </rPr>
          <t>Autor:</t>
        </r>
        <r>
          <rPr>
            <sz val="9"/>
            <color indexed="81"/>
            <rFont val="Tahoma"/>
            <family val="2"/>
          </rPr>
          <t xml:space="preserve">
Cierre Ord N° 17367/ 28-02-2019</t>
        </r>
      </text>
    </comment>
    <comment ref="H179" authorId="0" shapeId="0">
      <text>
        <r>
          <rPr>
            <b/>
            <sz val="9"/>
            <color indexed="81"/>
            <rFont val="Tahoma"/>
            <family val="2"/>
          </rPr>
          <t>Autor:</t>
        </r>
        <r>
          <rPr>
            <sz val="9"/>
            <color indexed="81"/>
            <rFont val="Tahoma"/>
            <family val="2"/>
          </rPr>
          <t xml:space="preserve">
674-2019 Cesión 64,628 ton de ORG A A EMDEPES SA NE</t>
        </r>
      </text>
    </comment>
    <comment ref="M179" authorId="0" shapeId="0">
      <text>
        <r>
          <rPr>
            <b/>
            <sz val="9"/>
            <color indexed="81"/>
            <rFont val="Tahoma"/>
            <family val="2"/>
          </rPr>
          <t xml:space="preserve">Rgarcia:
</t>
        </r>
        <r>
          <rPr>
            <sz val="9"/>
            <color indexed="81"/>
            <rFont val="Tahoma"/>
            <family val="2"/>
          </rPr>
          <t xml:space="preserve">Cierre Ord N° 17367/ 28-02-2019 periodo
</t>
        </r>
      </text>
    </comment>
    <comment ref="H181" authorId="0" shapeId="0">
      <text>
        <r>
          <rPr>
            <b/>
            <sz val="9"/>
            <color indexed="81"/>
            <rFont val="Tahoma"/>
            <family val="2"/>
          </rPr>
          <t>Autor:</t>
        </r>
        <r>
          <rPr>
            <sz val="9"/>
            <color indexed="81"/>
            <rFont val="Tahoma"/>
            <family val="2"/>
          </rPr>
          <t xml:space="preserve">
1195-19 Autoriza cesión 59,755 merluza del sur STI-XI a Pes Sur Austral</t>
        </r>
      </text>
    </comment>
    <comment ref="M181" authorId="0" shapeId="0">
      <text>
        <r>
          <rPr>
            <b/>
            <sz val="9"/>
            <color indexed="81"/>
            <rFont val="Tahoma"/>
            <family val="2"/>
          </rPr>
          <t>Rgarcia:</t>
        </r>
        <r>
          <rPr>
            <sz val="9"/>
            <color indexed="81"/>
            <rFont val="Tahoma"/>
            <family val="2"/>
          </rPr>
          <t xml:space="preserve">
Cierre Ord N° 17565 / 05-04-2019</t>
        </r>
      </text>
    </comment>
    <comment ref="M182" authorId="0" shapeId="0">
      <text>
        <r>
          <rPr>
            <b/>
            <sz val="9"/>
            <color indexed="81"/>
            <rFont val="Tahoma"/>
            <family val="2"/>
          </rPr>
          <t>Rgarcia:</t>
        </r>
        <r>
          <rPr>
            <sz val="9"/>
            <color indexed="81"/>
            <rFont val="Tahoma"/>
            <family val="2"/>
          </rPr>
          <t xml:space="preserve">
Cierre Ord N° 17565 / 05-04-2019</t>
        </r>
      </text>
    </comment>
    <comment ref="H183" authorId="0" shapeId="0">
      <text>
        <r>
          <rPr>
            <b/>
            <sz val="9"/>
            <color indexed="81"/>
            <rFont val="Tahoma"/>
            <family val="2"/>
          </rPr>
          <t>Rgarcia:</t>
        </r>
        <r>
          <rPr>
            <sz val="9"/>
            <color indexed="81"/>
            <rFont val="Tahoma"/>
            <family val="2"/>
          </rPr>
          <t xml:space="preserve">
531-2019 Cesión 119,519 ton de ORG A PESQ SUR AUSTRAL
R Ex 2146 Cesion de 0,34 ton de region Aysen AG 833  a Aysen AG 11.02.0029</t>
        </r>
      </text>
    </comment>
    <comment ref="M183" authorId="0" shapeId="0">
      <text>
        <r>
          <rPr>
            <b/>
            <sz val="9"/>
            <color indexed="81"/>
            <rFont val="Tahoma"/>
            <family val="2"/>
          </rPr>
          <t>Autor:</t>
        </r>
        <r>
          <rPr>
            <sz val="9"/>
            <color indexed="81"/>
            <rFont val="Tahoma"/>
            <family val="2"/>
          </rPr>
          <t xml:space="preserve">
Cierre Ord N° 17218 </t>
        </r>
      </text>
    </comment>
    <comment ref="H185" authorId="0" shapeId="0">
      <text>
        <r>
          <rPr>
            <b/>
            <sz val="9"/>
            <color indexed="81"/>
            <rFont val="Tahoma"/>
            <family val="2"/>
          </rPr>
          <t>Autor:</t>
        </r>
        <r>
          <rPr>
            <sz val="9"/>
            <color indexed="81"/>
            <rFont val="Tahoma"/>
            <family val="2"/>
          </rPr>
          <t xml:space="preserve">
532-2019 Cesión 69,151 ton de ORG A A EMDEPES SA</t>
        </r>
      </text>
    </comment>
    <comment ref="H187" authorId="0" shapeId="0">
      <text>
        <r>
          <rPr>
            <b/>
            <sz val="9"/>
            <color indexed="81"/>
            <rFont val="Tahoma"/>
            <family val="2"/>
          </rPr>
          <t>Autor:</t>
        </r>
        <r>
          <rPr>
            <sz val="9"/>
            <color indexed="81"/>
            <rFont val="Tahoma"/>
            <family val="2"/>
          </rPr>
          <t xml:space="preserve">
532-2019 Cesión 35,898 ton de ORG A A EMDEPES SA</t>
        </r>
      </text>
    </comment>
    <comment ref="M187" authorId="0" shapeId="0">
      <text>
        <r>
          <rPr>
            <b/>
            <sz val="9"/>
            <color indexed="81"/>
            <rFont val="Tahoma"/>
            <family val="2"/>
          </rPr>
          <t>Autor:</t>
        </r>
        <r>
          <rPr>
            <sz val="9"/>
            <color indexed="81"/>
            <rFont val="Tahoma"/>
            <family val="2"/>
          </rPr>
          <t xml:space="preserve">
Cierre Ord N° 17221 </t>
        </r>
      </text>
    </comment>
    <comment ref="M188" authorId="0" shapeId="0">
      <text>
        <r>
          <rPr>
            <b/>
            <sz val="9"/>
            <color indexed="81"/>
            <rFont val="Tahoma"/>
            <family val="2"/>
          </rPr>
          <t>Autor:</t>
        </r>
        <r>
          <rPr>
            <sz val="9"/>
            <color indexed="81"/>
            <rFont val="Tahoma"/>
            <family val="2"/>
          </rPr>
          <t xml:space="preserve">
Cierre Ord N° 17221 </t>
        </r>
      </text>
    </comment>
    <comment ref="H189" authorId="0" shapeId="0">
      <text>
        <r>
          <rPr>
            <b/>
            <sz val="9"/>
            <color indexed="81"/>
            <rFont val="Tahoma"/>
            <family val="2"/>
          </rPr>
          <t>Autor:</t>
        </r>
        <r>
          <rPr>
            <sz val="9"/>
            <color indexed="81"/>
            <rFont val="Tahoma"/>
            <family val="2"/>
          </rPr>
          <t xml:space="preserve">
532-2019 Cesión 26,097 ton de ORG A A EMDEPES SA</t>
        </r>
      </text>
    </comment>
    <comment ref="M189" authorId="0" shapeId="0">
      <text>
        <r>
          <rPr>
            <b/>
            <sz val="9"/>
            <color indexed="81"/>
            <rFont val="Tahoma"/>
            <family val="2"/>
          </rPr>
          <t>Autor:</t>
        </r>
        <r>
          <rPr>
            <sz val="9"/>
            <color indexed="81"/>
            <rFont val="Tahoma"/>
            <family val="2"/>
          </rPr>
          <t xml:space="preserve">
Cierre Ord N° 17221 </t>
        </r>
      </text>
    </comment>
    <comment ref="H191" authorId="0" shapeId="0">
      <text>
        <r>
          <rPr>
            <b/>
            <sz val="9"/>
            <color indexed="81"/>
            <rFont val="Tahoma"/>
            <family val="2"/>
          </rPr>
          <t>Autor:</t>
        </r>
        <r>
          <rPr>
            <sz val="9"/>
            <color indexed="81"/>
            <rFont val="Tahoma"/>
            <family val="2"/>
          </rPr>
          <t xml:space="preserve">
532-2019 Cesión 2,557  ton de ORG A A EMDEPES SA</t>
        </r>
      </text>
    </comment>
    <comment ref="M191" authorId="0" shapeId="0">
      <text>
        <r>
          <rPr>
            <b/>
            <sz val="9"/>
            <color indexed="81"/>
            <rFont val="Tahoma"/>
            <family val="2"/>
          </rPr>
          <t>Autor:</t>
        </r>
        <r>
          <rPr>
            <sz val="9"/>
            <color indexed="81"/>
            <rFont val="Tahoma"/>
            <family val="2"/>
          </rPr>
          <t xml:space="preserve">
Cierre Ord N° 17221 </t>
        </r>
      </text>
    </comment>
  </commentList>
</comments>
</file>

<file path=xl/comments5.xml><?xml version="1.0" encoding="utf-8"?>
<comments xmlns="http://schemas.openxmlformats.org/spreadsheetml/2006/main">
  <authors>
    <author>Autor</author>
  </authors>
  <commentList>
    <comment ref="H19" authorId="0" shapeId="0">
      <text>
        <r>
          <rPr>
            <b/>
            <sz val="9"/>
            <color indexed="81"/>
            <rFont val="Tahoma"/>
            <family val="2"/>
          </rPr>
          <t>Autor:</t>
        </r>
        <r>
          <rPr>
            <sz val="9"/>
            <color indexed="81"/>
            <rFont val="Tahoma"/>
            <family val="2"/>
          </rPr>
          <t xml:space="preserve">
564-2019 Cesión 13,627 ton de Embarcacion  a EMDEPES SA</t>
        </r>
      </text>
    </comment>
    <comment ref="M19" authorId="0" shapeId="0">
      <text>
        <r>
          <rPr>
            <b/>
            <sz val="9"/>
            <color indexed="81"/>
            <rFont val="Tahoma"/>
            <family val="2"/>
          </rPr>
          <t>Autor:</t>
        </r>
        <r>
          <rPr>
            <sz val="9"/>
            <color indexed="81"/>
            <rFont val="Tahoma"/>
            <family val="2"/>
          </rPr>
          <t xml:space="preserve">
Cierre Ord N° 19910
</t>
        </r>
      </text>
    </comment>
    <comment ref="H21" authorId="0" shapeId="0">
      <text>
        <r>
          <rPr>
            <b/>
            <sz val="9"/>
            <color indexed="81"/>
            <rFont val="Tahoma"/>
            <family val="2"/>
          </rPr>
          <t>Autor:</t>
        </r>
        <r>
          <rPr>
            <sz val="9"/>
            <color indexed="81"/>
            <rFont val="Tahoma"/>
            <family val="2"/>
          </rPr>
          <t xml:space="preserve">
564-2019 Cesión 13,627 ton de Embarcacion  a EMDEPES SA</t>
        </r>
      </text>
    </comment>
    <comment ref="M21" authorId="0" shapeId="0">
      <text>
        <r>
          <rPr>
            <b/>
            <sz val="9"/>
            <color indexed="81"/>
            <rFont val="Tahoma"/>
            <family val="2"/>
          </rPr>
          <t>Autor:</t>
        </r>
        <r>
          <rPr>
            <sz val="9"/>
            <color indexed="81"/>
            <rFont val="Tahoma"/>
            <family val="2"/>
          </rPr>
          <t xml:space="preserve">
Cierre Ord N° 19910
</t>
        </r>
      </text>
    </comment>
    <comment ref="H23" authorId="0" shapeId="0">
      <text>
        <r>
          <rPr>
            <b/>
            <sz val="9"/>
            <color indexed="81"/>
            <rFont val="Tahoma"/>
            <family val="2"/>
          </rPr>
          <t>Autor:</t>
        </r>
        <r>
          <rPr>
            <sz val="9"/>
            <color indexed="81"/>
            <rFont val="Tahoma"/>
            <family val="2"/>
          </rPr>
          <t xml:space="preserve">
564-2019 Cesión 13,627 ton de Embarcacion  a EMDEPES SA</t>
        </r>
      </text>
    </comment>
    <comment ref="M23" authorId="0" shapeId="0">
      <text>
        <r>
          <rPr>
            <b/>
            <sz val="9"/>
            <color indexed="81"/>
            <rFont val="Tahoma"/>
            <family val="2"/>
          </rPr>
          <t>Autor:</t>
        </r>
        <r>
          <rPr>
            <sz val="9"/>
            <color indexed="81"/>
            <rFont val="Tahoma"/>
            <family val="2"/>
          </rPr>
          <t xml:space="preserve">
Cierre Ord N° 19910
</t>
        </r>
      </text>
    </comment>
    <comment ref="H25" authorId="0" shapeId="0">
      <text>
        <r>
          <rPr>
            <b/>
            <sz val="9"/>
            <color indexed="81"/>
            <rFont val="Tahoma"/>
            <family val="2"/>
          </rPr>
          <t>Autor:</t>
        </r>
        <r>
          <rPr>
            <sz val="9"/>
            <color indexed="81"/>
            <rFont val="Tahoma"/>
            <family val="2"/>
          </rPr>
          <t xml:space="preserve">
564-2019 Cesión 13,627 ton de Embarcacion  a EMDEPES SA</t>
        </r>
      </text>
    </comment>
    <comment ref="M25" authorId="0" shapeId="0">
      <text>
        <r>
          <rPr>
            <b/>
            <sz val="9"/>
            <color indexed="81"/>
            <rFont val="Tahoma"/>
            <family val="2"/>
          </rPr>
          <t>Autor:</t>
        </r>
        <r>
          <rPr>
            <sz val="9"/>
            <color indexed="81"/>
            <rFont val="Tahoma"/>
            <family val="2"/>
          </rPr>
          <t xml:space="preserve">
Cierre Ord N° 19910
</t>
        </r>
      </text>
    </comment>
    <comment ref="H27" authorId="0" shapeId="0">
      <text>
        <r>
          <rPr>
            <b/>
            <sz val="9"/>
            <color indexed="81"/>
            <rFont val="Tahoma"/>
            <family val="2"/>
          </rPr>
          <t>Autor:</t>
        </r>
        <r>
          <rPr>
            <sz val="9"/>
            <color indexed="81"/>
            <rFont val="Tahoma"/>
            <family val="2"/>
          </rPr>
          <t xml:space="preserve">
564-2019 Cesión 13,627 ton de Embarcacion  a EMDEPES SA</t>
        </r>
      </text>
    </comment>
    <comment ref="M27" authorId="0" shapeId="0">
      <text>
        <r>
          <rPr>
            <b/>
            <sz val="9"/>
            <color indexed="81"/>
            <rFont val="Tahoma"/>
            <family val="2"/>
          </rPr>
          <t>Autor:</t>
        </r>
        <r>
          <rPr>
            <sz val="9"/>
            <color indexed="81"/>
            <rFont val="Tahoma"/>
            <family val="2"/>
          </rPr>
          <t xml:space="preserve">
Cierre Ord N° 19910
</t>
        </r>
      </text>
    </comment>
    <comment ref="H29" authorId="0" shapeId="0">
      <text>
        <r>
          <rPr>
            <b/>
            <sz val="9"/>
            <color indexed="81"/>
            <rFont val="Tahoma"/>
            <family val="2"/>
          </rPr>
          <t>Autor:</t>
        </r>
        <r>
          <rPr>
            <sz val="9"/>
            <color indexed="81"/>
            <rFont val="Tahoma"/>
            <family val="2"/>
          </rPr>
          <t xml:space="preserve">
564-2019 Cesión 13,627 ton de Embarcacion  a EMDEPES SA</t>
        </r>
      </text>
    </comment>
    <comment ref="M29" authorId="0" shapeId="0">
      <text>
        <r>
          <rPr>
            <b/>
            <sz val="9"/>
            <color indexed="81"/>
            <rFont val="Tahoma"/>
            <family val="2"/>
          </rPr>
          <t>Autor:</t>
        </r>
        <r>
          <rPr>
            <sz val="9"/>
            <color indexed="81"/>
            <rFont val="Tahoma"/>
            <family val="2"/>
          </rPr>
          <t xml:space="preserve">
Cierre Ord N° 19910
</t>
        </r>
      </text>
    </comment>
    <comment ref="H31" authorId="0" shapeId="0">
      <text>
        <r>
          <rPr>
            <b/>
            <sz val="9"/>
            <color indexed="81"/>
            <rFont val="Tahoma"/>
            <family val="2"/>
          </rPr>
          <t>Autor:</t>
        </r>
        <r>
          <rPr>
            <sz val="9"/>
            <color indexed="81"/>
            <rFont val="Tahoma"/>
            <family val="2"/>
          </rPr>
          <t xml:space="preserve">
688-2019 Cesión 13,527 ton de Embarcacion  a Deris S.A.</t>
        </r>
      </text>
    </comment>
    <comment ref="M31" authorId="0" shapeId="0">
      <text>
        <r>
          <rPr>
            <b/>
            <sz val="9"/>
            <color indexed="81"/>
            <rFont val="Tahoma"/>
            <family val="2"/>
          </rPr>
          <t>Rgarcia:</t>
        </r>
        <r>
          <rPr>
            <sz val="9"/>
            <color indexed="81"/>
            <rFont val="Tahoma"/>
            <family val="2"/>
          </rPr>
          <t xml:space="preserve">
Cierre 1°P_Ord N° 20852
</t>
        </r>
      </text>
    </comment>
    <comment ref="H33" authorId="0" shapeId="0">
      <text>
        <r>
          <rPr>
            <b/>
            <sz val="9"/>
            <color indexed="81"/>
            <rFont val="Tahoma"/>
            <family val="2"/>
          </rPr>
          <t>Autor:</t>
        </r>
        <r>
          <rPr>
            <sz val="9"/>
            <color indexed="81"/>
            <rFont val="Tahoma"/>
            <family val="2"/>
          </rPr>
          <t xml:space="preserve">
564-2019 Cesión 13,627 ton de Embarcacion  a EMDEPES SA</t>
        </r>
      </text>
    </comment>
    <comment ref="M33" authorId="0" shapeId="0">
      <text>
        <r>
          <rPr>
            <b/>
            <sz val="9"/>
            <color indexed="81"/>
            <rFont val="Tahoma"/>
            <family val="2"/>
          </rPr>
          <t>Rgarcia:</t>
        </r>
        <r>
          <rPr>
            <sz val="9"/>
            <color indexed="81"/>
            <rFont val="Tahoma"/>
            <family val="2"/>
          </rPr>
          <t xml:space="preserve">
Cierre 1°P_Ord N° 20852
</t>
        </r>
      </text>
    </comment>
    <comment ref="H35" authorId="0" shapeId="0">
      <text>
        <r>
          <rPr>
            <b/>
            <sz val="9"/>
            <color indexed="81"/>
            <rFont val="Tahoma"/>
            <family val="2"/>
          </rPr>
          <t>Autor:</t>
        </r>
        <r>
          <rPr>
            <sz val="9"/>
            <color indexed="81"/>
            <rFont val="Tahoma"/>
            <family val="2"/>
          </rPr>
          <t xml:space="preserve">
564-2019 Cesión 13,627 ton de Embarcacion  a EMDEPES SA</t>
        </r>
      </text>
    </comment>
    <comment ref="M35" authorId="0" shapeId="0">
      <text>
        <r>
          <rPr>
            <b/>
            <sz val="9"/>
            <color indexed="81"/>
            <rFont val="Tahoma"/>
            <family val="2"/>
          </rPr>
          <t>Autor:</t>
        </r>
        <r>
          <rPr>
            <sz val="9"/>
            <color indexed="81"/>
            <rFont val="Tahoma"/>
            <family val="2"/>
          </rPr>
          <t xml:space="preserve">
Cierre Ord N° 19910
</t>
        </r>
      </text>
    </comment>
    <comment ref="H37" authorId="0" shapeId="0">
      <text>
        <r>
          <rPr>
            <b/>
            <sz val="9"/>
            <color indexed="81"/>
            <rFont val="Tahoma"/>
            <family val="2"/>
          </rPr>
          <t>Autor:</t>
        </r>
        <r>
          <rPr>
            <sz val="9"/>
            <color indexed="81"/>
            <rFont val="Tahoma"/>
            <family val="2"/>
          </rPr>
          <t xml:space="preserve">
564-2019 Cesión 13,627 ton de Embarcacion  a EMDEPES SA</t>
        </r>
      </text>
    </comment>
    <comment ref="M37" authorId="0" shapeId="0">
      <text>
        <r>
          <rPr>
            <b/>
            <sz val="9"/>
            <color indexed="81"/>
            <rFont val="Tahoma"/>
            <family val="2"/>
          </rPr>
          <t>Autor:</t>
        </r>
        <r>
          <rPr>
            <sz val="9"/>
            <color indexed="81"/>
            <rFont val="Tahoma"/>
            <family val="2"/>
          </rPr>
          <t xml:space="preserve">
Cierre Ord N° 19910
</t>
        </r>
      </text>
    </comment>
    <comment ref="H39" authorId="0" shapeId="0">
      <text>
        <r>
          <rPr>
            <b/>
            <sz val="9"/>
            <color indexed="81"/>
            <rFont val="Tahoma"/>
            <family val="2"/>
          </rPr>
          <t>Autor:</t>
        </r>
        <r>
          <rPr>
            <sz val="9"/>
            <color indexed="81"/>
            <rFont val="Tahoma"/>
            <family val="2"/>
          </rPr>
          <t xml:space="preserve">
564-2019 Cesión 13,627 ton de Embarcacion  a EMDEPES SA</t>
        </r>
      </text>
    </comment>
    <comment ref="M39" authorId="0" shapeId="0">
      <text>
        <r>
          <rPr>
            <b/>
            <sz val="9"/>
            <color indexed="81"/>
            <rFont val="Tahoma"/>
            <family val="2"/>
          </rPr>
          <t>Autor:</t>
        </r>
        <r>
          <rPr>
            <sz val="9"/>
            <color indexed="81"/>
            <rFont val="Tahoma"/>
            <family val="2"/>
          </rPr>
          <t xml:space="preserve">
Cierre Ord N° 19910
</t>
        </r>
      </text>
    </comment>
    <comment ref="H41" authorId="0" shapeId="0">
      <text>
        <r>
          <rPr>
            <b/>
            <sz val="9"/>
            <color indexed="81"/>
            <rFont val="Tahoma"/>
            <family val="2"/>
          </rPr>
          <t>Autor:</t>
        </r>
        <r>
          <rPr>
            <sz val="9"/>
            <color indexed="81"/>
            <rFont val="Tahoma"/>
            <family val="2"/>
          </rPr>
          <t xml:space="preserve">
564-2019 Cesión 13,627 ton de Embarcacion  a EMDEPES SA</t>
        </r>
      </text>
    </comment>
    <comment ref="M41" authorId="0" shapeId="0">
      <text>
        <r>
          <rPr>
            <b/>
            <sz val="9"/>
            <color indexed="81"/>
            <rFont val="Tahoma"/>
            <family val="2"/>
          </rPr>
          <t>Autor:</t>
        </r>
        <r>
          <rPr>
            <sz val="9"/>
            <color indexed="81"/>
            <rFont val="Tahoma"/>
            <family val="2"/>
          </rPr>
          <t xml:space="preserve">
Cierre Ord N° 19910
</t>
        </r>
      </text>
    </comment>
    <comment ref="H43" authorId="0" shapeId="0">
      <text>
        <r>
          <rPr>
            <b/>
            <sz val="9"/>
            <color indexed="81"/>
            <rFont val="Tahoma"/>
            <family val="2"/>
          </rPr>
          <t>Autor:</t>
        </r>
        <r>
          <rPr>
            <sz val="9"/>
            <color indexed="81"/>
            <rFont val="Tahoma"/>
            <family val="2"/>
          </rPr>
          <t xml:space="preserve">
564-2019 Cesión 13,627 ton de Embarcacion  a EMDEPES SA</t>
        </r>
      </text>
    </comment>
    <comment ref="M43" authorId="0" shapeId="0">
      <text>
        <r>
          <rPr>
            <b/>
            <sz val="9"/>
            <color indexed="81"/>
            <rFont val="Tahoma"/>
            <family val="2"/>
          </rPr>
          <t>Autor:</t>
        </r>
        <r>
          <rPr>
            <sz val="9"/>
            <color indexed="81"/>
            <rFont val="Tahoma"/>
            <family val="2"/>
          </rPr>
          <t xml:space="preserve">
Cierre Ord N° 19910
</t>
        </r>
      </text>
    </comment>
    <comment ref="H45" authorId="0" shapeId="0">
      <text>
        <r>
          <rPr>
            <b/>
            <sz val="9"/>
            <color indexed="81"/>
            <rFont val="Tahoma"/>
            <family val="2"/>
          </rPr>
          <t>Autor:</t>
        </r>
        <r>
          <rPr>
            <sz val="9"/>
            <color indexed="81"/>
            <rFont val="Tahoma"/>
            <family val="2"/>
          </rPr>
          <t xml:space="preserve">
446-2019 Cesión 13,627 ton de Embarcacion VICTOR ALEJANDRO AREA PTO NATALES  a EMDEPES SA</t>
        </r>
      </text>
    </comment>
    <comment ref="M45" authorId="0" shapeId="0">
      <text>
        <r>
          <rPr>
            <b/>
            <sz val="9"/>
            <color indexed="81"/>
            <rFont val="Tahoma"/>
            <family val="2"/>
          </rPr>
          <t>Rgarcia:</t>
        </r>
        <r>
          <rPr>
            <sz val="9"/>
            <color indexed="81"/>
            <rFont val="Tahoma"/>
            <family val="2"/>
          </rPr>
          <t xml:space="preserve">
Cierre Ord N° 19754
</t>
        </r>
      </text>
    </comment>
    <comment ref="H47" authorId="0" shapeId="0">
      <text>
        <r>
          <rPr>
            <b/>
            <sz val="9"/>
            <color indexed="81"/>
            <rFont val="Tahoma"/>
            <family val="2"/>
          </rPr>
          <t>Autor:</t>
        </r>
        <r>
          <rPr>
            <sz val="9"/>
            <color indexed="81"/>
            <rFont val="Tahoma"/>
            <family val="2"/>
          </rPr>
          <t xml:space="preserve">
564-2019 Cesión 13,627 ton de Embarcacion  a EMDEPES SA</t>
        </r>
      </text>
    </comment>
    <comment ref="M47" authorId="0" shapeId="0">
      <text>
        <r>
          <rPr>
            <b/>
            <sz val="9"/>
            <color indexed="81"/>
            <rFont val="Tahoma"/>
            <family val="2"/>
          </rPr>
          <t>Autor:</t>
        </r>
        <r>
          <rPr>
            <sz val="9"/>
            <color indexed="81"/>
            <rFont val="Tahoma"/>
            <family val="2"/>
          </rPr>
          <t xml:space="preserve">
Cierre Ord N° 19910
</t>
        </r>
      </text>
    </comment>
    <comment ref="H49" authorId="0" shapeId="0">
      <text>
        <r>
          <rPr>
            <b/>
            <sz val="9"/>
            <color indexed="81"/>
            <rFont val="Tahoma"/>
            <family val="2"/>
          </rPr>
          <t>Autor:</t>
        </r>
        <r>
          <rPr>
            <sz val="9"/>
            <color indexed="81"/>
            <rFont val="Tahoma"/>
            <family val="2"/>
          </rPr>
          <t xml:space="preserve">
564-2019 Cesión 13,627 ton de Embarcacion  a EMDEPES SA</t>
        </r>
      </text>
    </comment>
    <comment ref="M49" authorId="0" shapeId="0">
      <text>
        <r>
          <rPr>
            <b/>
            <sz val="9"/>
            <color indexed="81"/>
            <rFont val="Tahoma"/>
            <family val="2"/>
          </rPr>
          <t>Autor:</t>
        </r>
        <r>
          <rPr>
            <sz val="9"/>
            <color indexed="81"/>
            <rFont val="Tahoma"/>
            <family val="2"/>
          </rPr>
          <t xml:space="preserve">
Cierre Ord N° 19910
</t>
        </r>
      </text>
    </comment>
    <comment ref="H51" authorId="0" shapeId="0">
      <text>
        <r>
          <rPr>
            <b/>
            <sz val="9"/>
            <color indexed="81"/>
            <rFont val="Tahoma"/>
            <family val="2"/>
          </rPr>
          <t>rgarcia:</t>
        </r>
        <r>
          <rPr>
            <sz val="9"/>
            <color indexed="81"/>
            <rFont val="Tahoma"/>
            <family val="2"/>
          </rPr>
          <t xml:space="preserve">
564-2019 Cesión 9 ton de Embarcacion  a EMDEPES SA</t>
        </r>
      </text>
    </comment>
    <comment ref="M51" authorId="0" shapeId="0">
      <text>
        <r>
          <rPr>
            <b/>
            <sz val="9"/>
            <color indexed="81"/>
            <rFont val="Tahoma"/>
            <family val="2"/>
          </rPr>
          <t>Rgarcia:</t>
        </r>
        <r>
          <rPr>
            <sz val="9"/>
            <color indexed="81"/>
            <rFont val="Tahoma"/>
            <family val="2"/>
          </rPr>
          <t xml:space="preserve">
Cierre 1°P_Ord N° 20852
</t>
        </r>
      </text>
    </comment>
    <comment ref="H53" authorId="0" shapeId="0">
      <text>
        <r>
          <rPr>
            <b/>
            <sz val="9"/>
            <color indexed="81"/>
            <rFont val="Tahoma"/>
            <family val="2"/>
          </rPr>
          <t>Autor:</t>
        </r>
        <r>
          <rPr>
            <sz val="9"/>
            <color indexed="81"/>
            <rFont val="Tahoma"/>
            <family val="2"/>
          </rPr>
          <t xml:space="preserve">
Cesión Res. Ex. N°2143-2019 por 13,627 tn. de embarcación artesanal a EMDEPES</t>
        </r>
      </text>
    </comment>
    <comment ref="M53" authorId="0" shapeId="0">
      <text>
        <r>
          <rPr>
            <b/>
            <sz val="9"/>
            <color indexed="81"/>
            <rFont val="Tahoma"/>
            <family val="2"/>
          </rPr>
          <t xml:space="preserve">Rgarcia:
</t>
        </r>
        <r>
          <rPr>
            <sz val="9"/>
            <color indexed="81"/>
            <rFont val="Tahoma"/>
            <family val="2"/>
          </rPr>
          <t xml:space="preserve">13-06-2019_Oficio 20850_Cierre de cuota </t>
        </r>
      </text>
    </comment>
    <comment ref="H55" authorId="0" shapeId="0">
      <text>
        <r>
          <rPr>
            <b/>
            <sz val="9"/>
            <color indexed="81"/>
            <rFont val="Tahoma"/>
            <family val="2"/>
          </rPr>
          <t>Autor:</t>
        </r>
        <r>
          <rPr>
            <sz val="9"/>
            <color indexed="81"/>
            <rFont val="Tahoma"/>
            <family val="2"/>
          </rPr>
          <t xml:space="preserve">
810-2019 Cesión 13,627 ton de Embarcacion  a EMDEPES SA</t>
        </r>
      </text>
    </comment>
    <comment ref="M55" authorId="0" shapeId="0">
      <text>
        <r>
          <rPr>
            <b/>
            <sz val="9"/>
            <color indexed="81"/>
            <rFont val="Tahoma"/>
            <family val="2"/>
          </rPr>
          <t>Autor:</t>
        </r>
        <r>
          <rPr>
            <sz val="9"/>
            <color indexed="81"/>
            <rFont val="Tahoma"/>
            <family val="2"/>
          </rPr>
          <t xml:space="preserve">
Cierre Ord N° 19911
</t>
        </r>
      </text>
    </comment>
    <comment ref="H57" authorId="0" shapeId="0">
      <text>
        <r>
          <rPr>
            <b/>
            <sz val="9"/>
            <color indexed="81"/>
            <rFont val="Tahoma"/>
            <family val="2"/>
          </rPr>
          <t>Autor:</t>
        </r>
        <r>
          <rPr>
            <sz val="9"/>
            <color indexed="81"/>
            <rFont val="Tahoma"/>
            <family val="2"/>
          </rPr>
          <t xml:space="preserve">
564-2019 Cesión 13,627 ton de Embarcacion  a EMDEPES SA</t>
        </r>
      </text>
    </comment>
    <comment ref="M57" authorId="0" shapeId="0">
      <text>
        <r>
          <rPr>
            <b/>
            <sz val="9"/>
            <color indexed="81"/>
            <rFont val="Tahoma"/>
            <family val="2"/>
          </rPr>
          <t>Autor:</t>
        </r>
        <r>
          <rPr>
            <sz val="9"/>
            <color indexed="81"/>
            <rFont val="Tahoma"/>
            <family val="2"/>
          </rPr>
          <t xml:space="preserve">
Cierre Ord N° 19910
</t>
        </r>
      </text>
    </comment>
    <comment ref="H59" authorId="0" shapeId="0">
      <text>
        <r>
          <rPr>
            <b/>
            <sz val="9"/>
            <color indexed="81"/>
            <rFont val="Tahoma"/>
            <family val="2"/>
          </rPr>
          <t>Autor:</t>
        </r>
        <r>
          <rPr>
            <sz val="9"/>
            <color indexed="81"/>
            <rFont val="Tahoma"/>
            <family val="2"/>
          </rPr>
          <t xml:space="preserve">
564-2019 Cesión 13,627 ton de Embarcacion  a EMDEPES SA</t>
        </r>
      </text>
    </comment>
    <comment ref="M59" authorId="0" shapeId="0">
      <text>
        <r>
          <rPr>
            <b/>
            <sz val="9"/>
            <color indexed="81"/>
            <rFont val="Tahoma"/>
            <family val="2"/>
          </rPr>
          <t>Autor:</t>
        </r>
        <r>
          <rPr>
            <sz val="9"/>
            <color indexed="81"/>
            <rFont val="Tahoma"/>
            <family val="2"/>
          </rPr>
          <t xml:space="preserve">
Cierre Ord N° 19910
</t>
        </r>
      </text>
    </comment>
    <comment ref="H61" authorId="0" shapeId="0">
      <text>
        <r>
          <rPr>
            <b/>
            <sz val="9"/>
            <color indexed="81"/>
            <rFont val="Tahoma"/>
            <family val="2"/>
          </rPr>
          <t>Autor:</t>
        </r>
        <r>
          <rPr>
            <sz val="9"/>
            <color indexed="81"/>
            <rFont val="Tahoma"/>
            <family val="2"/>
          </rPr>
          <t xml:space="preserve">
564-2019 Cesión 13,627 ton de Embarcacion  a EMDEPES SA</t>
        </r>
      </text>
    </comment>
    <comment ref="M61" authorId="0" shapeId="0">
      <text>
        <r>
          <rPr>
            <b/>
            <sz val="9"/>
            <color indexed="81"/>
            <rFont val="Tahoma"/>
            <family val="2"/>
          </rPr>
          <t>Autor:</t>
        </r>
        <r>
          <rPr>
            <sz val="9"/>
            <color indexed="81"/>
            <rFont val="Tahoma"/>
            <family val="2"/>
          </rPr>
          <t xml:space="preserve">
Cierre Ord N° 19910
</t>
        </r>
      </text>
    </comment>
    <comment ref="H63" authorId="0" shapeId="0">
      <text>
        <r>
          <rPr>
            <b/>
            <sz val="9"/>
            <color indexed="81"/>
            <rFont val="Tahoma"/>
            <family val="2"/>
          </rPr>
          <t>Autor:</t>
        </r>
        <r>
          <rPr>
            <sz val="9"/>
            <color indexed="81"/>
            <rFont val="Tahoma"/>
            <family val="2"/>
          </rPr>
          <t xml:space="preserve">
564-2019 Cesión 13,627 ton de Embarcacion  a EMDEPES SA</t>
        </r>
      </text>
    </comment>
    <comment ref="M63" authorId="0" shapeId="0">
      <text>
        <r>
          <rPr>
            <b/>
            <sz val="9"/>
            <color indexed="81"/>
            <rFont val="Tahoma"/>
            <family val="2"/>
          </rPr>
          <t>Autor:</t>
        </r>
        <r>
          <rPr>
            <sz val="9"/>
            <color indexed="81"/>
            <rFont val="Tahoma"/>
            <family val="2"/>
          </rPr>
          <t xml:space="preserve">
Cierre Ord N° 19910
</t>
        </r>
      </text>
    </comment>
    <comment ref="H65" authorId="0" shapeId="0">
      <text>
        <r>
          <rPr>
            <b/>
            <sz val="9"/>
            <color indexed="81"/>
            <rFont val="Tahoma"/>
            <family val="2"/>
          </rPr>
          <t>Autor:</t>
        </r>
        <r>
          <rPr>
            <sz val="9"/>
            <color indexed="81"/>
            <rFont val="Tahoma"/>
            <family val="2"/>
          </rPr>
          <t xml:space="preserve">
564-2019 Cesión 13,627 ton de Embarcacion  a EMDEPES SA</t>
        </r>
      </text>
    </comment>
    <comment ref="M65" authorId="0" shapeId="0">
      <text>
        <r>
          <rPr>
            <b/>
            <sz val="9"/>
            <color indexed="81"/>
            <rFont val="Tahoma"/>
            <family val="2"/>
          </rPr>
          <t>Autor:</t>
        </r>
        <r>
          <rPr>
            <sz val="9"/>
            <color indexed="81"/>
            <rFont val="Tahoma"/>
            <family val="2"/>
          </rPr>
          <t xml:space="preserve">
Cierre Ord N° 19910
</t>
        </r>
      </text>
    </comment>
    <comment ref="H67" authorId="0" shapeId="0">
      <text>
        <r>
          <rPr>
            <b/>
            <sz val="9"/>
            <color indexed="81"/>
            <rFont val="Tahoma"/>
            <family val="2"/>
          </rPr>
          <t>Autor:</t>
        </r>
        <r>
          <rPr>
            <sz val="9"/>
            <color indexed="81"/>
            <rFont val="Tahoma"/>
            <family val="2"/>
          </rPr>
          <t xml:space="preserve">
564-2019 Cesión 13,627 ton de Embarcacion  a EMDEPES SA</t>
        </r>
      </text>
    </comment>
    <comment ref="M67" authorId="0" shapeId="0">
      <text>
        <r>
          <rPr>
            <b/>
            <sz val="9"/>
            <color indexed="81"/>
            <rFont val="Tahoma"/>
            <family val="2"/>
          </rPr>
          <t>Autor:</t>
        </r>
        <r>
          <rPr>
            <sz val="9"/>
            <color indexed="81"/>
            <rFont val="Tahoma"/>
            <family val="2"/>
          </rPr>
          <t xml:space="preserve">
Cierre Ord N° 19910
</t>
        </r>
      </text>
    </comment>
    <comment ref="H69" authorId="0" shapeId="0">
      <text>
        <r>
          <rPr>
            <b/>
            <sz val="9"/>
            <color indexed="81"/>
            <rFont val="Tahoma"/>
            <family val="2"/>
          </rPr>
          <t>Autor:</t>
        </r>
        <r>
          <rPr>
            <sz val="9"/>
            <color indexed="81"/>
            <rFont val="Tahoma"/>
            <family val="2"/>
          </rPr>
          <t xml:space="preserve">
564-2019 Cesión 13,627 ton de Embarcacion  a EMDEPES SA</t>
        </r>
      </text>
    </comment>
    <comment ref="M69" authorId="0" shapeId="0">
      <text>
        <r>
          <rPr>
            <b/>
            <sz val="9"/>
            <color indexed="81"/>
            <rFont val="Tahoma"/>
            <family val="2"/>
          </rPr>
          <t>Autor:</t>
        </r>
        <r>
          <rPr>
            <sz val="9"/>
            <color indexed="81"/>
            <rFont val="Tahoma"/>
            <family val="2"/>
          </rPr>
          <t xml:space="preserve">
Cierre Ord N° 19910
</t>
        </r>
      </text>
    </comment>
    <comment ref="H71" authorId="0" shapeId="0">
      <text>
        <r>
          <rPr>
            <b/>
            <sz val="9"/>
            <color indexed="81"/>
            <rFont val="Tahoma"/>
            <family val="2"/>
          </rPr>
          <t>Autor:</t>
        </r>
        <r>
          <rPr>
            <sz val="9"/>
            <color indexed="81"/>
            <rFont val="Tahoma"/>
            <family val="2"/>
          </rPr>
          <t xml:space="preserve">
564-2019 Cesión 13,627 ton de Embarcacion  a EMDEPES SA</t>
        </r>
      </text>
    </comment>
    <comment ref="M71" authorId="0" shapeId="0">
      <text>
        <r>
          <rPr>
            <b/>
            <sz val="9"/>
            <color indexed="81"/>
            <rFont val="Tahoma"/>
            <family val="2"/>
          </rPr>
          <t>Autor:</t>
        </r>
        <r>
          <rPr>
            <sz val="9"/>
            <color indexed="81"/>
            <rFont val="Tahoma"/>
            <family val="2"/>
          </rPr>
          <t xml:space="preserve">
Cierre Ord N° 19910
</t>
        </r>
      </text>
    </comment>
    <comment ref="H73" authorId="0" shapeId="0">
      <text>
        <r>
          <rPr>
            <b/>
            <sz val="9"/>
            <color indexed="81"/>
            <rFont val="Tahoma"/>
            <family val="2"/>
          </rPr>
          <t>Autor:</t>
        </r>
        <r>
          <rPr>
            <sz val="9"/>
            <color indexed="81"/>
            <rFont val="Tahoma"/>
            <family val="2"/>
          </rPr>
          <t xml:space="preserve">
564-2019 Cesión 13,627 ton de Embarcacion  a EMDEPES SA</t>
        </r>
      </text>
    </comment>
    <comment ref="M73" authorId="0" shapeId="0">
      <text>
        <r>
          <rPr>
            <b/>
            <sz val="9"/>
            <color indexed="81"/>
            <rFont val="Tahoma"/>
            <family val="2"/>
          </rPr>
          <t>Autor:</t>
        </r>
        <r>
          <rPr>
            <sz val="9"/>
            <color indexed="81"/>
            <rFont val="Tahoma"/>
            <family val="2"/>
          </rPr>
          <t xml:space="preserve">
Cierre Ord N° 19910
</t>
        </r>
      </text>
    </comment>
    <comment ref="H75" authorId="0" shapeId="0">
      <text>
        <r>
          <rPr>
            <b/>
            <sz val="9"/>
            <color indexed="81"/>
            <rFont val="Tahoma"/>
            <family val="2"/>
          </rPr>
          <t>Autor:</t>
        </r>
        <r>
          <rPr>
            <sz val="9"/>
            <color indexed="81"/>
            <rFont val="Tahoma"/>
            <family val="2"/>
          </rPr>
          <t xml:space="preserve">
564-2019 Cesión 13,627 ton de Embarcacion  a EMDEPES SA</t>
        </r>
      </text>
    </comment>
    <comment ref="M75" authorId="0" shapeId="0">
      <text>
        <r>
          <rPr>
            <b/>
            <sz val="9"/>
            <color indexed="81"/>
            <rFont val="Tahoma"/>
            <family val="2"/>
          </rPr>
          <t>Autor:</t>
        </r>
        <r>
          <rPr>
            <sz val="9"/>
            <color indexed="81"/>
            <rFont val="Tahoma"/>
            <family val="2"/>
          </rPr>
          <t xml:space="preserve">
Cierre Ord N° 19910
</t>
        </r>
      </text>
    </comment>
    <comment ref="H77" authorId="0" shapeId="0">
      <text>
        <r>
          <rPr>
            <b/>
            <sz val="9"/>
            <color indexed="81"/>
            <rFont val="Tahoma"/>
            <family val="2"/>
          </rPr>
          <t>Autor:</t>
        </r>
        <r>
          <rPr>
            <sz val="9"/>
            <color indexed="81"/>
            <rFont val="Tahoma"/>
            <family val="2"/>
          </rPr>
          <t xml:space="preserve">
564-2019 Cesión 13,627 ton de Embarcacion  a EMDEPES SA</t>
        </r>
      </text>
    </comment>
    <comment ref="M77" authorId="0" shapeId="0">
      <text>
        <r>
          <rPr>
            <b/>
            <sz val="9"/>
            <color indexed="81"/>
            <rFont val="Tahoma"/>
            <family val="2"/>
          </rPr>
          <t>Autor:</t>
        </r>
        <r>
          <rPr>
            <sz val="9"/>
            <color indexed="81"/>
            <rFont val="Tahoma"/>
            <family val="2"/>
          </rPr>
          <t xml:space="preserve">
Cierre Ord N° 19910
</t>
        </r>
      </text>
    </comment>
    <comment ref="H79" authorId="0" shapeId="0">
      <text>
        <r>
          <rPr>
            <b/>
            <sz val="9"/>
            <color indexed="81"/>
            <rFont val="Tahoma"/>
            <family val="2"/>
          </rPr>
          <t>Autor:</t>
        </r>
        <r>
          <rPr>
            <sz val="9"/>
            <color indexed="81"/>
            <rFont val="Tahoma"/>
            <family val="2"/>
          </rPr>
          <t xml:space="preserve">
564-2019 Cesión 13,627 ton de Embarcacion  a EMDEPES SA</t>
        </r>
      </text>
    </comment>
    <comment ref="M79" authorId="0" shapeId="0">
      <text>
        <r>
          <rPr>
            <b/>
            <sz val="9"/>
            <color indexed="81"/>
            <rFont val="Tahoma"/>
            <family val="2"/>
          </rPr>
          <t>Autor:</t>
        </r>
        <r>
          <rPr>
            <sz val="9"/>
            <color indexed="81"/>
            <rFont val="Tahoma"/>
            <family val="2"/>
          </rPr>
          <t xml:space="preserve">
Cierre Ord N° 19910
</t>
        </r>
      </text>
    </comment>
    <comment ref="H81" authorId="0" shapeId="0">
      <text>
        <r>
          <rPr>
            <b/>
            <sz val="9"/>
            <color indexed="81"/>
            <rFont val="Tahoma"/>
            <family val="2"/>
          </rPr>
          <t>Autor:</t>
        </r>
        <r>
          <rPr>
            <sz val="9"/>
            <color indexed="81"/>
            <rFont val="Tahoma"/>
            <family val="2"/>
          </rPr>
          <t xml:space="preserve">
564-2019 Cesión 13,627 ton de Embarcacion  a EMDEPES SA</t>
        </r>
      </text>
    </comment>
    <comment ref="M81" authorId="0" shapeId="0">
      <text>
        <r>
          <rPr>
            <b/>
            <sz val="9"/>
            <color indexed="81"/>
            <rFont val="Tahoma"/>
            <family val="2"/>
          </rPr>
          <t>Autor:</t>
        </r>
        <r>
          <rPr>
            <sz val="9"/>
            <color indexed="81"/>
            <rFont val="Tahoma"/>
            <family val="2"/>
          </rPr>
          <t xml:space="preserve">
Cierre Ord N° 19910
</t>
        </r>
      </text>
    </comment>
    <comment ref="H83" authorId="0" shapeId="0">
      <text>
        <r>
          <rPr>
            <b/>
            <sz val="9"/>
            <color indexed="81"/>
            <rFont val="Tahoma"/>
            <family val="2"/>
          </rPr>
          <t>Autor:</t>
        </r>
        <r>
          <rPr>
            <sz val="9"/>
            <color indexed="81"/>
            <rFont val="Tahoma"/>
            <family val="2"/>
          </rPr>
          <t xml:space="preserve">
564-2019 Cesión 13,627 ton de Embarcacion  a EMDEPES SA</t>
        </r>
      </text>
    </comment>
    <comment ref="M83" authorId="0" shapeId="0">
      <text>
        <r>
          <rPr>
            <b/>
            <sz val="9"/>
            <color indexed="81"/>
            <rFont val="Tahoma"/>
            <family val="2"/>
          </rPr>
          <t>Autor:</t>
        </r>
        <r>
          <rPr>
            <sz val="9"/>
            <color indexed="81"/>
            <rFont val="Tahoma"/>
            <family val="2"/>
          </rPr>
          <t xml:space="preserve">
Cierre Ord N° 19910
</t>
        </r>
      </text>
    </comment>
    <comment ref="H85" authorId="0" shapeId="0">
      <text>
        <r>
          <rPr>
            <b/>
            <sz val="9"/>
            <color indexed="81"/>
            <rFont val="Tahoma"/>
            <family val="2"/>
          </rPr>
          <t>Autor:</t>
        </r>
        <r>
          <rPr>
            <sz val="9"/>
            <color indexed="81"/>
            <rFont val="Tahoma"/>
            <family val="2"/>
          </rPr>
          <t xml:space="preserve">
564-2019 Cesión 13,627 ton de Embarcacion  a EMDEPES SA</t>
        </r>
      </text>
    </comment>
    <comment ref="M85" authorId="0" shapeId="0">
      <text>
        <r>
          <rPr>
            <b/>
            <sz val="9"/>
            <color indexed="81"/>
            <rFont val="Tahoma"/>
            <family val="2"/>
          </rPr>
          <t>Autor:</t>
        </r>
        <r>
          <rPr>
            <sz val="9"/>
            <color indexed="81"/>
            <rFont val="Tahoma"/>
            <family val="2"/>
          </rPr>
          <t xml:space="preserve">
Cierre Ord N° 19910
</t>
        </r>
      </text>
    </comment>
    <comment ref="H87" authorId="0" shapeId="0">
      <text>
        <r>
          <rPr>
            <b/>
            <sz val="9"/>
            <color indexed="81"/>
            <rFont val="Tahoma"/>
            <family val="2"/>
          </rPr>
          <t>Autor:</t>
        </r>
        <r>
          <rPr>
            <sz val="9"/>
            <color indexed="81"/>
            <rFont val="Tahoma"/>
            <family val="2"/>
          </rPr>
          <t xml:space="preserve">
564-2019 Cesión 13,627 ton de Embarcacion  a EMDEPES SA</t>
        </r>
      </text>
    </comment>
    <comment ref="M87" authorId="0" shapeId="0">
      <text>
        <r>
          <rPr>
            <b/>
            <sz val="9"/>
            <color indexed="81"/>
            <rFont val="Tahoma"/>
            <family val="2"/>
          </rPr>
          <t>Autor:</t>
        </r>
        <r>
          <rPr>
            <sz val="9"/>
            <color indexed="81"/>
            <rFont val="Tahoma"/>
            <family val="2"/>
          </rPr>
          <t xml:space="preserve">
Cierre Ord N° 19910
</t>
        </r>
      </text>
    </comment>
    <comment ref="H89" authorId="0" shapeId="0">
      <text>
        <r>
          <rPr>
            <b/>
            <sz val="9"/>
            <color indexed="81"/>
            <rFont val="Tahoma"/>
            <family val="2"/>
          </rPr>
          <t>Autor:</t>
        </r>
        <r>
          <rPr>
            <sz val="9"/>
            <color indexed="81"/>
            <rFont val="Tahoma"/>
            <family val="2"/>
          </rPr>
          <t xml:space="preserve">
564-2019 Cesión 13,627 ton de Embarcacion  a EMDEPES SA</t>
        </r>
      </text>
    </comment>
    <comment ref="M89" authorId="0" shapeId="0">
      <text>
        <r>
          <rPr>
            <b/>
            <sz val="9"/>
            <color indexed="81"/>
            <rFont val="Tahoma"/>
            <family val="2"/>
          </rPr>
          <t>Autor:</t>
        </r>
        <r>
          <rPr>
            <sz val="9"/>
            <color indexed="81"/>
            <rFont val="Tahoma"/>
            <family val="2"/>
          </rPr>
          <t xml:space="preserve">
Cierre Ord N° 19910
</t>
        </r>
      </text>
    </comment>
    <comment ref="H91" authorId="0" shapeId="0">
      <text>
        <r>
          <rPr>
            <b/>
            <sz val="9"/>
            <color indexed="81"/>
            <rFont val="Tahoma"/>
            <family val="2"/>
          </rPr>
          <t>Autor:</t>
        </r>
        <r>
          <rPr>
            <sz val="9"/>
            <color indexed="81"/>
            <rFont val="Tahoma"/>
            <family val="2"/>
          </rPr>
          <t xml:space="preserve">
564-2019 Cesión 13,627 ton de Embarcacion  a EMDEPES SA</t>
        </r>
      </text>
    </comment>
    <comment ref="M91" authorId="0" shapeId="0">
      <text>
        <r>
          <rPr>
            <b/>
            <sz val="9"/>
            <color indexed="81"/>
            <rFont val="Tahoma"/>
            <family val="2"/>
          </rPr>
          <t>Autor:</t>
        </r>
        <r>
          <rPr>
            <sz val="9"/>
            <color indexed="81"/>
            <rFont val="Tahoma"/>
            <family val="2"/>
          </rPr>
          <t xml:space="preserve">
Cierre Ord N° 19910
</t>
        </r>
      </text>
    </comment>
    <comment ref="H93" authorId="0" shapeId="0">
      <text>
        <r>
          <rPr>
            <b/>
            <sz val="9"/>
            <color indexed="81"/>
            <rFont val="Tahoma"/>
            <family val="2"/>
          </rPr>
          <t>Autor:</t>
        </r>
        <r>
          <rPr>
            <sz val="9"/>
            <color indexed="81"/>
            <rFont val="Tahoma"/>
            <family val="2"/>
          </rPr>
          <t xml:space="preserve">
564-2019 Cesión 13,627 ton de Embarcacion  a EMDEPES SA</t>
        </r>
      </text>
    </comment>
    <comment ref="M93" authorId="0" shapeId="0">
      <text>
        <r>
          <rPr>
            <b/>
            <sz val="9"/>
            <color indexed="81"/>
            <rFont val="Tahoma"/>
            <family val="2"/>
          </rPr>
          <t>Autor:</t>
        </r>
        <r>
          <rPr>
            <sz val="9"/>
            <color indexed="81"/>
            <rFont val="Tahoma"/>
            <family val="2"/>
          </rPr>
          <t xml:space="preserve">
Cierre Ord N° 19910
</t>
        </r>
      </text>
    </comment>
    <comment ref="H95" authorId="0" shapeId="0">
      <text>
        <r>
          <rPr>
            <b/>
            <sz val="9"/>
            <color indexed="81"/>
            <rFont val="Tahoma"/>
            <family val="2"/>
          </rPr>
          <t>Autor:</t>
        </r>
        <r>
          <rPr>
            <sz val="9"/>
            <color indexed="81"/>
            <rFont val="Tahoma"/>
            <family val="2"/>
          </rPr>
          <t xml:space="preserve">
564-2019 Cesión 13,627 ton de Embarcacion  a EMDEPES SA</t>
        </r>
      </text>
    </comment>
    <comment ref="M95" authorId="0" shapeId="0">
      <text>
        <r>
          <rPr>
            <b/>
            <sz val="9"/>
            <color indexed="81"/>
            <rFont val="Tahoma"/>
            <family val="2"/>
          </rPr>
          <t>Autor:</t>
        </r>
        <r>
          <rPr>
            <sz val="9"/>
            <color indexed="81"/>
            <rFont val="Tahoma"/>
            <family val="2"/>
          </rPr>
          <t xml:space="preserve">
Cierre Ord N° 19910
</t>
        </r>
      </text>
    </comment>
    <comment ref="H97" authorId="0" shapeId="0">
      <text>
        <r>
          <rPr>
            <b/>
            <sz val="9"/>
            <color indexed="81"/>
            <rFont val="Tahoma"/>
            <family val="2"/>
          </rPr>
          <t>Autor:</t>
        </r>
        <r>
          <rPr>
            <sz val="9"/>
            <color indexed="81"/>
            <rFont val="Tahoma"/>
            <family val="2"/>
          </rPr>
          <t xml:space="preserve">
564-2019 Cesión 13,627 ton de Embarcacion  a EMDEPES SA</t>
        </r>
      </text>
    </comment>
    <comment ref="M97" authorId="0" shapeId="0">
      <text>
        <r>
          <rPr>
            <b/>
            <sz val="9"/>
            <color indexed="81"/>
            <rFont val="Tahoma"/>
            <family val="2"/>
          </rPr>
          <t>Autor:</t>
        </r>
        <r>
          <rPr>
            <sz val="9"/>
            <color indexed="81"/>
            <rFont val="Tahoma"/>
            <family val="2"/>
          </rPr>
          <t xml:space="preserve">
Cierre Ord N° 19910
</t>
        </r>
      </text>
    </comment>
    <comment ref="H99" authorId="0" shapeId="0">
      <text>
        <r>
          <rPr>
            <b/>
            <sz val="9"/>
            <color indexed="81"/>
            <rFont val="Tahoma"/>
            <family val="2"/>
          </rPr>
          <t>Autor:</t>
        </r>
        <r>
          <rPr>
            <sz val="9"/>
            <color indexed="81"/>
            <rFont val="Tahoma"/>
            <family val="2"/>
          </rPr>
          <t xml:space="preserve">
564-2019 Cesión 13,627 ton de Embarcacion  a EMDEPES SA</t>
        </r>
      </text>
    </comment>
    <comment ref="M99" authorId="0" shapeId="0">
      <text>
        <r>
          <rPr>
            <b/>
            <sz val="9"/>
            <color indexed="81"/>
            <rFont val="Tahoma"/>
            <family val="2"/>
          </rPr>
          <t>Autor:</t>
        </r>
        <r>
          <rPr>
            <sz val="9"/>
            <color indexed="81"/>
            <rFont val="Tahoma"/>
            <family val="2"/>
          </rPr>
          <t xml:space="preserve">
Cierre Ord N° 19910
</t>
        </r>
      </text>
    </comment>
    <comment ref="H101" authorId="0" shapeId="0">
      <text>
        <r>
          <rPr>
            <b/>
            <sz val="9"/>
            <color indexed="81"/>
            <rFont val="Tahoma"/>
            <family val="2"/>
          </rPr>
          <t>Autor:</t>
        </r>
        <r>
          <rPr>
            <sz val="9"/>
            <color indexed="81"/>
            <rFont val="Tahoma"/>
            <family val="2"/>
          </rPr>
          <t xml:space="preserve">
564-2019 Cesión 13,627 ton de Embarcacion  a EMDEPES SA</t>
        </r>
      </text>
    </comment>
    <comment ref="M101" authorId="0" shapeId="0">
      <text>
        <r>
          <rPr>
            <b/>
            <sz val="9"/>
            <color indexed="81"/>
            <rFont val="Tahoma"/>
            <family val="2"/>
          </rPr>
          <t>Autor:</t>
        </r>
        <r>
          <rPr>
            <sz val="9"/>
            <color indexed="81"/>
            <rFont val="Tahoma"/>
            <family val="2"/>
          </rPr>
          <t xml:space="preserve">
Cierre Ord N° 19910
</t>
        </r>
      </text>
    </comment>
    <comment ref="H103" authorId="0" shapeId="0">
      <text>
        <r>
          <rPr>
            <b/>
            <sz val="9"/>
            <color indexed="81"/>
            <rFont val="Tahoma"/>
            <family val="2"/>
          </rPr>
          <t>Autor:</t>
        </r>
        <r>
          <rPr>
            <sz val="9"/>
            <color indexed="81"/>
            <rFont val="Tahoma"/>
            <family val="2"/>
          </rPr>
          <t xml:space="preserve">
564-2019 Cesión 13,627 ton de Embarcacion  a EMDEPES SA</t>
        </r>
      </text>
    </comment>
    <comment ref="M103" authorId="0" shapeId="0">
      <text>
        <r>
          <rPr>
            <b/>
            <sz val="9"/>
            <color indexed="81"/>
            <rFont val="Tahoma"/>
            <family val="2"/>
          </rPr>
          <t>Autor:</t>
        </r>
        <r>
          <rPr>
            <sz val="9"/>
            <color indexed="81"/>
            <rFont val="Tahoma"/>
            <family val="2"/>
          </rPr>
          <t xml:space="preserve">
Cierre Ord N° 19910
</t>
        </r>
      </text>
    </comment>
    <comment ref="H105" authorId="0" shapeId="0">
      <text>
        <r>
          <rPr>
            <b/>
            <sz val="9"/>
            <color indexed="81"/>
            <rFont val="Tahoma"/>
            <family val="2"/>
          </rPr>
          <t>Autor:</t>
        </r>
        <r>
          <rPr>
            <sz val="9"/>
            <color indexed="81"/>
            <rFont val="Tahoma"/>
            <family val="2"/>
          </rPr>
          <t xml:space="preserve">
564-2019 Cesión 13,627 ton de Embarcacion  a EMDEPES SA</t>
        </r>
      </text>
    </comment>
    <comment ref="M105" authorId="0" shapeId="0">
      <text>
        <r>
          <rPr>
            <b/>
            <sz val="9"/>
            <color indexed="81"/>
            <rFont val="Tahoma"/>
            <family val="2"/>
          </rPr>
          <t>Autor:</t>
        </r>
        <r>
          <rPr>
            <sz val="9"/>
            <color indexed="81"/>
            <rFont val="Tahoma"/>
            <family val="2"/>
          </rPr>
          <t xml:space="preserve">
Cierre Ord N° 19910
</t>
        </r>
      </text>
    </comment>
    <comment ref="H107" authorId="0" shapeId="0">
      <text>
        <r>
          <rPr>
            <b/>
            <sz val="9"/>
            <color indexed="81"/>
            <rFont val="Tahoma"/>
            <family val="2"/>
          </rPr>
          <t>Autor:</t>
        </r>
        <r>
          <rPr>
            <sz val="9"/>
            <color indexed="81"/>
            <rFont val="Tahoma"/>
            <family val="2"/>
          </rPr>
          <t xml:space="preserve">
564-2019 Cesión 13,627 ton de Embarcacion  a EMDEPES SA</t>
        </r>
      </text>
    </comment>
    <comment ref="M107" authorId="0" shapeId="0">
      <text>
        <r>
          <rPr>
            <b/>
            <sz val="9"/>
            <color indexed="81"/>
            <rFont val="Tahoma"/>
            <family val="2"/>
          </rPr>
          <t>Autor:</t>
        </r>
        <r>
          <rPr>
            <sz val="9"/>
            <color indexed="81"/>
            <rFont val="Tahoma"/>
            <family val="2"/>
          </rPr>
          <t xml:space="preserve">
Cierre Ord N° 19910
</t>
        </r>
      </text>
    </comment>
    <comment ref="H109" authorId="0" shapeId="0">
      <text>
        <r>
          <rPr>
            <b/>
            <sz val="9"/>
            <color indexed="81"/>
            <rFont val="Tahoma"/>
            <family val="2"/>
          </rPr>
          <t>rgarcia:</t>
        </r>
        <r>
          <rPr>
            <sz val="9"/>
            <color indexed="81"/>
            <rFont val="Tahoma"/>
            <family val="2"/>
          </rPr>
          <t xml:space="preserve">
564-2019 Cesión 11  ton de Embarcacion  a EMDEPES SA</t>
        </r>
      </text>
    </comment>
    <comment ref="M109" authorId="0" shapeId="0">
      <text>
        <r>
          <rPr>
            <b/>
            <sz val="9"/>
            <color indexed="81"/>
            <rFont val="Tahoma"/>
            <family val="2"/>
          </rPr>
          <t>Rgarcia:</t>
        </r>
        <r>
          <rPr>
            <sz val="9"/>
            <color indexed="81"/>
            <rFont val="Tahoma"/>
            <family val="2"/>
          </rPr>
          <t xml:space="preserve">
Cierre 1°P_Ord N° 20852
</t>
        </r>
      </text>
    </comment>
    <comment ref="H111" authorId="0" shapeId="0">
      <text>
        <r>
          <rPr>
            <b/>
            <sz val="9"/>
            <color indexed="81"/>
            <rFont val="Tahoma"/>
            <family val="2"/>
          </rPr>
          <t>Autor:</t>
        </r>
        <r>
          <rPr>
            <sz val="9"/>
            <color indexed="81"/>
            <rFont val="Tahoma"/>
            <family val="2"/>
          </rPr>
          <t xml:space="preserve">
564-2019 Cesión 13,627 ton de Embarcacion  a EMDEPES SA</t>
        </r>
      </text>
    </comment>
    <comment ref="M111" authorId="0" shapeId="0">
      <text>
        <r>
          <rPr>
            <b/>
            <sz val="9"/>
            <color indexed="81"/>
            <rFont val="Tahoma"/>
            <family val="2"/>
          </rPr>
          <t>Autor:</t>
        </r>
        <r>
          <rPr>
            <sz val="9"/>
            <color indexed="81"/>
            <rFont val="Tahoma"/>
            <family val="2"/>
          </rPr>
          <t xml:space="preserve">
Cierre Ord N° 19910
</t>
        </r>
      </text>
    </comment>
    <comment ref="H113" authorId="0" shapeId="0">
      <text>
        <r>
          <rPr>
            <b/>
            <sz val="9"/>
            <color indexed="81"/>
            <rFont val="Tahoma"/>
            <family val="2"/>
          </rPr>
          <t>Autor:</t>
        </r>
        <r>
          <rPr>
            <sz val="9"/>
            <color indexed="81"/>
            <rFont val="Tahoma"/>
            <family val="2"/>
          </rPr>
          <t xml:space="preserve">
564-2019 Cesión 13,627 ton de Embarcacion  a EMDEPES SA</t>
        </r>
      </text>
    </comment>
    <comment ref="M113" authorId="0" shapeId="0">
      <text>
        <r>
          <rPr>
            <b/>
            <sz val="9"/>
            <color indexed="81"/>
            <rFont val="Tahoma"/>
            <family val="2"/>
          </rPr>
          <t>Autor:</t>
        </r>
        <r>
          <rPr>
            <sz val="9"/>
            <color indexed="81"/>
            <rFont val="Tahoma"/>
            <family val="2"/>
          </rPr>
          <t xml:space="preserve">
Cierre Ord N° 19910
</t>
        </r>
      </text>
    </comment>
    <comment ref="H115" authorId="0" shapeId="0">
      <text>
        <r>
          <rPr>
            <b/>
            <sz val="9"/>
            <color indexed="81"/>
            <rFont val="Tahoma"/>
            <family val="2"/>
          </rPr>
          <t>Autor:</t>
        </r>
        <r>
          <rPr>
            <sz val="9"/>
            <color indexed="81"/>
            <rFont val="Tahoma"/>
            <family val="2"/>
          </rPr>
          <t xml:space="preserve">
564-2019 Cesión 13,627 ton de Embarcacion  a EMDEPES SA</t>
        </r>
      </text>
    </comment>
    <comment ref="M115" authorId="0" shapeId="0">
      <text>
        <r>
          <rPr>
            <b/>
            <sz val="9"/>
            <color indexed="81"/>
            <rFont val="Tahoma"/>
            <family val="2"/>
          </rPr>
          <t>Autor:</t>
        </r>
        <r>
          <rPr>
            <sz val="9"/>
            <color indexed="81"/>
            <rFont val="Tahoma"/>
            <family val="2"/>
          </rPr>
          <t xml:space="preserve">
Cierre Ord N° 19910
</t>
        </r>
      </text>
    </comment>
    <comment ref="H117" authorId="0" shapeId="0">
      <text>
        <r>
          <rPr>
            <b/>
            <sz val="9"/>
            <color indexed="81"/>
            <rFont val="Tahoma"/>
            <family val="2"/>
          </rPr>
          <t>Autor:</t>
        </r>
        <r>
          <rPr>
            <sz val="9"/>
            <color indexed="81"/>
            <rFont val="Tahoma"/>
            <family val="2"/>
          </rPr>
          <t xml:space="preserve">
564-2019 Cesión 13,627 ton de Embarcacion  a EMDEPES SA</t>
        </r>
      </text>
    </comment>
    <comment ref="M117" authorId="0" shapeId="0">
      <text>
        <r>
          <rPr>
            <b/>
            <sz val="9"/>
            <color indexed="81"/>
            <rFont val="Tahoma"/>
            <family val="2"/>
          </rPr>
          <t>Autor:</t>
        </r>
        <r>
          <rPr>
            <sz val="9"/>
            <color indexed="81"/>
            <rFont val="Tahoma"/>
            <family val="2"/>
          </rPr>
          <t xml:space="preserve">
Cierre Ord N° 19910
</t>
        </r>
      </text>
    </comment>
    <comment ref="H119" authorId="0" shapeId="0">
      <text>
        <r>
          <rPr>
            <b/>
            <sz val="9"/>
            <color indexed="81"/>
            <rFont val="Tahoma"/>
            <family val="2"/>
          </rPr>
          <t>Autor:</t>
        </r>
        <r>
          <rPr>
            <sz val="9"/>
            <color indexed="81"/>
            <rFont val="Tahoma"/>
            <family val="2"/>
          </rPr>
          <t xml:space="preserve">
564-2019 Cesión 13,627 ton de Embarcacion  a EMDEPES SA</t>
        </r>
      </text>
    </comment>
    <comment ref="M119" authorId="0" shapeId="0">
      <text>
        <r>
          <rPr>
            <b/>
            <sz val="9"/>
            <color indexed="81"/>
            <rFont val="Tahoma"/>
            <family val="2"/>
          </rPr>
          <t>Autor:</t>
        </r>
        <r>
          <rPr>
            <sz val="9"/>
            <color indexed="81"/>
            <rFont val="Tahoma"/>
            <family val="2"/>
          </rPr>
          <t xml:space="preserve">
Cierre Ord N° 19910
</t>
        </r>
      </text>
    </comment>
    <comment ref="H121" authorId="0" shapeId="0">
      <text>
        <r>
          <rPr>
            <b/>
            <sz val="9"/>
            <color indexed="81"/>
            <rFont val="Tahoma"/>
            <family val="2"/>
          </rPr>
          <t>Autor:</t>
        </r>
        <r>
          <rPr>
            <sz val="9"/>
            <color indexed="81"/>
            <rFont val="Tahoma"/>
            <family val="2"/>
          </rPr>
          <t xml:space="preserve">
564-2019 Cesión 13,627 ton de Embarcacion  a EMDEPES SA</t>
        </r>
      </text>
    </comment>
    <comment ref="M121" authorId="0" shapeId="0">
      <text>
        <r>
          <rPr>
            <b/>
            <sz val="9"/>
            <color indexed="81"/>
            <rFont val="Tahoma"/>
            <family val="2"/>
          </rPr>
          <t>Autor:</t>
        </r>
        <r>
          <rPr>
            <sz val="9"/>
            <color indexed="81"/>
            <rFont val="Tahoma"/>
            <family val="2"/>
          </rPr>
          <t xml:space="preserve">
Cierre Ord N° 19910
</t>
        </r>
      </text>
    </comment>
    <comment ref="H123" authorId="0" shapeId="0">
      <text>
        <r>
          <rPr>
            <b/>
            <sz val="9"/>
            <color indexed="81"/>
            <rFont val="Tahoma"/>
            <family val="2"/>
          </rPr>
          <t>Autor:</t>
        </r>
        <r>
          <rPr>
            <sz val="9"/>
            <color indexed="81"/>
            <rFont val="Tahoma"/>
            <family val="2"/>
          </rPr>
          <t xml:space="preserve">
564-2019 Cesión 13,627 ton de Embarcacion  a EMDEPES SA</t>
        </r>
      </text>
    </comment>
    <comment ref="M123" authorId="0" shapeId="0">
      <text>
        <r>
          <rPr>
            <b/>
            <sz val="9"/>
            <color indexed="81"/>
            <rFont val="Tahoma"/>
            <family val="2"/>
          </rPr>
          <t>Autor:</t>
        </r>
        <r>
          <rPr>
            <sz val="9"/>
            <color indexed="81"/>
            <rFont val="Tahoma"/>
            <family val="2"/>
          </rPr>
          <t xml:space="preserve">
Cierre Ord N° 19910
</t>
        </r>
      </text>
    </comment>
    <comment ref="H125" authorId="0" shapeId="0">
      <text>
        <r>
          <rPr>
            <b/>
            <sz val="9"/>
            <color indexed="81"/>
            <rFont val="Tahoma"/>
            <family val="2"/>
          </rPr>
          <t>rgarcia::</t>
        </r>
        <r>
          <rPr>
            <sz val="9"/>
            <color indexed="81"/>
            <rFont val="Tahoma"/>
            <family val="2"/>
          </rPr>
          <t xml:space="preserve">
564-2019 Cesión 12,5 ton de Embarcacion  a EMDEPES SA</t>
        </r>
      </text>
    </comment>
    <comment ref="M125" authorId="0" shapeId="0">
      <text>
        <r>
          <rPr>
            <b/>
            <sz val="9"/>
            <color indexed="81"/>
            <rFont val="Tahoma"/>
            <family val="2"/>
          </rPr>
          <t>Rgarcia:</t>
        </r>
        <r>
          <rPr>
            <sz val="9"/>
            <color indexed="81"/>
            <rFont val="Tahoma"/>
            <family val="2"/>
          </rPr>
          <t xml:space="preserve">
Cierre 1°P_Ord N° 20852
</t>
        </r>
      </text>
    </comment>
    <comment ref="H127" authorId="0" shapeId="0">
      <text>
        <r>
          <rPr>
            <b/>
            <sz val="9"/>
            <color indexed="81"/>
            <rFont val="Tahoma"/>
            <family val="2"/>
          </rPr>
          <t>Autor:</t>
        </r>
        <r>
          <rPr>
            <sz val="9"/>
            <color indexed="81"/>
            <rFont val="Tahoma"/>
            <family val="2"/>
          </rPr>
          <t xml:space="preserve">
564-2019 Cesión 13,627 ton de Embarcacion  a EMDEPES SA</t>
        </r>
      </text>
    </comment>
    <comment ref="M127" authorId="0" shapeId="0">
      <text>
        <r>
          <rPr>
            <b/>
            <sz val="9"/>
            <color indexed="81"/>
            <rFont val="Tahoma"/>
            <family val="2"/>
          </rPr>
          <t>Autor:</t>
        </r>
        <r>
          <rPr>
            <sz val="9"/>
            <color indexed="81"/>
            <rFont val="Tahoma"/>
            <family val="2"/>
          </rPr>
          <t xml:space="preserve">
Cierre Ord N° 19910
</t>
        </r>
      </text>
    </comment>
    <comment ref="H129" authorId="0" shapeId="0">
      <text>
        <r>
          <rPr>
            <b/>
            <sz val="9"/>
            <color indexed="81"/>
            <rFont val="Tahoma"/>
            <family val="2"/>
          </rPr>
          <t>Autor:</t>
        </r>
        <r>
          <rPr>
            <sz val="9"/>
            <color indexed="81"/>
            <rFont val="Tahoma"/>
            <family val="2"/>
          </rPr>
          <t xml:space="preserve">
564-2019 Cesión 13,627 ton de Embarcacion  a EMDEPES SA</t>
        </r>
      </text>
    </comment>
    <comment ref="M129" authorId="0" shapeId="0">
      <text>
        <r>
          <rPr>
            <b/>
            <sz val="9"/>
            <color indexed="81"/>
            <rFont val="Tahoma"/>
            <family val="2"/>
          </rPr>
          <t>Autor:</t>
        </r>
        <r>
          <rPr>
            <sz val="9"/>
            <color indexed="81"/>
            <rFont val="Tahoma"/>
            <family val="2"/>
          </rPr>
          <t xml:space="preserve">
Cierre Ord N° 19910
</t>
        </r>
      </text>
    </comment>
    <comment ref="H131" authorId="0" shapeId="0">
      <text>
        <r>
          <rPr>
            <b/>
            <sz val="9"/>
            <color indexed="81"/>
            <rFont val="Tahoma"/>
            <family val="2"/>
          </rPr>
          <t>rgarcia:</t>
        </r>
        <r>
          <rPr>
            <sz val="9"/>
            <color indexed="81"/>
            <rFont val="Tahoma"/>
            <family val="2"/>
          </rPr>
          <t xml:space="preserve">
564-2019 Cesión 12 ton de Embarcacion  a EMDEPES SA</t>
        </r>
      </text>
    </comment>
    <comment ref="M131" authorId="0" shapeId="0">
      <text>
        <r>
          <rPr>
            <b/>
            <sz val="9"/>
            <color indexed="81"/>
            <rFont val="Tahoma"/>
            <family val="2"/>
          </rPr>
          <t>Rgarcia:</t>
        </r>
        <r>
          <rPr>
            <sz val="9"/>
            <color indexed="81"/>
            <rFont val="Tahoma"/>
            <family val="2"/>
          </rPr>
          <t xml:space="preserve">
Cierre 1°P_Ord N° 20852
</t>
        </r>
      </text>
    </comment>
    <comment ref="H133" authorId="0" shapeId="0">
      <text>
        <r>
          <rPr>
            <b/>
            <sz val="9"/>
            <color indexed="81"/>
            <rFont val="Tahoma"/>
            <family val="2"/>
          </rPr>
          <t>rgarcia:</t>
        </r>
        <r>
          <rPr>
            <sz val="9"/>
            <color indexed="81"/>
            <rFont val="Tahoma"/>
            <family val="2"/>
          </rPr>
          <t xml:space="preserve">
564-2019 Cesión 12 ton de Embarcacion  a EMDEPES SA</t>
        </r>
      </text>
    </comment>
    <comment ref="M133" authorId="0" shapeId="0">
      <text>
        <r>
          <rPr>
            <b/>
            <sz val="9"/>
            <color indexed="81"/>
            <rFont val="Tahoma"/>
            <family val="2"/>
          </rPr>
          <t>Autor:</t>
        </r>
        <r>
          <rPr>
            <sz val="9"/>
            <color indexed="81"/>
            <rFont val="Tahoma"/>
            <family val="2"/>
          </rPr>
          <t xml:space="preserve">
cierre por completar cuota periodo ENER-JULIO</t>
        </r>
      </text>
    </comment>
    <comment ref="H135" authorId="0" shapeId="0">
      <text>
        <r>
          <rPr>
            <b/>
            <sz val="9"/>
            <color indexed="81"/>
            <rFont val="Tahoma"/>
            <family val="2"/>
          </rPr>
          <t>Autor:</t>
        </r>
        <r>
          <rPr>
            <sz val="9"/>
            <color indexed="81"/>
            <rFont val="Tahoma"/>
            <family val="2"/>
          </rPr>
          <t xml:space="preserve">
564-2019 Cesión 13,627 ton de Embarcacion  a EMDEPES SA</t>
        </r>
      </text>
    </comment>
    <comment ref="M135" authorId="0" shapeId="0">
      <text>
        <r>
          <rPr>
            <b/>
            <sz val="9"/>
            <color indexed="81"/>
            <rFont val="Tahoma"/>
            <family val="2"/>
          </rPr>
          <t>Autor:</t>
        </r>
        <r>
          <rPr>
            <sz val="9"/>
            <color indexed="81"/>
            <rFont val="Tahoma"/>
            <family val="2"/>
          </rPr>
          <t xml:space="preserve">
Cierre Ord N° 19910
</t>
        </r>
      </text>
    </comment>
    <comment ref="H137" authorId="0" shapeId="0">
      <text>
        <r>
          <rPr>
            <b/>
            <sz val="9"/>
            <color indexed="81"/>
            <rFont val="Tahoma"/>
            <family val="2"/>
          </rPr>
          <t>Autor:</t>
        </r>
        <r>
          <rPr>
            <sz val="9"/>
            <color indexed="81"/>
            <rFont val="Tahoma"/>
            <family val="2"/>
          </rPr>
          <t xml:space="preserve">
446-2019 Cesión 13,627 ton de Embarcacion POLY AREA PTO NATALES   a EMDEPES SA</t>
        </r>
      </text>
    </comment>
    <comment ref="M137" authorId="0" shapeId="0">
      <text>
        <r>
          <rPr>
            <b/>
            <sz val="9"/>
            <color indexed="81"/>
            <rFont val="Tahoma"/>
            <family val="2"/>
          </rPr>
          <t>Rgarcia:</t>
        </r>
        <r>
          <rPr>
            <sz val="9"/>
            <color indexed="81"/>
            <rFont val="Tahoma"/>
            <family val="2"/>
          </rPr>
          <t xml:space="preserve">
Cierre Ord N° 19755
</t>
        </r>
      </text>
    </comment>
    <comment ref="H139" authorId="0" shapeId="0">
      <text>
        <r>
          <rPr>
            <b/>
            <sz val="9"/>
            <color indexed="81"/>
            <rFont val="Tahoma"/>
            <family val="2"/>
          </rPr>
          <t>Autor:</t>
        </r>
        <r>
          <rPr>
            <sz val="9"/>
            <color indexed="81"/>
            <rFont val="Tahoma"/>
            <family val="2"/>
          </rPr>
          <t xml:space="preserve">
564-2019 Cesión 13,627 ton de Embarcacion  a EMDEPES SA</t>
        </r>
      </text>
    </comment>
    <comment ref="M139" authorId="0" shapeId="0">
      <text>
        <r>
          <rPr>
            <b/>
            <sz val="9"/>
            <color indexed="81"/>
            <rFont val="Tahoma"/>
            <family val="2"/>
          </rPr>
          <t>Autor:</t>
        </r>
        <r>
          <rPr>
            <sz val="9"/>
            <color indexed="81"/>
            <rFont val="Tahoma"/>
            <family val="2"/>
          </rPr>
          <t xml:space="preserve">
Cierre Ord N° 19910
</t>
        </r>
      </text>
    </comment>
    <comment ref="H141" authorId="0" shapeId="0">
      <text>
        <r>
          <rPr>
            <b/>
            <sz val="9"/>
            <color indexed="81"/>
            <rFont val="Tahoma"/>
            <family val="2"/>
          </rPr>
          <t>Autor:</t>
        </r>
        <r>
          <rPr>
            <sz val="9"/>
            <color indexed="81"/>
            <rFont val="Tahoma"/>
            <family val="2"/>
          </rPr>
          <t xml:space="preserve">
564-2019 Cesión 13,627 ton de Embarcacion  a EMDEPES SA</t>
        </r>
      </text>
    </comment>
    <comment ref="M141" authorId="0" shapeId="0">
      <text>
        <r>
          <rPr>
            <b/>
            <sz val="9"/>
            <color indexed="81"/>
            <rFont val="Tahoma"/>
            <family val="2"/>
          </rPr>
          <t>Autor:</t>
        </r>
        <r>
          <rPr>
            <sz val="9"/>
            <color indexed="81"/>
            <rFont val="Tahoma"/>
            <family val="2"/>
          </rPr>
          <t xml:space="preserve">
Cierre Ord N° 19910
</t>
        </r>
      </text>
    </comment>
    <comment ref="H143" authorId="0" shapeId="0">
      <text>
        <r>
          <rPr>
            <b/>
            <sz val="9"/>
            <color indexed="81"/>
            <rFont val="Tahoma"/>
            <family val="2"/>
          </rPr>
          <t>Autor:</t>
        </r>
        <r>
          <rPr>
            <sz val="9"/>
            <color indexed="81"/>
            <rFont val="Tahoma"/>
            <family val="2"/>
          </rPr>
          <t xml:space="preserve">
688-2019 Cesión 13,500 ton de Embarcacion  a Deris S.A.</t>
        </r>
      </text>
    </comment>
    <comment ref="M143" authorId="0" shapeId="0">
      <text>
        <r>
          <rPr>
            <b/>
            <sz val="9"/>
            <color indexed="81"/>
            <rFont val="Tahoma"/>
            <family val="2"/>
          </rPr>
          <t>Rgarcia:</t>
        </r>
        <r>
          <rPr>
            <sz val="9"/>
            <color indexed="81"/>
            <rFont val="Tahoma"/>
            <family val="2"/>
          </rPr>
          <t xml:space="preserve">
Cierre 1°P_Ord N° 20852
</t>
        </r>
      </text>
    </comment>
    <comment ref="H145" authorId="0" shapeId="0">
      <text>
        <r>
          <rPr>
            <b/>
            <sz val="9"/>
            <color indexed="81"/>
            <rFont val="Tahoma"/>
            <family val="2"/>
          </rPr>
          <t>Autor:</t>
        </r>
        <r>
          <rPr>
            <sz val="9"/>
            <color indexed="81"/>
            <rFont val="Tahoma"/>
            <family val="2"/>
          </rPr>
          <t xml:space="preserve">
564-2019 Cesión 13,627 ton de Embarcacion  a EMDEPES SA</t>
        </r>
      </text>
    </comment>
    <comment ref="M145" authorId="0" shapeId="0">
      <text>
        <r>
          <rPr>
            <b/>
            <sz val="9"/>
            <color indexed="81"/>
            <rFont val="Tahoma"/>
            <family val="2"/>
          </rPr>
          <t>Autor:</t>
        </r>
        <r>
          <rPr>
            <sz val="9"/>
            <color indexed="81"/>
            <rFont val="Tahoma"/>
            <family val="2"/>
          </rPr>
          <t xml:space="preserve">
Cierre Ord N° 19910
</t>
        </r>
      </text>
    </comment>
    <comment ref="H147" authorId="0" shapeId="0">
      <text>
        <r>
          <rPr>
            <b/>
            <sz val="9"/>
            <color indexed="81"/>
            <rFont val="Tahoma"/>
            <family val="2"/>
          </rPr>
          <t>Autor:</t>
        </r>
        <r>
          <rPr>
            <sz val="9"/>
            <color indexed="81"/>
            <rFont val="Tahoma"/>
            <family val="2"/>
          </rPr>
          <t xml:space="preserve">
564-2019 Cesión 13,627 ton de Embarcacion  a EMDEPES SA</t>
        </r>
      </text>
    </comment>
    <comment ref="M147" authorId="0" shapeId="0">
      <text>
        <r>
          <rPr>
            <b/>
            <sz val="9"/>
            <color indexed="81"/>
            <rFont val="Tahoma"/>
            <family val="2"/>
          </rPr>
          <t>Autor:</t>
        </r>
        <r>
          <rPr>
            <sz val="9"/>
            <color indexed="81"/>
            <rFont val="Tahoma"/>
            <family val="2"/>
          </rPr>
          <t xml:space="preserve">
Cierre Ord N° 19910
</t>
        </r>
      </text>
    </comment>
    <comment ref="H149" authorId="0" shapeId="0">
      <text>
        <r>
          <rPr>
            <b/>
            <sz val="9"/>
            <color indexed="81"/>
            <rFont val="Tahoma"/>
            <family val="2"/>
          </rPr>
          <t>Autor:</t>
        </r>
        <r>
          <rPr>
            <sz val="9"/>
            <color indexed="81"/>
            <rFont val="Tahoma"/>
            <family val="2"/>
          </rPr>
          <t xml:space="preserve">
564-2019 Cesión 13,627 ton de Embarcacion  a EMDEPES SA</t>
        </r>
      </text>
    </comment>
    <comment ref="M149" authorId="0" shapeId="0">
      <text>
        <r>
          <rPr>
            <b/>
            <sz val="9"/>
            <color indexed="81"/>
            <rFont val="Tahoma"/>
            <family val="2"/>
          </rPr>
          <t>Autor:</t>
        </r>
        <r>
          <rPr>
            <sz val="9"/>
            <color indexed="81"/>
            <rFont val="Tahoma"/>
            <family val="2"/>
          </rPr>
          <t xml:space="preserve">
Cierre Ord N° 19910
</t>
        </r>
      </text>
    </comment>
    <comment ref="H151" authorId="0" shapeId="0">
      <text>
        <r>
          <rPr>
            <b/>
            <sz val="9"/>
            <color indexed="81"/>
            <rFont val="Tahoma"/>
            <family val="2"/>
          </rPr>
          <t>Autor:</t>
        </r>
        <r>
          <rPr>
            <sz val="9"/>
            <color indexed="81"/>
            <rFont val="Tahoma"/>
            <family val="2"/>
          </rPr>
          <t xml:space="preserve">
564-2019 Cesión 13,627 ton de Embarcacion  a EMDEPES SA</t>
        </r>
      </text>
    </comment>
    <comment ref="M151" authorId="0" shapeId="0">
      <text>
        <r>
          <rPr>
            <b/>
            <sz val="9"/>
            <color indexed="81"/>
            <rFont val="Tahoma"/>
            <family val="2"/>
          </rPr>
          <t>Autor:</t>
        </r>
        <r>
          <rPr>
            <sz val="9"/>
            <color indexed="81"/>
            <rFont val="Tahoma"/>
            <family val="2"/>
          </rPr>
          <t xml:space="preserve">
Cierre Ord N° 19910
</t>
        </r>
      </text>
    </comment>
    <comment ref="H153" authorId="0" shapeId="0">
      <text>
        <r>
          <rPr>
            <b/>
            <sz val="9"/>
            <color indexed="81"/>
            <rFont val="Tahoma"/>
            <family val="2"/>
          </rPr>
          <t>Autor:</t>
        </r>
        <r>
          <rPr>
            <sz val="9"/>
            <color indexed="81"/>
            <rFont val="Tahoma"/>
            <family val="2"/>
          </rPr>
          <t xml:space="preserve">
564-2019 Cesión 13,627 ton de Embarcacion  a EMDEPES SA</t>
        </r>
      </text>
    </comment>
    <comment ref="M153" authorId="0" shapeId="0">
      <text>
        <r>
          <rPr>
            <b/>
            <sz val="9"/>
            <color indexed="81"/>
            <rFont val="Tahoma"/>
            <family val="2"/>
          </rPr>
          <t>Autor:</t>
        </r>
        <r>
          <rPr>
            <sz val="9"/>
            <color indexed="81"/>
            <rFont val="Tahoma"/>
            <family val="2"/>
          </rPr>
          <t xml:space="preserve">
Cierre Ord N° 19910
</t>
        </r>
      </text>
    </comment>
    <comment ref="H155" authorId="0" shapeId="0">
      <text>
        <r>
          <rPr>
            <b/>
            <sz val="9"/>
            <color indexed="81"/>
            <rFont val="Tahoma"/>
            <family val="2"/>
          </rPr>
          <t>Autor:</t>
        </r>
        <r>
          <rPr>
            <sz val="9"/>
            <color indexed="81"/>
            <rFont val="Tahoma"/>
            <family val="2"/>
          </rPr>
          <t xml:space="preserve">
564-2019 Cesión 13,627 ton de Embarcacion  a EMDEPES SA</t>
        </r>
      </text>
    </comment>
    <comment ref="M155" authorId="0" shapeId="0">
      <text>
        <r>
          <rPr>
            <b/>
            <sz val="9"/>
            <color indexed="81"/>
            <rFont val="Tahoma"/>
            <family val="2"/>
          </rPr>
          <t>Autor:</t>
        </r>
        <r>
          <rPr>
            <sz val="9"/>
            <color indexed="81"/>
            <rFont val="Tahoma"/>
            <family val="2"/>
          </rPr>
          <t xml:space="preserve">
Cierre Ord N° 19910
</t>
        </r>
      </text>
    </comment>
    <comment ref="H157" authorId="0" shapeId="0">
      <text>
        <r>
          <rPr>
            <b/>
            <sz val="9"/>
            <color indexed="81"/>
            <rFont val="Tahoma"/>
            <family val="2"/>
          </rPr>
          <t>Autor:</t>
        </r>
        <r>
          <rPr>
            <sz val="9"/>
            <color indexed="81"/>
            <rFont val="Tahoma"/>
            <family val="2"/>
          </rPr>
          <t xml:space="preserve">
564-2019 Cesión 13,627 ton de Embarcacion  a EMDEPES SA</t>
        </r>
      </text>
    </comment>
    <comment ref="M157" authorId="0" shapeId="0">
      <text>
        <r>
          <rPr>
            <b/>
            <sz val="9"/>
            <color indexed="81"/>
            <rFont val="Tahoma"/>
            <family val="2"/>
          </rPr>
          <t>Autor:</t>
        </r>
        <r>
          <rPr>
            <sz val="9"/>
            <color indexed="81"/>
            <rFont val="Tahoma"/>
            <family val="2"/>
          </rPr>
          <t xml:space="preserve">
Cierre Ord N° 19910
</t>
        </r>
      </text>
    </comment>
    <comment ref="H159" authorId="0" shapeId="0">
      <text>
        <r>
          <rPr>
            <b/>
            <sz val="9"/>
            <color indexed="81"/>
            <rFont val="Tahoma"/>
            <family val="2"/>
          </rPr>
          <t>Autor:</t>
        </r>
        <r>
          <rPr>
            <sz val="9"/>
            <color indexed="81"/>
            <rFont val="Tahoma"/>
            <family val="2"/>
          </rPr>
          <t xml:space="preserve">
564-2019 Cesión 13,627 ton de Embarcacion  a EMDEPES SA</t>
        </r>
      </text>
    </comment>
    <comment ref="M159" authorId="0" shapeId="0">
      <text>
        <r>
          <rPr>
            <b/>
            <sz val="9"/>
            <color indexed="81"/>
            <rFont val="Tahoma"/>
            <family val="2"/>
          </rPr>
          <t>Autor:</t>
        </r>
        <r>
          <rPr>
            <sz val="9"/>
            <color indexed="81"/>
            <rFont val="Tahoma"/>
            <family val="2"/>
          </rPr>
          <t xml:space="preserve">
Cierre Ord N° 19910
</t>
        </r>
      </text>
    </comment>
    <comment ref="H161" authorId="0" shapeId="0">
      <text>
        <r>
          <rPr>
            <b/>
            <sz val="9"/>
            <color indexed="81"/>
            <rFont val="Tahoma"/>
            <family val="2"/>
          </rPr>
          <t>Autor:</t>
        </r>
        <r>
          <rPr>
            <sz val="9"/>
            <color indexed="81"/>
            <rFont val="Tahoma"/>
            <family val="2"/>
          </rPr>
          <t xml:space="preserve">
564-2019 Cesión 13,627 ton de Embarcacion  a EMDEPES SA</t>
        </r>
      </text>
    </comment>
    <comment ref="M161" authorId="0" shapeId="0">
      <text>
        <r>
          <rPr>
            <b/>
            <sz val="9"/>
            <color indexed="81"/>
            <rFont val="Tahoma"/>
            <family val="2"/>
          </rPr>
          <t>Autor:</t>
        </r>
        <r>
          <rPr>
            <sz val="9"/>
            <color indexed="81"/>
            <rFont val="Tahoma"/>
            <family val="2"/>
          </rPr>
          <t xml:space="preserve">
Cierre Ord N° 19910
</t>
        </r>
      </text>
    </comment>
    <comment ref="H163" authorId="0" shapeId="0">
      <text>
        <r>
          <rPr>
            <b/>
            <sz val="9"/>
            <color indexed="81"/>
            <rFont val="Tahoma"/>
            <family val="2"/>
          </rPr>
          <t>Autor:</t>
        </r>
        <r>
          <rPr>
            <sz val="9"/>
            <color indexed="81"/>
            <rFont val="Tahoma"/>
            <family val="2"/>
          </rPr>
          <t xml:space="preserve">
564-2019 Cesión 13,627 ton de Embarcacion  a EMDEPES SA</t>
        </r>
      </text>
    </comment>
    <comment ref="M163" authorId="0" shapeId="0">
      <text>
        <r>
          <rPr>
            <b/>
            <sz val="9"/>
            <color indexed="81"/>
            <rFont val="Tahoma"/>
            <family val="2"/>
          </rPr>
          <t>Autor:</t>
        </r>
        <r>
          <rPr>
            <sz val="9"/>
            <color indexed="81"/>
            <rFont val="Tahoma"/>
            <family val="2"/>
          </rPr>
          <t xml:space="preserve">
Cierre Ord N° 19910
</t>
        </r>
      </text>
    </comment>
    <comment ref="H165" authorId="0" shapeId="0">
      <text>
        <r>
          <rPr>
            <b/>
            <sz val="9"/>
            <color indexed="81"/>
            <rFont val="Tahoma"/>
            <family val="2"/>
          </rPr>
          <t>Autor:</t>
        </r>
        <r>
          <rPr>
            <sz val="9"/>
            <color indexed="81"/>
            <rFont val="Tahoma"/>
            <family val="2"/>
          </rPr>
          <t xml:space="preserve">
564-2019 Cesión 13,627 ton de Embarcacion  a EMDEPES SA</t>
        </r>
      </text>
    </comment>
    <comment ref="M165" authorId="0" shapeId="0">
      <text>
        <r>
          <rPr>
            <b/>
            <sz val="9"/>
            <color indexed="81"/>
            <rFont val="Tahoma"/>
            <family val="2"/>
          </rPr>
          <t>Autor:</t>
        </r>
        <r>
          <rPr>
            <sz val="9"/>
            <color indexed="81"/>
            <rFont val="Tahoma"/>
            <family val="2"/>
          </rPr>
          <t xml:space="preserve">
Cierre Ord N° 19910
</t>
        </r>
      </text>
    </comment>
    <comment ref="H167" authorId="0" shapeId="0">
      <text>
        <r>
          <rPr>
            <b/>
            <sz val="9"/>
            <color indexed="81"/>
            <rFont val="Tahoma"/>
            <family val="2"/>
          </rPr>
          <t>Autor:</t>
        </r>
        <r>
          <rPr>
            <sz val="9"/>
            <color indexed="81"/>
            <rFont val="Tahoma"/>
            <family val="2"/>
          </rPr>
          <t xml:space="preserve">
564-2019 Cesión 13,627 ton de Embarcacion  a EMDEPES SA</t>
        </r>
      </text>
    </comment>
    <comment ref="M167" authorId="0" shapeId="0">
      <text>
        <r>
          <rPr>
            <b/>
            <sz val="9"/>
            <color indexed="81"/>
            <rFont val="Tahoma"/>
            <family val="2"/>
          </rPr>
          <t>Autor:</t>
        </r>
        <r>
          <rPr>
            <sz val="9"/>
            <color indexed="81"/>
            <rFont val="Tahoma"/>
            <family val="2"/>
          </rPr>
          <t xml:space="preserve">
Cierre Ord N° 19910
</t>
        </r>
      </text>
    </comment>
    <comment ref="H169" authorId="0" shapeId="0">
      <text>
        <r>
          <rPr>
            <b/>
            <sz val="9"/>
            <color indexed="81"/>
            <rFont val="Tahoma"/>
            <family val="2"/>
          </rPr>
          <t>Autor:</t>
        </r>
        <r>
          <rPr>
            <sz val="9"/>
            <color indexed="81"/>
            <rFont val="Tahoma"/>
            <family val="2"/>
          </rPr>
          <t xml:space="preserve">
564-2019 Cesión 13,627 ton de Embarcacion  a EMDEPES SA</t>
        </r>
      </text>
    </comment>
    <comment ref="M169" authorId="0" shapeId="0">
      <text>
        <r>
          <rPr>
            <b/>
            <sz val="9"/>
            <color indexed="81"/>
            <rFont val="Tahoma"/>
            <family val="2"/>
          </rPr>
          <t>Autor:</t>
        </r>
        <r>
          <rPr>
            <sz val="9"/>
            <color indexed="81"/>
            <rFont val="Tahoma"/>
            <family val="2"/>
          </rPr>
          <t xml:space="preserve">
Cierre Ord N° 19910
</t>
        </r>
      </text>
    </comment>
    <comment ref="H171" authorId="0" shapeId="0">
      <text>
        <r>
          <rPr>
            <b/>
            <sz val="9"/>
            <color indexed="81"/>
            <rFont val="Tahoma"/>
            <family val="2"/>
          </rPr>
          <t>Autor:</t>
        </r>
        <r>
          <rPr>
            <sz val="9"/>
            <color indexed="81"/>
            <rFont val="Tahoma"/>
            <family val="2"/>
          </rPr>
          <t xml:space="preserve">
564-2019 Cesión 13,627 ton de Embarcacion  a EMDEPES SA</t>
        </r>
      </text>
    </comment>
    <comment ref="M171" authorId="0" shapeId="0">
      <text>
        <r>
          <rPr>
            <b/>
            <sz val="9"/>
            <color indexed="81"/>
            <rFont val="Tahoma"/>
            <family val="2"/>
          </rPr>
          <t>Autor:</t>
        </r>
        <r>
          <rPr>
            <sz val="9"/>
            <color indexed="81"/>
            <rFont val="Tahoma"/>
            <family val="2"/>
          </rPr>
          <t xml:space="preserve">
Cierre Ord N° 19910
</t>
        </r>
      </text>
    </comment>
    <comment ref="H173" authorId="0" shapeId="0">
      <text>
        <r>
          <rPr>
            <b/>
            <sz val="9"/>
            <color indexed="81"/>
            <rFont val="Tahoma"/>
            <family val="2"/>
          </rPr>
          <t>Autor:</t>
        </r>
        <r>
          <rPr>
            <sz val="9"/>
            <color indexed="81"/>
            <rFont val="Tahoma"/>
            <family val="2"/>
          </rPr>
          <t xml:space="preserve">
564-2019 Cesión 13,627 ton de Embarcacion  a EMDEPES SA</t>
        </r>
      </text>
    </comment>
    <comment ref="M173" authorId="0" shapeId="0">
      <text>
        <r>
          <rPr>
            <b/>
            <sz val="9"/>
            <color indexed="81"/>
            <rFont val="Tahoma"/>
            <family val="2"/>
          </rPr>
          <t>Autor:</t>
        </r>
        <r>
          <rPr>
            <sz val="9"/>
            <color indexed="81"/>
            <rFont val="Tahoma"/>
            <family val="2"/>
          </rPr>
          <t xml:space="preserve">
Cierre Ord N° 19910
</t>
        </r>
      </text>
    </comment>
    <comment ref="H175" authorId="0" shapeId="0">
      <text>
        <r>
          <rPr>
            <b/>
            <sz val="9"/>
            <color indexed="81"/>
            <rFont val="Tahoma"/>
            <family val="2"/>
          </rPr>
          <t>Autor:</t>
        </r>
        <r>
          <rPr>
            <sz val="9"/>
            <color indexed="81"/>
            <rFont val="Tahoma"/>
            <family val="2"/>
          </rPr>
          <t xml:space="preserve">
564-2019 Cesión 13,627 ton de Embarcacion  a EMDEPES SA</t>
        </r>
      </text>
    </comment>
    <comment ref="M175" authorId="0" shapeId="0">
      <text>
        <r>
          <rPr>
            <b/>
            <sz val="9"/>
            <color indexed="81"/>
            <rFont val="Tahoma"/>
            <family val="2"/>
          </rPr>
          <t>Autor:</t>
        </r>
        <r>
          <rPr>
            <sz val="9"/>
            <color indexed="81"/>
            <rFont val="Tahoma"/>
            <family val="2"/>
          </rPr>
          <t xml:space="preserve">
Cierre Ord N° 19910
</t>
        </r>
      </text>
    </comment>
    <comment ref="H177" authorId="0" shapeId="0">
      <text>
        <r>
          <rPr>
            <b/>
            <sz val="9"/>
            <color indexed="81"/>
            <rFont val="Tahoma"/>
            <family val="2"/>
          </rPr>
          <t>Autor:</t>
        </r>
        <r>
          <rPr>
            <sz val="9"/>
            <color indexed="81"/>
            <rFont val="Tahoma"/>
            <family val="2"/>
          </rPr>
          <t xml:space="preserve">
564-2019 Cesión 13,627 ton de Embarcacion  a EMDEPES SA</t>
        </r>
      </text>
    </comment>
    <comment ref="M177" authorId="0" shapeId="0">
      <text>
        <r>
          <rPr>
            <b/>
            <sz val="9"/>
            <color indexed="81"/>
            <rFont val="Tahoma"/>
            <family val="2"/>
          </rPr>
          <t>Autor:</t>
        </r>
        <r>
          <rPr>
            <sz val="9"/>
            <color indexed="81"/>
            <rFont val="Tahoma"/>
            <family val="2"/>
          </rPr>
          <t xml:space="preserve">
Cierre Ord N° 19910
</t>
        </r>
      </text>
    </comment>
    <comment ref="H179" authorId="0" shapeId="0">
      <text>
        <r>
          <rPr>
            <b/>
            <sz val="9"/>
            <color indexed="81"/>
            <rFont val="Tahoma"/>
            <family val="2"/>
          </rPr>
          <t>Autor:</t>
        </r>
        <r>
          <rPr>
            <sz val="9"/>
            <color indexed="81"/>
            <rFont val="Tahoma"/>
            <family val="2"/>
          </rPr>
          <t xml:space="preserve">
564-2019 Cesión 13,627 ton de Embarcacion  a EMDEPES SA</t>
        </r>
      </text>
    </comment>
    <comment ref="M179" authorId="0" shapeId="0">
      <text>
        <r>
          <rPr>
            <b/>
            <sz val="9"/>
            <color indexed="81"/>
            <rFont val="Tahoma"/>
            <family val="2"/>
          </rPr>
          <t>Autor:</t>
        </r>
        <r>
          <rPr>
            <sz val="9"/>
            <color indexed="81"/>
            <rFont val="Tahoma"/>
            <family val="2"/>
          </rPr>
          <t xml:space="preserve">
Cierre Ord N° 19910
</t>
        </r>
      </text>
    </comment>
    <comment ref="H181" authorId="0" shapeId="0">
      <text>
        <r>
          <rPr>
            <b/>
            <sz val="9"/>
            <color indexed="81"/>
            <rFont val="Tahoma"/>
            <family val="2"/>
          </rPr>
          <t>Autor:</t>
        </r>
        <r>
          <rPr>
            <sz val="9"/>
            <color indexed="81"/>
            <rFont val="Tahoma"/>
            <family val="2"/>
          </rPr>
          <t xml:space="preserve">
564-2019 Cesión 13,627 ton de Embarcacion  a EMDEPES SA</t>
        </r>
      </text>
    </comment>
    <comment ref="M181" authorId="0" shapeId="0">
      <text>
        <r>
          <rPr>
            <b/>
            <sz val="9"/>
            <color indexed="81"/>
            <rFont val="Tahoma"/>
            <family val="2"/>
          </rPr>
          <t>Autor:</t>
        </r>
        <r>
          <rPr>
            <sz val="9"/>
            <color indexed="81"/>
            <rFont val="Tahoma"/>
            <family val="2"/>
          </rPr>
          <t xml:space="preserve">
Cierre Ord N° 19910
</t>
        </r>
      </text>
    </comment>
    <comment ref="H183" authorId="0" shapeId="0">
      <text>
        <r>
          <rPr>
            <b/>
            <sz val="9"/>
            <color indexed="81"/>
            <rFont val="Tahoma"/>
            <family val="2"/>
          </rPr>
          <t>Autor:</t>
        </r>
        <r>
          <rPr>
            <sz val="9"/>
            <color indexed="81"/>
            <rFont val="Tahoma"/>
            <family val="2"/>
          </rPr>
          <t xml:space="preserve">
564-2019 Cesión 13,627 ton de Embarcacion  a EMDEPES SA</t>
        </r>
      </text>
    </comment>
    <comment ref="M183" authorId="0" shapeId="0">
      <text>
        <r>
          <rPr>
            <b/>
            <sz val="9"/>
            <color indexed="81"/>
            <rFont val="Tahoma"/>
            <family val="2"/>
          </rPr>
          <t>Autor:</t>
        </r>
        <r>
          <rPr>
            <sz val="9"/>
            <color indexed="81"/>
            <rFont val="Tahoma"/>
            <family val="2"/>
          </rPr>
          <t xml:space="preserve">
Cierre Ord N° 19910
</t>
        </r>
      </text>
    </comment>
    <comment ref="H185" authorId="0" shapeId="0">
      <text>
        <r>
          <rPr>
            <b/>
            <sz val="9"/>
            <color indexed="81"/>
            <rFont val="Tahoma"/>
            <family val="2"/>
          </rPr>
          <t>Autor:</t>
        </r>
        <r>
          <rPr>
            <sz val="9"/>
            <color indexed="81"/>
            <rFont val="Tahoma"/>
            <family val="2"/>
          </rPr>
          <t xml:space="preserve">
564-2019 Cesión 13,627 ton de Embarcacion  a EMDEPES SA</t>
        </r>
      </text>
    </comment>
    <comment ref="M185" authorId="0" shapeId="0">
      <text>
        <r>
          <rPr>
            <b/>
            <sz val="9"/>
            <color indexed="81"/>
            <rFont val="Tahoma"/>
            <family val="2"/>
          </rPr>
          <t>Autor:</t>
        </r>
        <r>
          <rPr>
            <sz val="9"/>
            <color indexed="81"/>
            <rFont val="Tahoma"/>
            <family val="2"/>
          </rPr>
          <t xml:space="preserve">
Cierre Ord N° 19910
</t>
        </r>
      </text>
    </comment>
    <comment ref="H187" authorId="0" shapeId="0">
      <text>
        <r>
          <rPr>
            <b/>
            <sz val="9"/>
            <color indexed="81"/>
            <rFont val="Tahoma"/>
            <family val="2"/>
          </rPr>
          <t>Autor:</t>
        </r>
        <r>
          <rPr>
            <sz val="9"/>
            <color indexed="81"/>
            <rFont val="Tahoma"/>
            <family val="2"/>
          </rPr>
          <t xml:space="preserve">
564-2019 Cesión 13,627 ton de Embarcacion  a EMDEPES SA</t>
        </r>
      </text>
    </comment>
    <comment ref="M187" authorId="0" shapeId="0">
      <text>
        <r>
          <rPr>
            <b/>
            <sz val="9"/>
            <color indexed="81"/>
            <rFont val="Tahoma"/>
            <family val="2"/>
          </rPr>
          <t>Autor:</t>
        </r>
        <r>
          <rPr>
            <sz val="9"/>
            <color indexed="81"/>
            <rFont val="Tahoma"/>
            <family val="2"/>
          </rPr>
          <t xml:space="preserve">
Cierre Ord N° 19910
</t>
        </r>
      </text>
    </comment>
    <comment ref="H189" authorId="0" shapeId="0">
      <text>
        <r>
          <rPr>
            <b/>
            <sz val="9"/>
            <color indexed="81"/>
            <rFont val="Tahoma"/>
            <family val="2"/>
          </rPr>
          <t>Autor:</t>
        </r>
        <r>
          <rPr>
            <sz val="9"/>
            <color indexed="81"/>
            <rFont val="Tahoma"/>
            <family val="2"/>
          </rPr>
          <t xml:space="preserve">
688-2019 Cesión 13,597 ton de Embarcacion  a Deris S.A.</t>
        </r>
      </text>
    </comment>
    <comment ref="M189" authorId="0" shapeId="0">
      <text>
        <r>
          <rPr>
            <b/>
            <sz val="9"/>
            <color indexed="81"/>
            <rFont val="Tahoma"/>
            <family val="2"/>
          </rPr>
          <t>Rgarcia:</t>
        </r>
        <r>
          <rPr>
            <sz val="9"/>
            <color indexed="81"/>
            <rFont val="Tahoma"/>
            <family val="2"/>
          </rPr>
          <t xml:space="preserve">
Cierre 1°P_Ord N° 20852
</t>
        </r>
      </text>
    </comment>
    <comment ref="H191" authorId="0" shapeId="0">
      <text>
        <r>
          <rPr>
            <b/>
            <sz val="9"/>
            <color indexed="81"/>
            <rFont val="Tahoma"/>
            <family val="2"/>
          </rPr>
          <t>Autor:</t>
        </r>
        <r>
          <rPr>
            <sz val="9"/>
            <color indexed="81"/>
            <rFont val="Tahoma"/>
            <family val="2"/>
          </rPr>
          <t xml:space="preserve">
564-2019 Cesión 13,627 ton de Embarcacion  a EMDEPES SA</t>
        </r>
      </text>
    </comment>
    <comment ref="M191" authorId="0" shapeId="0">
      <text>
        <r>
          <rPr>
            <b/>
            <sz val="9"/>
            <color indexed="81"/>
            <rFont val="Tahoma"/>
            <family val="2"/>
          </rPr>
          <t>Autor:</t>
        </r>
        <r>
          <rPr>
            <sz val="9"/>
            <color indexed="81"/>
            <rFont val="Tahoma"/>
            <family val="2"/>
          </rPr>
          <t xml:space="preserve">
Cierre Ord N° 19910
</t>
        </r>
      </text>
    </comment>
    <comment ref="H193" authorId="0" shapeId="0">
      <text>
        <r>
          <rPr>
            <b/>
            <sz val="9"/>
            <color indexed="81"/>
            <rFont val="Tahoma"/>
            <family val="2"/>
          </rPr>
          <t>Autor:</t>
        </r>
        <r>
          <rPr>
            <sz val="9"/>
            <color indexed="81"/>
            <rFont val="Tahoma"/>
            <family val="2"/>
          </rPr>
          <t xml:space="preserve">
678-2019 Cesión 13,627 ton de Embarcacion a Deris S.A.</t>
        </r>
      </text>
    </comment>
    <comment ref="M193" authorId="0" shapeId="0">
      <text>
        <r>
          <rPr>
            <b/>
            <sz val="9"/>
            <color indexed="81"/>
            <rFont val="Tahoma"/>
            <family val="2"/>
          </rPr>
          <t>Rgarcia:</t>
        </r>
        <r>
          <rPr>
            <sz val="9"/>
            <color indexed="81"/>
            <rFont val="Tahoma"/>
            <family val="2"/>
          </rPr>
          <t xml:space="preserve">
Cierre Ord N° 19911
</t>
        </r>
      </text>
    </comment>
    <comment ref="H195" authorId="0" shapeId="0">
      <text>
        <r>
          <rPr>
            <b/>
            <sz val="9"/>
            <color indexed="81"/>
            <rFont val="Tahoma"/>
            <family val="2"/>
          </rPr>
          <t>Autor:</t>
        </r>
        <r>
          <rPr>
            <sz val="9"/>
            <color indexed="81"/>
            <rFont val="Tahoma"/>
            <family val="2"/>
          </rPr>
          <t xml:space="preserve">
810-2019 Cesión 13,627 ton de Embarcacion  a EMDEPES SA</t>
        </r>
      </text>
    </comment>
    <comment ref="M195" authorId="0" shapeId="0">
      <text>
        <r>
          <rPr>
            <b/>
            <sz val="9"/>
            <color indexed="81"/>
            <rFont val="Tahoma"/>
            <family val="2"/>
          </rPr>
          <t>Rgarcia:</t>
        </r>
        <r>
          <rPr>
            <sz val="9"/>
            <color indexed="81"/>
            <rFont val="Tahoma"/>
            <family val="2"/>
          </rPr>
          <t xml:space="preserve">
Cierre Ord N° 19911
</t>
        </r>
      </text>
    </comment>
    <comment ref="H197" authorId="0" shapeId="0">
      <text>
        <r>
          <rPr>
            <b/>
            <sz val="9"/>
            <color indexed="81"/>
            <rFont val="Tahoma"/>
            <family val="2"/>
          </rPr>
          <t>Autor:</t>
        </r>
        <r>
          <rPr>
            <sz val="9"/>
            <color indexed="81"/>
            <rFont val="Tahoma"/>
            <family val="2"/>
          </rPr>
          <t xml:space="preserve">
564-2019 Cesión 13,627 ton de Embarcacion  a EMDEPES SA</t>
        </r>
      </text>
    </comment>
    <comment ref="M197" authorId="0" shapeId="0">
      <text>
        <r>
          <rPr>
            <b/>
            <sz val="9"/>
            <color indexed="81"/>
            <rFont val="Tahoma"/>
            <family val="2"/>
          </rPr>
          <t>Autor:</t>
        </r>
        <r>
          <rPr>
            <sz val="9"/>
            <color indexed="81"/>
            <rFont val="Tahoma"/>
            <family val="2"/>
          </rPr>
          <t xml:space="preserve">
Cierre Ord N° 19910
</t>
        </r>
      </text>
    </comment>
    <comment ref="H199" authorId="0" shapeId="0">
      <text>
        <r>
          <rPr>
            <b/>
            <sz val="9"/>
            <color indexed="81"/>
            <rFont val="Tahoma"/>
            <family val="2"/>
          </rPr>
          <t>Autor:</t>
        </r>
        <r>
          <rPr>
            <sz val="9"/>
            <color indexed="81"/>
            <rFont val="Tahoma"/>
            <family val="2"/>
          </rPr>
          <t xml:space="preserve">
564-2019 Cesión 13,627 ton de Embarcacion  a EMDEPES SA</t>
        </r>
      </text>
    </comment>
    <comment ref="M199" authorId="0" shapeId="0">
      <text>
        <r>
          <rPr>
            <b/>
            <sz val="9"/>
            <color indexed="81"/>
            <rFont val="Tahoma"/>
            <family val="2"/>
          </rPr>
          <t>Autor:</t>
        </r>
        <r>
          <rPr>
            <sz val="9"/>
            <color indexed="81"/>
            <rFont val="Tahoma"/>
            <family val="2"/>
          </rPr>
          <t xml:space="preserve">
Cierre Ord N° 19910
</t>
        </r>
      </text>
    </comment>
    <comment ref="H201" authorId="0" shapeId="0">
      <text>
        <r>
          <rPr>
            <b/>
            <sz val="9"/>
            <color indexed="81"/>
            <rFont val="Tahoma"/>
            <family val="2"/>
          </rPr>
          <t>Autor:</t>
        </r>
        <r>
          <rPr>
            <sz val="9"/>
            <color indexed="81"/>
            <rFont val="Tahoma"/>
            <family val="2"/>
          </rPr>
          <t xml:space="preserve">
678-2019 Cesión 13,627 ton de Embarcacion a Deris S.A.</t>
        </r>
      </text>
    </comment>
    <comment ref="M201" authorId="0" shapeId="0">
      <text>
        <r>
          <rPr>
            <b/>
            <sz val="9"/>
            <color indexed="81"/>
            <rFont val="Tahoma"/>
            <family val="2"/>
          </rPr>
          <t>Rgarcia:</t>
        </r>
        <r>
          <rPr>
            <sz val="9"/>
            <color indexed="81"/>
            <rFont val="Tahoma"/>
            <family val="2"/>
          </rPr>
          <t xml:space="preserve">
Cierre Ord N° 19911
</t>
        </r>
      </text>
    </comment>
    <comment ref="H203" authorId="0" shapeId="0">
      <text>
        <r>
          <rPr>
            <b/>
            <sz val="9"/>
            <color indexed="81"/>
            <rFont val="Tahoma"/>
            <family val="2"/>
          </rPr>
          <t>Autor:</t>
        </r>
        <r>
          <rPr>
            <sz val="9"/>
            <color indexed="81"/>
            <rFont val="Tahoma"/>
            <family val="2"/>
          </rPr>
          <t xml:space="preserve">
678-2019 Cesión 13,627 ton de Embarcacion a Deris S.A.</t>
        </r>
      </text>
    </comment>
    <comment ref="M203" authorId="0" shapeId="0">
      <text>
        <r>
          <rPr>
            <b/>
            <sz val="9"/>
            <color indexed="81"/>
            <rFont val="Tahoma"/>
            <family val="2"/>
          </rPr>
          <t>Rgarcia:</t>
        </r>
        <r>
          <rPr>
            <sz val="9"/>
            <color indexed="81"/>
            <rFont val="Tahoma"/>
            <family val="2"/>
          </rPr>
          <t xml:space="preserve">
Cierre Ord N° 19911
</t>
        </r>
      </text>
    </comment>
    <comment ref="H205" authorId="0" shapeId="0">
      <text>
        <r>
          <rPr>
            <b/>
            <sz val="9"/>
            <color indexed="81"/>
            <rFont val="Tahoma"/>
            <family val="2"/>
          </rPr>
          <t>Autor:</t>
        </r>
        <r>
          <rPr>
            <sz val="9"/>
            <color indexed="81"/>
            <rFont val="Tahoma"/>
            <family val="2"/>
          </rPr>
          <t xml:space="preserve">
564-2019 Cesión 13,627 ton de Embarcacion  a EMDEPES SA</t>
        </r>
      </text>
    </comment>
    <comment ref="M205" authorId="0" shapeId="0">
      <text>
        <r>
          <rPr>
            <b/>
            <sz val="9"/>
            <color indexed="81"/>
            <rFont val="Tahoma"/>
            <family val="2"/>
          </rPr>
          <t>Autor:</t>
        </r>
        <r>
          <rPr>
            <sz val="9"/>
            <color indexed="81"/>
            <rFont val="Tahoma"/>
            <family val="2"/>
          </rPr>
          <t xml:space="preserve">
Cierre Ord N° 19910
</t>
        </r>
      </text>
    </comment>
    <comment ref="H207" authorId="0" shapeId="0">
      <text>
        <r>
          <rPr>
            <b/>
            <sz val="9"/>
            <color indexed="81"/>
            <rFont val="Tahoma"/>
            <family val="2"/>
          </rPr>
          <t>Autor:</t>
        </r>
        <r>
          <rPr>
            <sz val="9"/>
            <color indexed="81"/>
            <rFont val="Tahoma"/>
            <family val="2"/>
          </rPr>
          <t xml:space="preserve">
564-2019 Cesión 13,627 ton de Embarcacion  a EMDEPES SA</t>
        </r>
      </text>
    </comment>
    <comment ref="M207" authorId="0" shapeId="0">
      <text>
        <r>
          <rPr>
            <b/>
            <sz val="9"/>
            <color indexed="81"/>
            <rFont val="Tahoma"/>
            <family val="2"/>
          </rPr>
          <t>Autor:</t>
        </r>
        <r>
          <rPr>
            <sz val="9"/>
            <color indexed="81"/>
            <rFont val="Tahoma"/>
            <family val="2"/>
          </rPr>
          <t xml:space="preserve">
Cierre Ord N° 19910
</t>
        </r>
      </text>
    </comment>
    <comment ref="H209" authorId="0" shapeId="0">
      <text>
        <r>
          <rPr>
            <b/>
            <sz val="9"/>
            <color indexed="81"/>
            <rFont val="Tahoma"/>
            <family val="2"/>
          </rPr>
          <t>Autor:</t>
        </r>
        <r>
          <rPr>
            <sz val="9"/>
            <color indexed="81"/>
            <rFont val="Tahoma"/>
            <family val="2"/>
          </rPr>
          <t xml:space="preserve">
564-2019 Cesión 13,627 ton de Embarcacion  a EMDEPES SA</t>
        </r>
      </text>
    </comment>
    <comment ref="M209" authorId="0" shapeId="0">
      <text>
        <r>
          <rPr>
            <b/>
            <sz val="9"/>
            <color indexed="81"/>
            <rFont val="Tahoma"/>
            <family val="2"/>
          </rPr>
          <t>Autor:</t>
        </r>
        <r>
          <rPr>
            <sz val="9"/>
            <color indexed="81"/>
            <rFont val="Tahoma"/>
            <family val="2"/>
          </rPr>
          <t xml:space="preserve">
Cierre Ord N° 19910
</t>
        </r>
      </text>
    </comment>
    <comment ref="H211" authorId="0" shapeId="0">
      <text>
        <r>
          <rPr>
            <b/>
            <sz val="9"/>
            <color indexed="81"/>
            <rFont val="Tahoma"/>
            <family val="2"/>
          </rPr>
          <t>Autor:</t>
        </r>
        <r>
          <rPr>
            <sz val="9"/>
            <color indexed="81"/>
            <rFont val="Tahoma"/>
            <family val="2"/>
          </rPr>
          <t xml:space="preserve">
564-2019 Cesión 13,627 ton de Embarcacion  a EMDEPES SA</t>
        </r>
      </text>
    </comment>
    <comment ref="M211" authorId="0" shapeId="0">
      <text>
        <r>
          <rPr>
            <b/>
            <sz val="9"/>
            <color indexed="81"/>
            <rFont val="Tahoma"/>
            <family val="2"/>
          </rPr>
          <t>Autor:</t>
        </r>
        <r>
          <rPr>
            <sz val="9"/>
            <color indexed="81"/>
            <rFont val="Tahoma"/>
            <family val="2"/>
          </rPr>
          <t xml:space="preserve">
Cierre Ord N° 19910
</t>
        </r>
      </text>
    </comment>
    <comment ref="H213" authorId="0" shapeId="0">
      <text>
        <r>
          <rPr>
            <b/>
            <sz val="9"/>
            <color indexed="81"/>
            <rFont val="Tahoma"/>
            <family val="2"/>
          </rPr>
          <t>Autor:</t>
        </r>
        <r>
          <rPr>
            <sz val="9"/>
            <color indexed="81"/>
            <rFont val="Tahoma"/>
            <family val="2"/>
          </rPr>
          <t xml:space="preserve">
688-2019 Cesión 11,627 ton de Embarcacion  a Deris S.A.</t>
        </r>
      </text>
    </comment>
    <comment ref="M213" authorId="0" shapeId="0">
      <text>
        <r>
          <rPr>
            <b/>
            <sz val="9"/>
            <color indexed="81"/>
            <rFont val="Tahoma"/>
            <family val="2"/>
          </rPr>
          <t>Rgarcia:</t>
        </r>
        <r>
          <rPr>
            <sz val="9"/>
            <color indexed="81"/>
            <rFont val="Tahoma"/>
            <family val="2"/>
          </rPr>
          <t xml:space="preserve">
Cierre 1°P_Ord N° 20852
</t>
        </r>
      </text>
    </comment>
    <comment ref="H215" authorId="0" shapeId="0">
      <text>
        <r>
          <rPr>
            <b/>
            <sz val="9"/>
            <color indexed="81"/>
            <rFont val="Tahoma"/>
            <family val="2"/>
          </rPr>
          <t>Autor:</t>
        </r>
        <r>
          <rPr>
            <sz val="9"/>
            <color indexed="81"/>
            <rFont val="Tahoma"/>
            <family val="2"/>
          </rPr>
          <t xml:space="preserve">
564-2019 Cesión 13,627 ton de Embarcacion  a EMDEPES SA</t>
        </r>
      </text>
    </comment>
    <comment ref="M215" authorId="0" shapeId="0">
      <text>
        <r>
          <rPr>
            <b/>
            <sz val="9"/>
            <color indexed="81"/>
            <rFont val="Tahoma"/>
            <family val="2"/>
          </rPr>
          <t>Autor:</t>
        </r>
        <r>
          <rPr>
            <sz val="9"/>
            <color indexed="81"/>
            <rFont val="Tahoma"/>
            <family val="2"/>
          </rPr>
          <t xml:space="preserve">
Cierre Ord N° 19910
</t>
        </r>
      </text>
    </comment>
    <comment ref="H217" authorId="0" shapeId="0">
      <text>
        <r>
          <rPr>
            <b/>
            <sz val="9"/>
            <color indexed="81"/>
            <rFont val="Tahoma"/>
            <family val="2"/>
          </rPr>
          <t>Autor:</t>
        </r>
        <r>
          <rPr>
            <sz val="9"/>
            <color indexed="81"/>
            <rFont val="Tahoma"/>
            <family val="2"/>
          </rPr>
          <t xml:space="preserve">
688-2019 Cesión 11,627 ton de Embarcacion  a Deris S.A.</t>
        </r>
      </text>
    </comment>
    <comment ref="M217" authorId="0" shapeId="0">
      <text>
        <r>
          <rPr>
            <b/>
            <sz val="9"/>
            <color indexed="81"/>
            <rFont val="Tahoma"/>
            <family val="2"/>
          </rPr>
          <t>Rgarcia:</t>
        </r>
        <r>
          <rPr>
            <sz val="9"/>
            <color indexed="81"/>
            <rFont val="Tahoma"/>
            <family val="2"/>
          </rPr>
          <t xml:space="preserve">
Cierre 1°P_Ord N° 20852
</t>
        </r>
      </text>
    </comment>
    <comment ref="H219" authorId="0" shapeId="0">
      <text>
        <r>
          <rPr>
            <b/>
            <sz val="9"/>
            <color indexed="81"/>
            <rFont val="Tahoma"/>
            <family val="2"/>
          </rPr>
          <t>Autor:</t>
        </r>
        <r>
          <rPr>
            <sz val="9"/>
            <color indexed="81"/>
            <rFont val="Tahoma"/>
            <family val="2"/>
          </rPr>
          <t xml:space="preserve">
564-2019 Cesión 13,627 ton de Embarcacion  a EMDEPES SA</t>
        </r>
      </text>
    </comment>
    <comment ref="M219" authorId="0" shapeId="0">
      <text>
        <r>
          <rPr>
            <b/>
            <sz val="9"/>
            <color indexed="81"/>
            <rFont val="Tahoma"/>
            <family val="2"/>
          </rPr>
          <t>Autor:</t>
        </r>
        <r>
          <rPr>
            <sz val="9"/>
            <color indexed="81"/>
            <rFont val="Tahoma"/>
            <family val="2"/>
          </rPr>
          <t xml:space="preserve">
Cierre Ord N° 19910
</t>
        </r>
      </text>
    </comment>
    <comment ref="H221" authorId="0" shapeId="0">
      <text>
        <r>
          <rPr>
            <b/>
            <sz val="9"/>
            <color indexed="81"/>
            <rFont val="Tahoma"/>
            <family val="2"/>
          </rPr>
          <t>Autor:</t>
        </r>
        <r>
          <rPr>
            <sz val="9"/>
            <color indexed="81"/>
            <rFont val="Tahoma"/>
            <family val="2"/>
          </rPr>
          <t xml:space="preserve">
688-2019 Cesión 13,500 ton de Embarcacion  a Deris S.A.</t>
        </r>
      </text>
    </comment>
    <comment ref="M221" authorId="0" shapeId="0">
      <text>
        <r>
          <rPr>
            <b/>
            <sz val="9"/>
            <color indexed="81"/>
            <rFont val="Tahoma"/>
            <family val="2"/>
          </rPr>
          <t>Rgarcia:</t>
        </r>
        <r>
          <rPr>
            <sz val="9"/>
            <color indexed="81"/>
            <rFont val="Tahoma"/>
            <family val="2"/>
          </rPr>
          <t xml:space="preserve">
Cierre 1°P_Ord N° 20852
</t>
        </r>
      </text>
    </comment>
    <comment ref="H223" authorId="0" shapeId="0">
      <text>
        <r>
          <rPr>
            <b/>
            <sz val="9"/>
            <color indexed="81"/>
            <rFont val="Tahoma"/>
            <family val="2"/>
          </rPr>
          <t>Autor:</t>
        </r>
        <r>
          <rPr>
            <sz val="9"/>
            <color indexed="81"/>
            <rFont val="Tahoma"/>
            <family val="2"/>
          </rPr>
          <t xml:space="preserve">
564-2019 Cesión 13,627 ton de Embarcacion  a EMDEPES SA</t>
        </r>
      </text>
    </comment>
    <comment ref="M223" authorId="0" shapeId="0">
      <text>
        <r>
          <rPr>
            <b/>
            <sz val="9"/>
            <color indexed="81"/>
            <rFont val="Tahoma"/>
            <family val="2"/>
          </rPr>
          <t>Autor:</t>
        </r>
        <r>
          <rPr>
            <sz val="9"/>
            <color indexed="81"/>
            <rFont val="Tahoma"/>
            <family val="2"/>
          </rPr>
          <t xml:space="preserve">
Cierre Ord N° 19910
</t>
        </r>
      </text>
    </comment>
    <comment ref="H225" authorId="0" shapeId="0">
      <text>
        <r>
          <rPr>
            <b/>
            <sz val="9"/>
            <color indexed="81"/>
            <rFont val="Tahoma"/>
            <family val="2"/>
          </rPr>
          <t>rgarcia:</t>
        </r>
        <r>
          <rPr>
            <sz val="9"/>
            <color indexed="81"/>
            <rFont val="Tahoma"/>
            <family val="2"/>
          </rPr>
          <t xml:space="preserve">
R Ex 1716 Cesion de 12,5 ton de region Magallanes  a Deris</t>
        </r>
      </text>
    </comment>
    <comment ref="M225" authorId="0" shapeId="0">
      <text>
        <r>
          <rPr>
            <b/>
            <sz val="9"/>
            <color indexed="81"/>
            <rFont val="Tahoma"/>
            <family val="2"/>
          </rPr>
          <t>Rgarcia:</t>
        </r>
        <r>
          <rPr>
            <sz val="9"/>
            <color indexed="81"/>
            <rFont val="Tahoma"/>
            <family val="2"/>
          </rPr>
          <t xml:space="preserve">
Cierre 1°P_Ord N° 20852
</t>
        </r>
      </text>
    </comment>
    <comment ref="H227" authorId="0" shapeId="0">
      <text>
        <r>
          <rPr>
            <b/>
            <sz val="9"/>
            <color indexed="81"/>
            <rFont val="Tahoma"/>
            <family val="2"/>
          </rPr>
          <t>Autor:</t>
        </r>
        <r>
          <rPr>
            <sz val="9"/>
            <color indexed="81"/>
            <rFont val="Tahoma"/>
            <family val="2"/>
          </rPr>
          <t xml:space="preserve">
564-2019 Cesión 13,627 ton de Embarcacion  a EMDEPES SA</t>
        </r>
      </text>
    </comment>
    <comment ref="M227" authorId="0" shapeId="0">
      <text>
        <r>
          <rPr>
            <b/>
            <sz val="9"/>
            <color indexed="81"/>
            <rFont val="Tahoma"/>
            <family val="2"/>
          </rPr>
          <t>Autor:</t>
        </r>
        <r>
          <rPr>
            <sz val="9"/>
            <color indexed="81"/>
            <rFont val="Tahoma"/>
            <family val="2"/>
          </rPr>
          <t xml:space="preserve">
Cierre Ord N° 19910
</t>
        </r>
      </text>
    </comment>
    <comment ref="H229" authorId="0" shapeId="0">
      <text>
        <r>
          <rPr>
            <b/>
            <sz val="9"/>
            <color indexed="81"/>
            <rFont val="Tahoma"/>
            <family val="2"/>
          </rPr>
          <t>Autor:</t>
        </r>
        <r>
          <rPr>
            <sz val="9"/>
            <color indexed="81"/>
            <rFont val="Tahoma"/>
            <family val="2"/>
          </rPr>
          <t xml:space="preserve">
688-2019 Cesión 13,627 ton de Embarcacion  a Deris S.A.</t>
        </r>
      </text>
    </comment>
    <comment ref="M229" authorId="0" shapeId="0">
      <text>
        <r>
          <rPr>
            <b/>
            <sz val="9"/>
            <color indexed="81"/>
            <rFont val="Tahoma"/>
            <family val="2"/>
          </rPr>
          <t>Autor:</t>
        </r>
        <r>
          <rPr>
            <sz val="9"/>
            <color indexed="81"/>
            <rFont val="Tahoma"/>
            <family val="2"/>
          </rPr>
          <t xml:space="preserve">
Cierre Ord N° 19911
</t>
        </r>
      </text>
    </comment>
    <comment ref="H231" authorId="0" shapeId="0">
      <text>
        <r>
          <rPr>
            <b/>
            <sz val="9"/>
            <color indexed="81"/>
            <rFont val="Tahoma"/>
            <family val="2"/>
          </rPr>
          <t>Autor:</t>
        </r>
        <r>
          <rPr>
            <sz val="9"/>
            <color indexed="81"/>
            <rFont val="Tahoma"/>
            <family val="2"/>
          </rPr>
          <t xml:space="preserve">
688-2019 Cesión 13,377 ton de Embarcacion  a Deris S.A.</t>
        </r>
      </text>
    </comment>
    <comment ref="M231" authorId="0" shapeId="0">
      <text>
        <r>
          <rPr>
            <b/>
            <sz val="9"/>
            <color indexed="81"/>
            <rFont val="Tahoma"/>
            <family val="2"/>
          </rPr>
          <t>Rgarcia:</t>
        </r>
        <r>
          <rPr>
            <sz val="9"/>
            <color indexed="81"/>
            <rFont val="Tahoma"/>
            <family val="2"/>
          </rPr>
          <t xml:space="preserve">
Cierre 1°P_Ord N° 20852
</t>
        </r>
      </text>
    </comment>
    <comment ref="H233" authorId="0" shapeId="0">
      <text>
        <r>
          <rPr>
            <b/>
            <sz val="9"/>
            <color indexed="81"/>
            <rFont val="Tahoma"/>
            <family val="2"/>
          </rPr>
          <t>Autor:</t>
        </r>
        <r>
          <rPr>
            <sz val="9"/>
            <color indexed="81"/>
            <rFont val="Tahoma"/>
            <family val="2"/>
          </rPr>
          <t xml:space="preserve">
688-2019 Cesión 13,627 ton de Embarcacion  a Deris S.A.</t>
        </r>
      </text>
    </comment>
    <comment ref="M233" authorId="0" shapeId="0">
      <text>
        <r>
          <rPr>
            <b/>
            <sz val="9"/>
            <color indexed="81"/>
            <rFont val="Tahoma"/>
            <family val="2"/>
          </rPr>
          <t>Autor:</t>
        </r>
        <r>
          <rPr>
            <sz val="9"/>
            <color indexed="81"/>
            <rFont val="Tahoma"/>
            <family val="2"/>
          </rPr>
          <t xml:space="preserve">
Cierre Ord N° 19911
</t>
        </r>
      </text>
    </comment>
    <comment ref="H235" authorId="0" shapeId="0">
      <text>
        <r>
          <rPr>
            <b/>
            <sz val="9"/>
            <color indexed="81"/>
            <rFont val="Tahoma"/>
            <family val="2"/>
          </rPr>
          <t>Autor:</t>
        </r>
        <r>
          <rPr>
            <sz val="9"/>
            <color indexed="81"/>
            <rFont val="Tahoma"/>
            <family val="2"/>
          </rPr>
          <t xml:space="preserve">
688-2019 Cesión 13,627 ton de Embarcacion  a Deris S.A.</t>
        </r>
      </text>
    </comment>
    <comment ref="M235" authorId="0" shapeId="0">
      <text>
        <r>
          <rPr>
            <b/>
            <sz val="9"/>
            <color indexed="81"/>
            <rFont val="Tahoma"/>
            <family val="2"/>
          </rPr>
          <t>Autor:</t>
        </r>
        <r>
          <rPr>
            <sz val="9"/>
            <color indexed="81"/>
            <rFont val="Tahoma"/>
            <family val="2"/>
          </rPr>
          <t xml:space="preserve">
Cierre Ord N° 19911
</t>
        </r>
      </text>
    </comment>
    <comment ref="H237" authorId="0" shapeId="0">
      <text>
        <r>
          <rPr>
            <b/>
            <sz val="9"/>
            <color indexed="81"/>
            <rFont val="Tahoma"/>
            <family val="2"/>
          </rPr>
          <t>Autor:</t>
        </r>
        <r>
          <rPr>
            <sz val="9"/>
            <color indexed="81"/>
            <rFont val="Tahoma"/>
            <family val="2"/>
          </rPr>
          <t xml:space="preserve">
688-2019 Cesión 13,627 ton de Embarcacion  a Deris S.A.</t>
        </r>
      </text>
    </comment>
    <comment ref="M237" authorId="0" shapeId="0">
      <text>
        <r>
          <rPr>
            <b/>
            <sz val="9"/>
            <color indexed="81"/>
            <rFont val="Tahoma"/>
            <family val="2"/>
          </rPr>
          <t>Autor:</t>
        </r>
        <r>
          <rPr>
            <sz val="9"/>
            <color indexed="81"/>
            <rFont val="Tahoma"/>
            <family val="2"/>
          </rPr>
          <t xml:space="preserve">
Cierre Ord N° 19911
</t>
        </r>
      </text>
    </comment>
    <comment ref="H239" authorId="0" shapeId="0">
      <text>
        <r>
          <rPr>
            <b/>
            <sz val="9"/>
            <color indexed="81"/>
            <rFont val="Tahoma"/>
            <family val="2"/>
          </rPr>
          <t>Autor:</t>
        </r>
        <r>
          <rPr>
            <sz val="9"/>
            <color indexed="81"/>
            <rFont val="Tahoma"/>
            <family val="2"/>
          </rPr>
          <t xml:space="preserve">
688-2019 Cesión 13,627 ton de Embarcacion  a Deris S.A.</t>
        </r>
      </text>
    </comment>
    <comment ref="M239" authorId="0" shapeId="0">
      <text>
        <r>
          <rPr>
            <b/>
            <sz val="9"/>
            <color indexed="81"/>
            <rFont val="Tahoma"/>
            <family val="2"/>
          </rPr>
          <t>Autor:</t>
        </r>
        <r>
          <rPr>
            <sz val="9"/>
            <color indexed="81"/>
            <rFont val="Tahoma"/>
            <family val="2"/>
          </rPr>
          <t xml:space="preserve">
Cierre Ord N° 19911
</t>
        </r>
      </text>
    </comment>
    <comment ref="H241" authorId="0" shapeId="0">
      <text>
        <r>
          <rPr>
            <b/>
            <sz val="9"/>
            <color indexed="81"/>
            <rFont val="Tahoma"/>
            <family val="2"/>
          </rPr>
          <t>Autor:</t>
        </r>
        <r>
          <rPr>
            <sz val="9"/>
            <color indexed="81"/>
            <rFont val="Tahoma"/>
            <family val="2"/>
          </rPr>
          <t xml:space="preserve">
688-2019 Cesión 13,377 ton de Embarcacion  a Deris S.A.</t>
        </r>
      </text>
    </comment>
    <comment ref="M241" authorId="0" shapeId="0">
      <text>
        <r>
          <rPr>
            <b/>
            <sz val="9"/>
            <color indexed="81"/>
            <rFont val="Tahoma"/>
            <family val="2"/>
          </rPr>
          <t>Rgarcia:</t>
        </r>
        <r>
          <rPr>
            <sz val="9"/>
            <color indexed="81"/>
            <rFont val="Tahoma"/>
            <family val="2"/>
          </rPr>
          <t xml:space="preserve">
Cierre 1°P_Ord N° 20852
</t>
        </r>
      </text>
    </comment>
    <comment ref="H243" authorId="0" shapeId="0">
      <text>
        <r>
          <rPr>
            <b/>
            <sz val="9"/>
            <color indexed="81"/>
            <rFont val="Tahoma"/>
            <family val="2"/>
          </rPr>
          <t>Autor:</t>
        </r>
        <r>
          <rPr>
            <sz val="9"/>
            <color indexed="81"/>
            <rFont val="Tahoma"/>
            <family val="2"/>
          </rPr>
          <t xml:space="preserve">
688-2019 Cesión 13,500 ton de Embarcacion  a Deris S.A.</t>
        </r>
      </text>
    </comment>
    <comment ref="M243" authorId="0" shapeId="0">
      <text>
        <r>
          <rPr>
            <b/>
            <sz val="9"/>
            <color indexed="81"/>
            <rFont val="Tahoma"/>
            <family val="2"/>
          </rPr>
          <t>Rgarcia:</t>
        </r>
        <r>
          <rPr>
            <sz val="9"/>
            <color indexed="81"/>
            <rFont val="Tahoma"/>
            <family val="2"/>
          </rPr>
          <t xml:space="preserve">
Cierre 1°P_Ord N° 20852
</t>
        </r>
      </text>
    </comment>
    <comment ref="H245" authorId="0" shapeId="0">
      <text>
        <r>
          <rPr>
            <b/>
            <sz val="9"/>
            <color indexed="81"/>
            <rFont val="Tahoma"/>
            <family val="2"/>
          </rPr>
          <t>Autor:</t>
        </r>
        <r>
          <rPr>
            <sz val="9"/>
            <color indexed="81"/>
            <rFont val="Tahoma"/>
            <family val="2"/>
          </rPr>
          <t xml:space="preserve">
564-2019 Cesión 13,627 ton de Embarcacion  a EMDEPES SA</t>
        </r>
      </text>
    </comment>
    <comment ref="M245" authorId="0" shapeId="0">
      <text>
        <r>
          <rPr>
            <b/>
            <sz val="9"/>
            <color indexed="81"/>
            <rFont val="Tahoma"/>
            <family val="2"/>
          </rPr>
          <t>Autor:</t>
        </r>
        <r>
          <rPr>
            <sz val="9"/>
            <color indexed="81"/>
            <rFont val="Tahoma"/>
            <family val="2"/>
          </rPr>
          <t xml:space="preserve">
Cierre Ord N° 19910
</t>
        </r>
      </text>
    </comment>
    <comment ref="H247" authorId="0" shapeId="0">
      <text>
        <r>
          <rPr>
            <b/>
            <sz val="9"/>
            <color indexed="81"/>
            <rFont val="Tahoma"/>
            <family val="2"/>
          </rPr>
          <t>Autor:</t>
        </r>
        <r>
          <rPr>
            <sz val="9"/>
            <color indexed="81"/>
            <rFont val="Tahoma"/>
            <family val="2"/>
          </rPr>
          <t xml:space="preserve">
564-2019 Cesión 13,627 ton de Embarcacion  a EMDEPES SA</t>
        </r>
      </text>
    </comment>
    <comment ref="M247" authorId="0" shapeId="0">
      <text>
        <r>
          <rPr>
            <b/>
            <sz val="9"/>
            <color indexed="81"/>
            <rFont val="Tahoma"/>
            <family val="2"/>
          </rPr>
          <t>Autor:</t>
        </r>
        <r>
          <rPr>
            <sz val="9"/>
            <color indexed="81"/>
            <rFont val="Tahoma"/>
            <family val="2"/>
          </rPr>
          <t xml:space="preserve">
Cierre Ord N° 19910
</t>
        </r>
      </text>
    </comment>
    <comment ref="H249" authorId="0" shapeId="0">
      <text>
        <r>
          <rPr>
            <b/>
            <sz val="9"/>
            <color indexed="81"/>
            <rFont val="Tahoma"/>
            <family val="2"/>
          </rPr>
          <t>Autor:</t>
        </r>
        <r>
          <rPr>
            <sz val="9"/>
            <color indexed="81"/>
            <rFont val="Tahoma"/>
            <family val="2"/>
          </rPr>
          <t xml:space="preserve">
564-2019 Cesión 13,627 ton de Embarcacion  a EMDEPES SA</t>
        </r>
      </text>
    </comment>
    <comment ref="M249" authorId="0" shapeId="0">
      <text>
        <r>
          <rPr>
            <b/>
            <sz val="9"/>
            <color indexed="81"/>
            <rFont val="Tahoma"/>
            <family val="2"/>
          </rPr>
          <t>Autor:</t>
        </r>
        <r>
          <rPr>
            <sz val="9"/>
            <color indexed="81"/>
            <rFont val="Tahoma"/>
            <family val="2"/>
          </rPr>
          <t xml:space="preserve">
Cierre Ord N° 19910
</t>
        </r>
      </text>
    </comment>
    <comment ref="H251" authorId="0" shapeId="0">
      <text>
        <r>
          <rPr>
            <b/>
            <sz val="9"/>
            <color indexed="81"/>
            <rFont val="Tahoma"/>
            <family val="2"/>
          </rPr>
          <t>Autor:</t>
        </r>
        <r>
          <rPr>
            <sz val="9"/>
            <color indexed="81"/>
            <rFont val="Tahoma"/>
            <family val="2"/>
          </rPr>
          <t xml:space="preserve">
564-2019 Cesión 13,627 ton de Embarcacion  a EMDEPES SA</t>
        </r>
      </text>
    </comment>
    <comment ref="M251" authorId="0" shapeId="0">
      <text>
        <r>
          <rPr>
            <b/>
            <sz val="9"/>
            <color indexed="81"/>
            <rFont val="Tahoma"/>
            <family val="2"/>
          </rPr>
          <t>Autor:</t>
        </r>
        <r>
          <rPr>
            <sz val="9"/>
            <color indexed="81"/>
            <rFont val="Tahoma"/>
            <family val="2"/>
          </rPr>
          <t xml:space="preserve">
Cierre Ord N° 19910
</t>
        </r>
      </text>
    </comment>
    <comment ref="H253" authorId="0" shapeId="0">
      <text>
        <r>
          <rPr>
            <b/>
            <sz val="9"/>
            <color indexed="81"/>
            <rFont val="Tahoma"/>
            <family val="2"/>
          </rPr>
          <t>Rgarcia:</t>
        </r>
        <r>
          <rPr>
            <sz val="9"/>
            <color indexed="81"/>
            <rFont val="Tahoma"/>
            <family val="2"/>
          </rPr>
          <t xml:space="preserve">
564-2019 Cesión 13,627 ton de Embarcacion  a EMDEPES SA</t>
        </r>
      </text>
    </comment>
    <comment ref="M253" authorId="0" shapeId="0">
      <text>
        <r>
          <rPr>
            <b/>
            <sz val="9"/>
            <color indexed="81"/>
            <rFont val="Tahoma"/>
            <family val="2"/>
          </rPr>
          <t>Autor:</t>
        </r>
        <r>
          <rPr>
            <sz val="9"/>
            <color indexed="81"/>
            <rFont val="Tahoma"/>
            <family val="2"/>
          </rPr>
          <t xml:space="preserve">
Cierre Ord N° 19910
</t>
        </r>
      </text>
    </comment>
    <comment ref="H255" authorId="0" shapeId="0">
      <text>
        <r>
          <rPr>
            <b/>
            <sz val="9"/>
            <color indexed="81"/>
            <rFont val="Tahoma"/>
            <family val="2"/>
          </rPr>
          <t>Rgarcia:</t>
        </r>
        <r>
          <rPr>
            <sz val="9"/>
            <color indexed="81"/>
            <rFont val="Tahoma"/>
            <family val="2"/>
          </rPr>
          <t xml:space="preserve">
1109/29-03-19 Cesión 13,627 ton de Embarcacion DAMAR II a EMDEPES SA</t>
        </r>
      </text>
    </comment>
    <comment ref="M255" authorId="0" shapeId="0">
      <text>
        <r>
          <rPr>
            <b/>
            <sz val="9"/>
            <color indexed="81"/>
            <rFont val="Tahoma"/>
            <family val="2"/>
          </rPr>
          <t>Autor:</t>
        </r>
        <r>
          <rPr>
            <sz val="9"/>
            <color indexed="81"/>
            <rFont val="Tahoma"/>
            <family val="2"/>
          </rPr>
          <t xml:space="preserve">
03-04-2019 _ Cierre  20219 
</t>
        </r>
      </text>
    </comment>
    <comment ref="H257" authorId="0" shapeId="0">
      <text>
        <r>
          <rPr>
            <b/>
            <sz val="9"/>
            <color indexed="81"/>
            <rFont val="Tahoma"/>
            <family val="2"/>
          </rPr>
          <t>rgarcia:</t>
        </r>
        <r>
          <rPr>
            <sz val="9"/>
            <color indexed="81"/>
            <rFont val="Tahoma"/>
            <family val="2"/>
          </rPr>
          <t xml:space="preserve">
564-2019 Cesión 13,5 ton de Embarcacion  a EMDEPES SA</t>
        </r>
      </text>
    </comment>
    <comment ref="M257" authorId="0" shapeId="0">
      <text>
        <r>
          <rPr>
            <b/>
            <sz val="9"/>
            <color indexed="81"/>
            <rFont val="Tahoma"/>
            <family val="2"/>
          </rPr>
          <t>Rgarcia:</t>
        </r>
        <r>
          <rPr>
            <sz val="9"/>
            <color indexed="81"/>
            <rFont val="Tahoma"/>
            <family val="2"/>
          </rPr>
          <t xml:space="preserve">
Cierre 1°P_Ord N° 20852
</t>
        </r>
      </text>
    </comment>
    <comment ref="H259" authorId="0" shapeId="0">
      <text>
        <r>
          <rPr>
            <b/>
            <sz val="9"/>
            <color indexed="81"/>
            <rFont val="Tahoma"/>
            <family val="2"/>
          </rPr>
          <t>Autor:</t>
        </r>
        <r>
          <rPr>
            <sz val="9"/>
            <color indexed="81"/>
            <rFont val="Tahoma"/>
            <family val="2"/>
          </rPr>
          <t xml:space="preserve">
564-2019 Cesión 13,627 ton de Embarcacion  a EMDEPES SA</t>
        </r>
      </text>
    </comment>
    <comment ref="M259" authorId="0" shapeId="0">
      <text>
        <r>
          <rPr>
            <b/>
            <sz val="9"/>
            <color indexed="81"/>
            <rFont val="Tahoma"/>
            <family val="2"/>
          </rPr>
          <t>Autor:</t>
        </r>
        <r>
          <rPr>
            <sz val="9"/>
            <color indexed="81"/>
            <rFont val="Tahoma"/>
            <family val="2"/>
          </rPr>
          <t xml:space="preserve">
Cierre Ord N° 19910
</t>
        </r>
      </text>
    </comment>
    <comment ref="H261" authorId="0" shapeId="0">
      <text>
        <r>
          <rPr>
            <b/>
            <sz val="9"/>
            <color indexed="81"/>
            <rFont val="Tahoma"/>
            <family val="2"/>
          </rPr>
          <t>Autor:</t>
        </r>
        <r>
          <rPr>
            <sz val="9"/>
            <color indexed="81"/>
            <rFont val="Tahoma"/>
            <family val="2"/>
          </rPr>
          <t xml:space="preserve">
564-2019 Cesión 13,627 ton de Embarcacion  a EMDEPES SA</t>
        </r>
      </text>
    </comment>
    <comment ref="M261" authorId="0" shapeId="0">
      <text>
        <r>
          <rPr>
            <b/>
            <sz val="9"/>
            <color indexed="81"/>
            <rFont val="Tahoma"/>
            <family val="2"/>
          </rPr>
          <t>Autor:</t>
        </r>
        <r>
          <rPr>
            <sz val="9"/>
            <color indexed="81"/>
            <rFont val="Tahoma"/>
            <family val="2"/>
          </rPr>
          <t xml:space="preserve">
Cierre Ord N° 19910
</t>
        </r>
      </text>
    </comment>
    <comment ref="H263" authorId="0" shapeId="0">
      <text>
        <r>
          <rPr>
            <b/>
            <sz val="9"/>
            <color indexed="81"/>
            <rFont val="Tahoma"/>
            <family val="2"/>
          </rPr>
          <t>Autor:</t>
        </r>
        <r>
          <rPr>
            <sz val="9"/>
            <color indexed="81"/>
            <rFont val="Tahoma"/>
            <family val="2"/>
          </rPr>
          <t xml:space="preserve">
564-2019 Cesión 13,627 ton de Embarcacion  a EMDEPES SA</t>
        </r>
      </text>
    </comment>
    <comment ref="M263" authorId="0" shapeId="0">
      <text>
        <r>
          <rPr>
            <b/>
            <sz val="9"/>
            <color indexed="81"/>
            <rFont val="Tahoma"/>
            <family val="2"/>
          </rPr>
          <t>Autor:</t>
        </r>
        <r>
          <rPr>
            <sz val="9"/>
            <color indexed="81"/>
            <rFont val="Tahoma"/>
            <family val="2"/>
          </rPr>
          <t xml:space="preserve">
Cierre Ord N° 19910
</t>
        </r>
      </text>
    </comment>
    <comment ref="H265" authorId="0" shapeId="0">
      <text>
        <r>
          <rPr>
            <b/>
            <sz val="9"/>
            <color indexed="81"/>
            <rFont val="Tahoma"/>
            <family val="2"/>
          </rPr>
          <t>rgarcia:</t>
        </r>
        <r>
          <rPr>
            <sz val="9"/>
            <color indexed="81"/>
            <rFont val="Tahoma"/>
            <family val="2"/>
          </rPr>
          <t xml:space="preserve">
564-2019 Cesión 13,0 ton de Embarcacion  a EMDEPES SA</t>
        </r>
      </text>
    </comment>
    <comment ref="M265" authorId="0" shapeId="0">
      <text>
        <r>
          <rPr>
            <b/>
            <sz val="9"/>
            <color indexed="81"/>
            <rFont val="Tahoma"/>
            <family val="2"/>
          </rPr>
          <t>Rgarcia:</t>
        </r>
        <r>
          <rPr>
            <sz val="9"/>
            <color indexed="81"/>
            <rFont val="Tahoma"/>
            <family val="2"/>
          </rPr>
          <t xml:space="preserve">
Cierre 1°P_Ord N° 20852
</t>
        </r>
      </text>
    </comment>
    <comment ref="H267" authorId="0" shapeId="0">
      <text>
        <r>
          <rPr>
            <b/>
            <sz val="9"/>
            <color indexed="81"/>
            <rFont val="Tahoma"/>
            <family val="2"/>
          </rPr>
          <t>Rgarcia:</t>
        </r>
        <r>
          <rPr>
            <sz val="9"/>
            <color indexed="81"/>
            <rFont val="Tahoma"/>
            <family val="2"/>
          </rPr>
          <t xml:space="preserve">
564-2019 Cesión 13,627 ton de Embarcacion  a EMDEPES SA</t>
        </r>
      </text>
    </comment>
    <comment ref="M267" authorId="0" shapeId="0">
      <text>
        <r>
          <rPr>
            <b/>
            <sz val="9"/>
            <color indexed="81"/>
            <rFont val="Tahoma"/>
            <family val="2"/>
          </rPr>
          <t>Autor:</t>
        </r>
        <r>
          <rPr>
            <sz val="9"/>
            <color indexed="81"/>
            <rFont val="Tahoma"/>
            <family val="2"/>
          </rPr>
          <t xml:space="preserve">
Cierre Ord N° 19910
</t>
        </r>
      </text>
    </comment>
    <comment ref="H269" authorId="0" shapeId="0">
      <text>
        <r>
          <rPr>
            <b/>
            <sz val="9"/>
            <color indexed="81"/>
            <rFont val="Tahoma"/>
            <family val="2"/>
          </rPr>
          <t>rgarcia:</t>
        </r>
        <r>
          <rPr>
            <sz val="9"/>
            <color indexed="81"/>
            <rFont val="Tahoma"/>
            <family val="2"/>
          </rPr>
          <t xml:space="preserve">
678-2019 Cesión 13,627 ton de Embarcacion a Deris S.A.</t>
        </r>
      </text>
    </comment>
    <comment ref="M269" authorId="0" shapeId="0">
      <text>
        <r>
          <rPr>
            <b/>
            <sz val="9"/>
            <color indexed="81"/>
            <rFont val="Tahoma"/>
            <family val="2"/>
          </rPr>
          <t>Autor:</t>
        </r>
        <r>
          <rPr>
            <sz val="9"/>
            <color indexed="81"/>
            <rFont val="Tahoma"/>
            <family val="2"/>
          </rPr>
          <t xml:space="preserve">
Cierre Ord N° 19911
</t>
        </r>
      </text>
    </comment>
  </commentList>
</comments>
</file>

<file path=xl/comments6.xml><?xml version="1.0" encoding="utf-8"?>
<comments xmlns="http://schemas.openxmlformats.org/spreadsheetml/2006/main">
  <authors>
    <author>Autor</author>
  </authors>
  <commentList>
    <comment ref="L5" authorId="0" shapeId="0">
      <text>
        <r>
          <rPr>
            <b/>
            <sz val="9"/>
            <color indexed="81"/>
            <rFont val="Tahoma"/>
            <family val="2"/>
          </rPr>
          <t>Autor:</t>
        </r>
        <r>
          <rPr>
            <sz val="9"/>
            <color indexed="81"/>
            <rFont val="Tahoma"/>
            <family val="2"/>
          </rPr>
          <t xml:space="preserve">
Res 289-19 Otorga 0,1548659 de Deris a Grimar (737,00682)</t>
        </r>
      </text>
    </comment>
    <comment ref="I25" authorId="0" shape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List>
</comments>
</file>

<file path=xl/sharedStrings.xml><?xml version="1.0" encoding="utf-8"?>
<sst xmlns="http://schemas.openxmlformats.org/spreadsheetml/2006/main" count="1952" uniqueCount="548">
  <si>
    <t>RESUMEN ANUAL CONSUMO GLOBAL DE CUOTA MERLUZA DEL SUR  41°28,6' al 57° L.S. AÑO 2019</t>
  </si>
  <si>
    <t>SECTOR</t>
  </si>
  <si>
    <t>Región/Area</t>
  </si>
  <si>
    <t>Cuota asignada</t>
  </si>
  <si>
    <t>Movimientos</t>
  </si>
  <si>
    <t>Cuota Efectiva</t>
  </si>
  <si>
    <t>Captura</t>
  </si>
  <si>
    <t>Saldo</t>
  </si>
  <si>
    <t>Consumo</t>
  </si>
  <si>
    <t>Artesanal</t>
  </si>
  <si>
    <t>REGION DE LOS LAGOS</t>
  </si>
  <si>
    <t>REGION DE AYSEN</t>
  </si>
  <si>
    <t>REGION DE MAGALLANES</t>
  </si>
  <si>
    <t>CUOTA OBJETIVO ARTESANAL</t>
  </si>
  <si>
    <t>CUOTA FAUNA ACOMPAÑANTE</t>
  </si>
  <si>
    <t>TOTAL FRACCION ARTESANAL X-XII</t>
  </si>
  <si>
    <t>Industrial</t>
  </si>
  <si>
    <t>TOTAL FRACCION INDUSTRIAL</t>
  </si>
  <si>
    <t xml:space="preserve">             Investigacion</t>
  </si>
  <si>
    <t>CUOTA GLOBAL MERLUZA DEL SUR  41°28,6' al 57° L.S.</t>
  </si>
  <si>
    <t>FACTOR 0,9 (ENTERAS EVISCERADAS)</t>
  </si>
  <si>
    <t>Cuota Anual de Captura Merluza del Sur Fuera de Unidades de Pesquería 2019</t>
  </si>
  <si>
    <t>Unidad de Pesquería</t>
  </si>
  <si>
    <t>Sector/Fracción</t>
  </si>
  <si>
    <t>Cuota Global asignada (t)</t>
  </si>
  <si>
    <t>Capturas</t>
  </si>
  <si>
    <t>Total Captura</t>
  </si>
  <si>
    <t>Saldo (t)</t>
  </si>
  <si>
    <t>% Consumo</t>
  </si>
  <si>
    <t>Fecha cierre</t>
  </si>
  <si>
    <t>-</t>
  </si>
  <si>
    <t>CONTROL DE CUOTA MERLUZA DEL SUR POR TITULAR LTP CLASE A Y B, AÑO 2019</t>
  </si>
  <si>
    <t>Unidad pesqueria</t>
  </si>
  <si>
    <t>Periodo</t>
  </si>
  <si>
    <t>Merluza del Sur paralelo  (NORTE)</t>
  </si>
  <si>
    <t>Ene-Jul</t>
  </si>
  <si>
    <t>Agosto</t>
  </si>
  <si>
    <t>VEDA</t>
  </si>
  <si>
    <t>Feb-Dic</t>
  </si>
  <si>
    <t>TOTAL</t>
  </si>
  <si>
    <t xml:space="preserve">Unidad Pesquería </t>
  </si>
  <si>
    <t>Titular Ltp</t>
  </si>
  <si>
    <t>Coeficientes A y B</t>
  </si>
  <si>
    <t>Cuota Asignada</t>
  </si>
  <si>
    <t xml:space="preserve">Cuota efectiva </t>
  </si>
  <si>
    <t>Saldo periodo</t>
  </si>
  <si>
    <t>Consumo periodo</t>
  </si>
  <si>
    <t>Cuota asignada Año</t>
  </si>
  <si>
    <t>Captura Año</t>
  </si>
  <si>
    <t>Saldo Año</t>
  </si>
  <si>
    <t>Merluza del Sur paralelo  41°28,6' al 47° L.S. (NE)</t>
  </si>
  <si>
    <t>EMDEPES S.A.</t>
  </si>
  <si>
    <t>Ene</t>
  </si>
  <si>
    <t>GRIMAR S.A. PESQ.</t>
  </si>
  <si>
    <t>PESCA CISNE S.A.</t>
  </si>
  <si>
    <t>SUR AUSTRAL S.A. PESQ.</t>
  </si>
  <si>
    <t>DERIS S.A.</t>
  </si>
  <si>
    <t>CONGELADOS PACIFICO SpA hoy PACIFICBLU SpA.</t>
  </si>
  <si>
    <t>ALIMENTOS MARINOS S.A. ALIMAR</t>
  </si>
  <si>
    <t>PESQUERA BIO BIO S.A. hoy PESQUERA BIO BIO SpA.</t>
  </si>
  <si>
    <t>PESCA FINA SpA. hoy PACIFICBLU SpA.</t>
  </si>
  <si>
    <t>ISLA QUIHUA S.A. PESQ.</t>
  </si>
  <si>
    <t>TOTAL PERIODOS</t>
  </si>
  <si>
    <t>Merluza del Sur paralelo  (SUR)</t>
  </si>
  <si>
    <t xml:space="preserve"> Merluza del Sur paralelo 47° al 57° L.S. (SE)</t>
  </si>
  <si>
    <t>ALEXIS CABRERA VALLEJOS</t>
  </si>
  <si>
    <t>PESQ. GRIMAR S.A.</t>
  </si>
  <si>
    <t>PESQ. SUR AUSTRAL S.A.</t>
  </si>
  <si>
    <t/>
  </si>
  <si>
    <t xml:space="preserve"> </t>
  </si>
  <si>
    <t>REGION</t>
  </si>
  <si>
    <t>Id</t>
  </si>
  <si>
    <t>AREA ASIGNACION</t>
  </si>
  <si>
    <t>PERIODO</t>
  </si>
  <si>
    <t>%Consumo periodo</t>
  </si>
  <si>
    <t>Fecha de Cierre</t>
  </si>
  <si>
    <t>CALBUCO A</t>
  </si>
  <si>
    <t>Ene - Jul</t>
  </si>
  <si>
    <t>Sept - Dic</t>
  </si>
  <si>
    <t>CALBUCO B</t>
  </si>
  <si>
    <t>CALBUCO C</t>
  </si>
  <si>
    <t>CALBUCO D</t>
  </si>
  <si>
    <t>CHILOE A</t>
  </si>
  <si>
    <t>CHILOE B</t>
  </si>
  <si>
    <t>CHILOE C</t>
  </si>
  <si>
    <t>CHILOE D</t>
  </si>
  <si>
    <t>HUALAIHUE</t>
  </si>
  <si>
    <t>PALENA</t>
  </si>
  <si>
    <t>PATAGONIA</t>
  </si>
  <si>
    <t>PTO MONTT A</t>
  </si>
  <si>
    <t>PTO MONTT B</t>
  </si>
  <si>
    <t>PTO MONTT C</t>
  </si>
  <si>
    <t>RESIDUAL</t>
  </si>
  <si>
    <t>CONTROL CUOTA MERLUZA DEL SUR ARTESANAL REGION DE MAGALLANES Y ANTARTICA CHILENA, AÑO 2019</t>
  </si>
  <si>
    <t>XII Región de Magallanes</t>
  </si>
  <si>
    <t>Sep-Dic</t>
  </si>
  <si>
    <t>AREA</t>
  </si>
  <si>
    <t>Coeficiente asignacion Individual</t>
  </si>
  <si>
    <t>Cierre</t>
  </si>
  <si>
    <t>PUERTO NATALES</t>
  </si>
  <si>
    <t>70 Embarcaciones</t>
  </si>
  <si>
    <t>PUNTA ARENAS</t>
  </si>
  <si>
    <t>56 Embarcaciones</t>
  </si>
  <si>
    <t>Id control</t>
  </si>
  <si>
    <t>Id Emb</t>
  </si>
  <si>
    <t>Embarcacion Asignataria</t>
  </si>
  <si>
    <t>Rpa</t>
  </si>
  <si>
    <t xml:space="preserve">Saldo </t>
  </si>
  <si>
    <t>CALETA VIRTUDES I</t>
  </si>
  <si>
    <t>NANAY</t>
  </si>
  <si>
    <t>NICOL FERNANDA</t>
  </si>
  <si>
    <t>PABLA</t>
  </si>
  <si>
    <t>SAN JOAQUIN</t>
  </si>
  <si>
    <t>SAN JUAN I</t>
  </si>
  <si>
    <t>AGALLADITO</t>
  </si>
  <si>
    <t>ALCIDES</t>
  </si>
  <si>
    <t>ANESTI II</t>
  </si>
  <si>
    <t>DON ADRIAN</t>
  </si>
  <si>
    <t>REY MAR</t>
  </si>
  <si>
    <t>SANTA CATALINA I</t>
  </si>
  <si>
    <t>SOR TERESA</t>
  </si>
  <si>
    <t>VICTOR ALEJANDRO</t>
  </si>
  <si>
    <t>VICMAR I</t>
  </si>
  <si>
    <t>COMO PUDIERA</t>
  </si>
  <si>
    <t>SAN PEDRO</t>
  </si>
  <si>
    <t>TEMERARIO I</t>
  </si>
  <si>
    <t>VUELVO POR TI</t>
  </si>
  <si>
    <t>CORALITO</t>
  </si>
  <si>
    <t>ICEBERG I</t>
  </si>
  <si>
    <t>JORGE II</t>
  </si>
  <si>
    <t>NO ME OLVIDES</t>
  </si>
  <si>
    <t>REY DE CORAZONES</t>
  </si>
  <si>
    <t>SANTA ELENA</t>
  </si>
  <si>
    <t>PAKITO</t>
  </si>
  <si>
    <t>PARRANDERO</t>
  </si>
  <si>
    <t>PETREL I</t>
  </si>
  <si>
    <t>PETREL II</t>
  </si>
  <si>
    <t>RIO BUENO</t>
  </si>
  <si>
    <t>RODOLFITO</t>
  </si>
  <si>
    <t>PATITO</t>
  </si>
  <si>
    <t>PETREL III</t>
  </si>
  <si>
    <t xml:space="preserve">SAN NICOLÁS </t>
  </si>
  <si>
    <t>SOLARI</t>
  </si>
  <si>
    <t>ANGEL MATÍAS</t>
  </si>
  <si>
    <t>CAPRICHOSA</t>
  </si>
  <si>
    <t>CARLOS FABIÁN</t>
  </si>
  <si>
    <t>CHINGAO</t>
  </si>
  <si>
    <t>EL BASILON</t>
  </si>
  <si>
    <t>FRESIA</t>
  </si>
  <si>
    <t>MABEL</t>
  </si>
  <si>
    <t>GREY</t>
  </si>
  <si>
    <t>ISRAEL</t>
  </si>
  <si>
    <t>LOLA</t>
  </si>
  <si>
    <t>VICTORIA III</t>
  </si>
  <si>
    <t>MENTIROSA</t>
  </si>
  <si>
    <t>MONSON</t>
  </si>
  <si>
    <t>PINGUINO I</t>
  </si>
  <si>
    <t>PINGUINO II</t>
  </si>
  <si>
    <t xml:space="preserve">YHONATAN NIETO </t>
  </si>
  <si>
    <t>YORDANA</t>
  </si>
  <si>
    <t>YORDANA II</t>
  </si>
  <si>
    <t>PULPO</t>
  </si>
  <si>
    <t>CRISTO SALVA I</t>
  </si>
  <si>
    <t>DOÑA MONSE</t>
  </si>
  <si>
    <t>FRANCISCA I</t>
  </si>
  <si>
    <t>LUGOR</t>
  </si>
  <si>
    <t>MACARENA</t>
  </si>
  <si>
    <t>POLY</t>
  </si>
  <si>
    <t>SOL DE AMÉRICA</t>
  </si>
  <si>
    <t>CHANBERLEY</t>
  </si>
  <si>
    <t>PANGA</t>
  </si>
  <si>
    <t>VICTOR I</t>
  </si>
  <si>
    <t>GATUNOS</t>
  </si>
  <si>
    <t>BAHÍA PERALES</t>
  </si>
  <si>
    <t>DIEMAR II</t>
  </si>
  <si>
    <t>STEFANY</t>
  </si>
  <si>
    <t>VAMPIRO</t>
  </si>
  <si>
    <t>ROMANE ISAIAS</t>
  </si>
  <si>
    <t>ALBATROS II</t>
  </si>
  <si>
    <t>ALFA HUARA</t>
  </si>
  <si>
    <t>BERNARDITA I</t>
  </si>
  <si>
    <t>BORIS</t>
  </si>
  <si>
    <t>CARANCO</t>
  </si>
  <si>
    <t>CECILIA I</t>
  </si>
  <si>
    <t>CECILIA II</t>
  </si>
  <si>
    <t>VALENT</t>
  </si>
  <si>
    <t>VALENT I</t>
  </si>
  <si>
    <t>CORRAL</t>
  </si>
  <si>
    <t>DANIELA III</t>
  </si>
  <si>
    <t>EBEN-EZER</t>
  </si>
  <si>
    <t>LONCOYEN</t>
  </si>
  <si>
    <t>NATIVA</t>
  </si>
  <si>
    <t>TIBURON I</t>
  </si>
  <si>
    <t>TOBY I</t>
  </si>
  <si>
    <t>EMMANUEL</t>
  </si>
  <si>
    <t>JADU</t>
  </si>
  <si>
    <t>HURACAN II</t>
  </si>
  <si>
    <t>CISNE III</t>
  </si>
  <si>
    <t>El TATA</t>
  </si>
  <si>
    <t>NUEVO MILENIO</t>
  </si>
  <si>
    <t>JESUS MARIA</t>
  </si>
  <si>
    <t xml:space="preserve">ARIEL </t>
  </si>
  <si>
    <t>ANGELA RENEE</t>
  </si>
  <si>
    <t>AMANECER</t>
  </si>
  <si>
    <t>PAJARO AZUL</t>
  </si>
  <si>
    <t>SIETE MARES</t>
  </si>
  <si>
    <t>VAGABUNDO I</t>
  </si>
  <si>
    <t>LA FORTUNA</t>
  </si>
  <si>
    <t>ARAUCANO</t>
  </si>
  <si>
    <t>CHINGAO II</t>
  </si>
  <si>
    <t>CRISHNA I</t>
  </si>
  <si>
    <t>TUAMAPU</t>
  </si>
  <si>
    <t>GEMINIS</t>
  </si>
  <si>
    <t>HIMALAYA</t>
  </si>
  <si>
    <t>CLAUDIO I</t>
  </si>
  <si>
    <t>LA KARLITA</t>
  </si>
  <si>
    <t>NATALIA BEATRIZ</t>
  </si>
  <si>
    <t>SOL NACIENTE</t>
  </si>
  <si>
    <t>OLIMPO I</t>
  </si>
  <si>
    <t>NICOLAS</t>
  </si>
  <si>
    <t>NICOL I</t>
  </si>
  <si>
    <t>SAN SEBASTIAN XVI</t>
  </si>
  <si>
    <t>BELL II</t>
  </si>
  <si>
    <t>CAUTIN</t>
  </si>
  <si>
    <t>COBRA</t>
  </si>
  <si>
    <t>DAMAR II</t>
  </si>
  <si>
    <t>DON IGNACIO</t>
  </si>
  <si>
    <t>EL BACAN</t>
  </si>
  <si>
    <t>CORCOVADO II</t>
  </si>
  <si>
    <t>TOPACIO</t>
  </si>
  <si>
    <t>SANTA VALENTINA</t>
  </si>
  <si>
    <t>YOVY</t>
  </si>
  <si>
    <t>CHUKAKU</t>
  </si>
  <si>
    <t>CONTROL CUOTA MERLUZA DEL SUR ARTESANAL RAE XI REGION DE AYSEN, AÑO 2019</t>
  </si>
  <si>
    <t>Región</t>
  </si>
  <si>
    <t>Cuota asignada periodo</t>
  </si>
  <si>
    <t>Captura periodo</t>
  </si>
  <si>
    <t>XII Región de Aysen</t>
  </si>
  <si>
    <t>TOTAL AÑO</t>
  </si>
  <si>
    <t>Area</t>
  </si>
  <si>
    <t>Asignatario de la Cuota</t>
  </si>
  <si>
    <t>Cod. Organización</t>
  </si>
  <si>
    <t>Coeficiente</t>
  </si>
  <si>
    <t>Periodos</t>
  </si>
  <si>
    <t>Cuota asignada año</t>
  </si>
  <si>
    <t xml:space="preserve"> FLOTA NORTE 1</t>
  </si>
  <si>
    <t>87-11</t>
  </si>
  <si>
    <t xml:space="preserve">COOPEFISH      </t>
  </si>
  <si>
    <t xml:space="preserve">COOPERATIVA ULTIMA ESPERANZA GALA  </t>
  </si>
  <si>
    <t xml:space="preserve">COOPESGAL     </t>
  </si>
  <si>
    <t>11.02.0047</t>
  </si>
  <si>
    <t>11.02.0048</t>
  </si>
  <si>
    <t>11.05.0009</t>
  </si>
  <si>
    <t xml:space="preserve">SIND GALA N° 1  </t>
  </si>
  <si>
    <t>11.02.0024</t>
  </si>
  <si>
    <t>11.05.0002</t>
  </si>
  <si>
    <t>11.02.0022</t>
  </si>
  <si>
    <t>11.05.0014</t>
  </si>
  <si>
    <t>11.02.0030</t>
  </si>
  <si>
    <t>76.580.226-1</t>
  </si>
  <si>
    <t>76.304.988-4</t>
  </si>
  <si>
    <t>76.257.407-1</t>
  </si>
  <si>
    <t>RESIDUAL FLOTA NORTE 1</t>
  </si>
  <si>
    <t>TOTAL FLOTA NORTE 1</t>
  </si>
  <si>
    <t>FLOTA NORTE 2</t>
  </si>
  <si>
    <t>85-11</t>
  </si>
  <si>
    <t>11.05.0005</t>
  </si>
  <si>
    <t>11.05.0017</t>
  </si>
  <si>
    <t>11.05.0024</t>
  </si>
  <si>
    <t>11.05.0022</t>
  </si>
  <si>
    <t>ene-julo</t>
  </si>
  <si>
    <t>sept-Dic</t>
  </si>
  <si>
    <t xml:space="preserve">STI FRUTOS DE DIOS     </t>
  </si>
  <si>
    <t>11.05.0021</t>
  </si>
  <si>
    <t xml:space="preserve">SIND CISNES - LA UNION   </t>
  </si>
  <si>
    <t>11.05.0001</t>
  </si>
  <si>
    <t>11.05.0013</t>
  </si>
  <si>
    <t>11.05.0006</t>
  </si>
  <si>
    <t>11.05.0015</t>
  </si>
  <si>
    <t>11.05.0018</t>
  </si>
  <si>
    <t>11.02.0025</t>
  </si>
  <si>
    <t>11.05.0019</t>
  </si>
  <si>
    <t>76.665.337-5</t>
  </si>
  <si>
    <t>76.288,822-k</t>
  </si>
  <si>
    <t>RESIDUAL FLOTA NORTE 2</t>
  </si>
  <si>
    <t>TOTAL FLOTA NORTE 2</t>
  </si>
  <si>
    <t xml:space="preserve"> FLOTA SUR 1</t>
  </si>
  <si>
    <t>11.02.0041</t>
  </si>
  <si>
    <t>11.02.0074</t>
  </si>
  <si>
    <t xml:space="preserve"> SOCIEDAD PA MAR ADENTRO LTDA   </t>
  </si>
  <si>
    <t xml:space="preserve"> 76.292.169-3</t>
  </si>
  <si>
    <t xml:space="preserve">SERVICIO EVENECER LTDA   </t>
  </si>
  <si>
    <t xml:space="preserve"> 76.304.204-9</t>
  </si>
  <si>
    <t>SOCIEDAD SUSANA LTDA</t>
  </si>
  <si>
    <t xml:space="preserve"> 76.290.196-K</t>
  </si>
  <si>
    <t>MAYORGA  Y MAYORGA LTDA</t>
  </si>
  <si>
    <t xml:space="preserve"> 76.469.761-8</t>
  </si>
  <si>
    <t>SOCIEDAD PESCA ARTESANAL BLANCO Y NEGRO LTDA</t>
  </si>
  <si>
    <t xml:space="preserve"> 76.298.763-5</t>
  </si>
  <si>
    <t>11.02.0106</t>
  </si>
  <si>
    <t xml:space="preserve">COPENAY </t>
  </si>
  <si>
    <t>11.02.0021</t>
  </si>
  <si>
    <t>STI ESTUARIO DE AYSEN</t>
  </si>
  <si>
    <t>11.02.0099</t>
  </si>
  <si>
    <t xml:space="preserve"> 11.02.0070</t>
  </si>
  <si>
    <t xml:space="preserve">STI PESCADORES ARTESANALES ULTIMA ESPERANZA </t>
  </si>
  <si>
    <t xml:space="preserve"> 11.02.0065</t>
  </si>
  <si>
    <t>SIND AYSEN - ESFUERZO DEL MAR</t>
  </si>
  <si>
    <t xml:space="preserve"> 11.02.0100</t>
  </si>
  <si>
    <t>11.02.0084</t>
  </si>
  <si>
    <t>11.02.0075</t>
  </si>
  <si>
    <t>STI PESCADORES ARTESANALES LIBERTAD DEL MAR</t>
  </si>
  <si>
    <t>11.02.0073</t>
  </si>
  <si>
    <t xml:space="preserve"> 11.02.0043</t>
  </si>
  <si>
    <t>STI MARES AUSTRALES N° 3 PTO AYSEN</t>
  </si>
  <si>
    <t xml:space="preserve"> 11.02.0044</t>
  </si>
  <si>
    <t xml:space="preserve">STI RIO AYSEN </t>
  </si>
  <si>
    <t>11.02.0110</t>
  </si>
  <si>
    <t xml:space="preserve">AG AYSEN  </t>
  </si>
  <si>
    <t>SOCIEDAD DE PESCADORES ARTESANALES LTDA</t>
  </si>
  <si>
    <t xml:space="preserve"> 76.458.859-2</t>
  </si>
  <si>
    <t xml:space="preserve">   11.02.0028</t>
  </si>
  <si>
    <t>SIND AYSEN - LOS ETERNOS NAVEGANTES</t>
  </si>
  <si>
    <t>11.02.0126</t>
  </si>
  <si>
    <t xml:space="preserve">COOPERATIVA DE PESCADORES PILCOSTA  </t>
  </si>
  <si>
    <t xml:space="preserve"> ROL 4759</t>
  </si>
  <si>
    <t xml:space="preserve">TURISMO SUR AYSEN LTDA </t>
  </si>
  <si>
    <t xml:space="preserve"> 76.518.703-6</t>
  </si>
  <si>
    <t>SOCIEDAD MININEA LTDA</t>
  </si>
  <si>
    <t xml:space="preserve"> 76.210.264-1</t>
  </si>
  <si>
    <t xml:space="preserve"> 76,287.241-2</t>
  </si>
  <si>
    <t xml:space="preserve">SOCIEDAD HUIQUEN Y POBLETE LTDA </t>
  </si>
  <si>
    <t xml:space="preserve"> 76.726.181-0</t>
  </si>
  <si>
    <t>SOCIEDAD ANALUZ LTDA</t>
  </si>
  <si>
    <t xml:space="preserve"> 76.726.561-1</t>
  </si>
  <si>
    <t>SOCIEDAD PUINAO Y MONTIEL LTDA</t>
  </si>
  <si>
    <t>SOCIEDAD SUBIABRE E HIJOS LTDA</t>
  </si>
  <si>
    <t>RESIDUAL FLOTA SUR I</t>
  </si>
  <si>
    <t>TOTAL FLOTA SUR 1</t>
  </si>
  <si>
    <t>FLOTA SUR 2</t>
  </si>
  <si>
    <t>CODEMAIH</t>
  </si>
  <si>
    <t xml:space="preserve">COOPESUR    </t>
  </si>
  <si>
    <t xml:space="preserve">COOPERATIVA DE PTO AGUIRRE COPEAGU    </t>
  </si>
  <si>
    <t>11.02.0066</t>
  </si>
  <si>
    <t>11.02.0069</t>
  </si>
  <si>
    <t>11.02.0029</t>
  </si>
  <si>
    <t>11.02.0054</t>
  </si>
  <si>
    <t>11.02.0122</t>
  </si>
  <si>
    <t>11.02.0019</t>
  </si>
  <si>
    <t>11.02.0034</t>
  </si>
  <si>
    <t>11.02.0042</t>
  </si>
  <si>
    <t>11.02.0051</t>
  </si>
  <si>
    <t>11.02.0077</t>
  </si>
  <si>
    <t>11.02.0082</t>
  </si>
  <si>
    <t>11.02.0147</t>
  </si>
  <si>
    <t>76.133.677-0</t>
  </si>
  <si>
    <t>RESIDUAL FLOTA SUR 2</t>
  </si>
  <si>
    <t>TOTAL FLOTA SUR 2</t>
  </si>
  <si>
    <t>RESUMEN POR AREA</t>
  </si>
  <si>
    <t>MERLUZA DEL SUR 41°28,6' al 47° L.S. (NE)</t>
  </si>
  <si>
    <t>MERLUZA DEL SUR 47° al 57° L.S. (SE)</t>
  </si>
  <si>
    <t xml:space="preserve">TOTAL OBJETIVO REGION </t>
  </si>
  <si>
    <t>TOTAL OBJETIVO REGION</t>
  </si>
  <si>
    <t>CONTROL CUOTA MERLUZA DEL SUR ARTESANAL RAE X REGION DE LOS LAGOS, AÑO 2019</t>
  </si>
  <si>
    <t>STI HEREDEROS DEL ARTE</t>
  </si>
  <si>
    <t>STI ISLAS HUICHAS N°1</t>
  </si>
  <si>
    <t xml:space="preserve"> STI AGUIRRE - MARES DEL SUR</t>
  </si>
  <si>
    <t>STI PROA AL FUTURO</t>
  </si>
  <si>
    <t xml:space="preserve">STI CANAL PUYUHUAPI    </t>
  </si>
  <si>
    <t xml:space="preserve">AG ISLA TOTO </t>
  </si>
  <si>
    <t xml:space="preserve">AG DEMERSAL    </t>
  </si>
  <si>
    <t>STI EL PITICO</t>
  </si>
  <si>
    <t xml:space="preserve">STI ELEFANTES  </t>
  </si>
  <si>
    <t xml:space="preserve">STI LITORAL NORTE     </t>
  </si>
  <si>
    <t>STI MORALEDA DE PUERTO CISNES</t>
  </si>
  <si>
    <t>STI SAN PEDRO</t>
  </si>
  <si>
    <t>SOCIEDAD SERVICIOS PESCA CISNES LTDA</t>
  </si>
  <si>
    <t xml:space="preserve">SINDICATO CHACABUCO-WALTER MONTIEL      </t>
  </si>
  <si>
    <t xml:space="preserve">SINDICATO AYSEN-CANAL COSTA </t>
  </si>
  <si>
    <t>SOCIEDAD ALMONACID ANDRADE E HIJOS LTDA</t>
  </si>
  <si>
    <t>STI PUERTO RAUL MARIN BALMACEDA</t>
  </si>
  <si>
    <t xml:space="preserve">SOCIEDAD AMAROMAR LTDA </t>
  </si>
  <si>
    <t xml:space="preserve">STI PUERTO PUYUHUAPI LOS DELFINES </t>
  </si>
  <si>
    <t>SIND PUYUHUAPI  B M PESC ARTES</t>
  </si>
  <si>
    <t>NORTE EXTERIOR</t>
  </si>
  <si>
    <t>SUR EXTERIOR</t>
  </si>
  <si>
    <t>Total general</t>
  </si>
  <si>
    <t>CUOTA ASIGNADA</t>
  </si>
  <si>
    <t>76,779,789-3</t>
  </si>
  <si>
    <t>STI AGUIRRE - AGUAS CLARAS</t>
  </si>
  <si>
    <t xml:space="preserve">SIND PUYUHUAPI - NUEVO HORIZONTE   </t>
  </si>
  <si>
    <t xml:space="preserve">STI BAHIA CHACABUCO   </t>
  </si>
  <si>
    <t>STI DE LA PESCA ARTESANAL DE CALETA ANDRADE</t>
  </si>
  <si>
    <t xml:space="preserve">SIND CISNES PESC ART Y B M     </t>
  </si>
  <si>
    <t>STI N° 1  PUERTO CISNES</t>
  </si>
  <si>
    <t>SUR II (17 organizaciones)</t>
  </si>
  <si>
    <t>SUR I 36 organizaciones</t>
  </si>
  <si>
    <t>NORTE I (16 organizaciones)</t>
  </si>
  <si>
    <t>NORTE II (17 organizaciones)</t>
  </si>
  <si>
    <t xml:space="preserve">Total Organizaciones </t>
  </si>
  <si>
    <t>SINDICATO AYSEN - LOS CHONOS</t>
  </si>
  <si>
    <t>SOCIEDAD ARCHIPIELAGO DE LOS CHONOS LTDA</t>
  </si>
  <si>
    <t>SOCIEDAD OCAMPOS URIBE LTDA</t>
  </si>
  <si>
    <t>76.874.454-8</t>
  </si>
  <si>
    <t>76.295.623-3</t>
  </si>
  <si>
    <t>SOCIEDAD PESQUERA LEVIÑANCO HNOS LTDA</t>
  </si>
  <si>
    <t>STI ANDRADE - FRANCISCO ANDRADE</t>
  </si>
  <si>
    <t>STI AGUIRRE - NUEVAVENTURA</t>
  </si>
  <si>
    <t xml:space="preserve">STI ANDRADE - ISLAS HUICHAS N°3 </t>
  </si>
  <si>
    <t xml:space="preserve">SIND AGUIRRE DE MORALEDA </t>
  </si>
  <si>
    <t>SIND NUEVO AMANECER</t>
  </si>
  <si>
    <t>STI BAHIA MAR</t>
  </si>
  <si>
    <t>SIND GALA - ANTONIO RONCHI</t>
  </si>
  <si>
    <t>SOCIEDAD PESCADORES PUERTO GALA LTDA</t>
  </si>
  <si>
    <t xml:space="preserve">COOPERATIVA PIONEROS DEL MAR DE PTO CISNES - COOPACIS   </t>
  </si>
  <si>
    <t xml:space="preserve">STI MORALEDA DE PTO GAVIOTA  </t>
  </si>
  <si>
    <t xml:space="preserve">STI AMPARO DE PTO GAVIOTA    </t>
  </si>
  <si>
    <t>STI DE LA PESCA ARTESANAL DE PTO GAVIOTA</t>
  </si>
  <si>
    <t>SOCIEDAD MAYORGA DIAZ LTDA</t>
  </si>
  <si>
    <t>PACIFICBLU SpA</t>
  </si>
  <si>
    <t>TOTAL TITULARES LTP</t>
  </si>
  <si>
    <t>Consumo captura Año</t>
  </si>
  <si>
    <t>Consumo Cuota Año</t>
  </si>
  <si>
    <t>MERLUZA DEL SUR INDUSTRIAL ENERO</t>
  </si>
  <si>
    <t>FUP</t>
  </si>
  <si>
    <t>MERLUZA DEL SUR INDUSTRIAL FEB-DIC</t>
  </si>
  <si>
    <t>% Consumo año</t>
  </si>
  <si>
    <t xml:space="preserve">% Consumo Cuota </t>
  </si>
  <si>
    <t>% Extraido</t>
  </si>
  <si>
    <t>STI ARCHIPIELAGOS DEL SUR</t>
  </si>
  <si>
    <t>85697000-0</t>
  </si>
  <si>
    <t>96962720-5</t>
  </si>
  <si>
    <t>76015307-9</t>
  </si>
  <si>
    <t>PESCA CHILE S.A.</t>
  </si>
  <si>
    <t>96531980-8</t>
  </si>
  <si>
    <t>96542880-1</t>
  </si>
  <si>
    <t>96808510-7</t>
  </si>
  <si>
    <t>76299375-9</t>
  </si>
  <si>
    <t>91584000-0</t>
  </si>
  <si>
    <t>84902900-2</t>
  </si>
  <si>
    <t>76596549-7</t>
  </si>
  <si>
    <t>99546520-5</t>
  </si>
  <si>
    <t>78997880-8</t>
  </si>
  <si>
    <t>DISTRIBUIDORA DE ALIMENTOS DEL MAR LTDA</t>
  </si>
  <si>
    <t>11831129-9</t>
  </si>
  <si>
    <t>14 Merluza del sur, paralelo 41° 28,6’ LS al 47° L.S</t>
  </si>
  <si>
    <t>15 Merluza del sur, paralelo 47° L.S. al 57° L.S.</t>
  </si>
  <si>
    <t>ALEXIS CABRERA VALLEJOS (lote desierto)</t>
  </si>
  <si>
    <t>Ltp A y B (4549-18 y 32-19)</t>
  </si>
  <si>
    <t>U P</t>
  </si>
  <si>
    <t>Titulat Ltp</t>
  </si>
  <si>
    <t>Cesiones</t>
  </si>
  <si>
    <t>ALEXIS CABRERA VALLEJOS (lote desierto adjudicado)</t>
  </si>
  <si>
    <t>PACIFICBLU SpA.</t>
  </si>
  <si>
    <t>Negocios</t>
  </si>
  <si>
    <t>Descrpcion</t>
  </si>
  <si>
    <t>Detalle Negocios Merluza del sur, paralelo 41° 28,6’ LS al 47° L.S:</t>
  </si>
  <si>
    <t>Res Ex</t>
  </si>
  <si>
    <t>Pesca Cisne</t>
  </si>
  <si>
    <t>Deris</t>
  </si>
  <si>
    <t>Sur Austral</t>
  </si>
  <si>
    <t>Pacificblue</t>
  </si>
  <si>
    <t>Grimar</t>
  </si>
  <si>
    <t xml:space="preserve">Cuota </t>
  </si>
  <si>
    <t>Cuota</t>
  </si>
  <si>
    <t>Fecha</t>
  </si>
  <si>
    <t>Res 377-19 Otorga 0,0076800 de Sur Austral a Deris</t>
  </si>
  <si>
    <t>Incremetar</t>
  </si>
  <si>
    <t>Descontar</t>
  </si>
  <si>
    <t>Res 402-19 Sin Efecto 0,0000400 de Sur Austral (+) a PacificBlu (-)</t>
  </si>
  <si>
    <t>Res 288-19 Otorga 0,0287900 de Grimar a Deris (137,012 t)</t>
  </si>
  <si>
    <t>R Ex 1362-19_CV 0,0075 LTP B entre ALEXIS CABRERA VALLEJOS a DERIS SA (22,8225 t)</t>
  </si>
  <si>
    <t>R Ex 1363-19_CV 0,0075 LTP B entre ALEXIS CABRERA VALLEJOS a DERIS SA (22,8225 t)</t>
  </si>
  <si>
    <t>Cantidad</t>
  </si>
  <si>
    <t>R Ex 746-19_Deja Sin Efecto CV Fideicomiso LTP A 0,1041028 PESCA CISNE SA a DERIS</t>
  </si>
  <si>
    <t>+</t>
  </si>
  <si>
    <t>Cabrera</t>
  </si>
  <si>
    <t>Detalle Negocios Merluza del sur, paralelo 47° al 57°</t>
  </si>
  <si>
    <t>Res 745-19 Sin Efecto 0,0282095 de Pesca Cisnes (+) a Deris (0)</t>
  </si>
  <si>
    <t>Res 286-19 Otorga 0.1531210 de Deris a Sur Austral (728,70284)</t>
  </si>
  <si>
    <t>Total Merluza del Sur FUP</t>
  </si>
  <si>
    <t>Merluza del sur (D. Ex. N° 459/16-11-2018)</t>
  </si>
  <si>
    <t>Res 289-19 Establece lo que le queda a Grimar 0,1548659  (737,00682)</t>
  </si>
  <si>
    <t>Res 287-19 Establece lo que le queda a Deris 0.1999095 (951,3693)</t>
  </si>
  <si>
    <t>392-2019 Cesión 305,556 ton de AREA CALBUCO B Región de Los Lagos a PESQ GRIMAR</t>
  </si>
  <si>
    <t>396-2019 Cesión 106 ton de AREA PALENA Región de Los Lagos a PESQ GRIMAR</t>
  </si>
  <si>
    <t>1097/28-03-19 Cesión 18,446 ton de ORGANIZACIONES Región de AISEN  a PESQ GRIMAR SA</t>
  </si>
  <si>
    <t>1356/10-04-19  Cesión 248,690 t Merluza del sur Area Pto Montt A Región de Los Lagos a EMDEPES SA</t>
  </si>
  <si>
    <t>1096/28-03-19 Cesión 15,924 ton de ORGANIZACIONES Región de AISEN  a PESQ SUR AUSTRAL</t>
  </si>
  <si>
    <t>1195/29-03-19 Cesión 59,755 ton de ORGANIZACION Región de AISEN  a PESQ SUR AUSTRAL</t>
  </si>
  <si>
    <t>446-2019 Cesión 27,254 ton de XII Región EMB POLY EMB VICTOR ALEJANDRO-AREA PTO NATALES a EMDEPES SA.</t>
  </si>
  <si>
    <t>Aysen</t>
  </si>
  <si>
    <t>Los Lagos</t>
  </si>
  <si>
    <t>Magallanes</t>
  </si>
  <si>
    <t xml:space="preserve">Emdepes </t>
  </si>
  <si>
    <t>797-2019 Cesión 167,778 t de Area X Región a DERIS S.A.</t>
  </si>
  <si>
    <t>798-2019 Cesión 222,222 t de Area X Región a DERIS S.A.</t>
  </si>
  <si>
    <t>799-2019 Cesión 147,667 t de Area X Región a DERIS S.A.</t>
  </si>
  <si>
    <t>811-2019 Cesión 324,448 t de  Area X Región a DERIS S.A.</t>
  </si>
  <si>
    <t>1109/29-03-19 Cesión 13,627 ton de XII Region - Embarcacion DAMAR II a EMDEPES SA</t>
  </si>
  <si>
    <t>810-2019 Cesión  27,254 t de XII Region-Embarcaciones Area Natales y Punta Arenas a EMDEPES SA.</t>
  </si>
  <si>
    <t>809-2019 Cesión 177,507  t  de ORGANIZACIONES Región de Aysén a EMDEPES SA.</t>
  </si>
  <si>
    <t>687-2019 Cesión 5,222 t de ORGANIZACIONES Región de Aysén a EMDEPES SA.</t>
  </si>
  <si>
    <t>675-2019 Cesión 40,601 t de ORGANIZACIONES Región de Aysén a EMDEPES SA.</t>
  </si>
  <si>
    <t>674-2019 Cesión 167,674 t de ORGANIZACIONES Región de Aysén a EMDEPES SA.</t>
  </si>
  <si>
    <t>564-2019 Cesión 1363,311 t de XII Region-Embarcaciones Area Natales y Punta Arenas a EMDEPES SA.</t>
  </si>
  <si>
    <t>442-2019 Cesión 193.879 t de Aysén a PESQ GRIMAR</t>
  </si>
  <si>
    <t>531-2019 Cesión 722.274 t de Aysén a PESQ SUR AUSTRAL</t>
  </si>
  <si>
    <t>532-2019 Cesión 1402.471 t de Aysén a EMDEPES SA</t>
  </si>
  <si>
    <t>Detalle CESIONES Merluza del sur de 41° 28,6’ LS al 57° L.S:</t>
  </si>
  <si>
    <t>Descripcion</t>
  </si>
  <si>
    <t>678-19 Cesión 54,508 t (Merluza sur 47 al 57) de Región de Magallanes a Deris S.A.</t>
  </si>
  <si>
    <t>688-19 Cesión 185,767 ton (Merluza sur 47 al 57) de Region de Magallanes a Deris S.A.</t>
  </si>
  <si>
    <r>
      <t xml:space="preserve">Fauna Acompañante </t>
    </r>
    <r>
      <rPr>
        <sz val="10"/>
        <color theme="1"/>
        <rFont val="Calibri"/>
        <family val="2"/>
        <scheme val="minor"/>
      </rPr>
      <t>(No autorizados UP)</t>
    </r>
  </si>
  <si>
    <r>
      <t xml:space="preserve"> Objetivo </t>
    </r>
    <r>
      <rPr>
        <sz val="10"/>
        <color theme="1"/>
        <rFont val="Calibri"/>
        <family val="2"/>
        <scheme val="minor"/>
      </rPr>
      <t>(Autorizados UP)</t>
    </r>
  </si>
  <si>
    <t>PESQ. SUR AUSTRAL S.A. (Inscrito Pesq)</t>
  </si>
  <si>
    <t>PACIFICBLU SpA (No Inscrito pesq)</t>
  </si>
  <si>
    <t xml:space="preserve">% Movimiento de Cuota </t>
  </si>
  <si>
    <t>% Capturado</t>
  </si>
  <si>
    <t xml:space="preserve">% movimiento Cuota </t>
  </si>
  <si>
    <t>CAPTUAR</t>
  </si>
  <si>
    <t>STI PLAYAS BLANCAS</t>
  </si>
  <si>
    <t xml:space="preserve">STI LITORAL SUR </t>
  </si>
  <si>
    <t xml:space="preserve">RAE X REGION </t>
  </si>
  <si>
    <t>Descuento</t>
  </si>
  <si>
    <t>Abono</t>
  </si>
  <si>
    <t>R Ex 1464 Cesion de 10,819 ton de region Aysen  a Grimar</t>
  </si>
  <si>
    <t>STI PESCADORES ARTES AYSEN</t>
  </si>
  <si>
    <t>SIND AYSEN BM PESC ARTES</t>
  </si>
  <si>
    <t>Alexis Cabrera</t>
  </si>
  <si>
    <t>Res 1806-19 CV 0,0075 desde Alexis cabrera (+) a Deris (0)</t>
  </si>
  <si>
    <t>55N</t>
  </si>
  <si>
    <t>Aysen AG 833</t>
  </si>
  <si>
    <t>Aysen AG 11.02.0029</t>
  </si>
  <si>
    <t>Los Lagos, Calbuco D</t>
  </si>
  <si>
    <t>Total Objetivo Merluza del Sur paralelo 47° al 57°</t>
  </si>
  <si>
    <t xml:space="preserve">Total Objetivo Merluza del Sur paralelo  41°28,6' al 47° </t>
  </si>
  <si>
    <t>Total</t>
  </si>
  <si>
    <t>Enero</t>
  </si>
  <si>
    <t>Total Ind</t>
  </si>
  <si>
    <t>Total Ind Fup</t>
  </si>
  <si>
    <t xml:space="preserve">Los Lagos, Puerto Montt C </t>
  </si>
  <si>
    <t>R Ex 2 Cesion de 118,581 ton de region Los Lagos, Puerto Montt C   a Deris</t>
  </si>
  <si>
    <t>R Ex 2034 Cesion de 6,935 ton de region Aysen  a Grimar</t>
  </si>
  <si>
    <t xml:space="preserve">R Ex 2144 Cesion de 11,58 ton de region Aysen  a Emdepes </t>
  </si>
  <si>
    <t xml:space="preserve">R Ex 2145 Cesion de 3,889 ton de region Aysen  a Emdepes </t>
  </si>
  <si>
    <t>R Ex 2146 Cesion de 0,34 ton de region Aysen AG 833  a Aysen AG 11.02.0029</t>
  </si>
  <si>
    <t xml:space="preserve">STI N°1  PUERTO PUYUHUAPI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</si>
</sst>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1" formatCode="_ * #,##0_ ;_ * \-#,##0_ ;_ * &quot;-&quot;_ ;_ @_ "/>
    <numFmt numFmtId="164" formatCode="_-* #,##0_-;\-* #,##0_-;_-* &quot;-&quot;_-;_-@_-"/>
    <numFmt numFmtId="165" formatCode="_-* #,##0.00_-;\-* #,##0.00_-;_-* &quot;-&quot;??_-;_-@_-"/>
    <numFmt numFmtId="166" formatCode="[$-F800]dddd\,\ mmmm\ dd\,\ yyyy"/>
    <numFmt numFmtId="167" formatCode="0.0"/>
    <numFmt numFmtId="168" formatCode="0.000"/>
    <numFmt numFmtId="169" formatCode="#,##0_ ;[Red]\-#,##0\ "/>
    <numFmt numFmtId="170" formatCode="#,##0.000_ ;[Red]\-#,##0.000\ "/>
    <numFmt numFmtId="171" formatCode="#,##0.00_ ;[Red]\-#,##0.00\ "/>
    <numFmt numFmtId="172" formatCode="0.000_ ;[Red]\-0.000\ "/>
    <numFmt numFmtId="173" formatCode="0.0%"/>
    <numFmt numFmtId="174" formatCode="yyyy/mm/dd;@"/>
    <numFmt numFmtId="175" formatCode="0.000%"/>
    <numFmt numFmtId="176" formatCode="0.0000000"/>
    <numFmt numFmtId="177" formatCode="_-* #,##0.000_-;\-* #,##0.000_-;_-* &quot;-&quot;??_-;_-@_-"/>
    <numFmt numFmtId="178" formatCode="0.0000"/>
    <numFmt numFmtId="179" formatCode="0.0000000000"/>
    <numFmt numFmtId="180" formatCode="_-* #,##0.0000000_-;\-* #,##0.0000000_-;_-* &quot;-&quot;???????_-;_-@_-"/>
    <numFmt numFmtId="181" formatCode="_-* #,##0.00000000_-;\-* #,##0.00000000_-;_-* &quot;-&quot;??_-;_-@_-"/>
    <numFmt numFmtId="182" formatCode="_ * #,##0.0000000_ ;_ * \-#,##0.0000000_ ;_ * &quot;-&quot;??????_ ;_ @_ "/>
    <numFmt numFmtId="183" formatCode="_ * #,##0.0000000_ ;_ * \-#,##0.0000000_ ;_ * &quot;-&quot;_ ;_ @_ "/>
    <numFmt numFmtId="184" formatCode="_ * #,##0.000000_ ;_ * \-#,##0.000000_ ;_ * &quot;-&quot;_ ;_ @_ "/>
    <numFmt numFmtId="185" formatCode="_ * #,##0.0_ ;_ * \-#,##0.0_ ;_ * &quot;-&quot;_ ;_ @_ "/>
    <numFmt numFmtId="186" formatCode="_-* #,##0.000000_-;\-* #,##0.000000_-;_-* &quot;-&quot;??????_-;_-@_-"/>
  </numFmts>
  <fonts count="6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6"/>
      <color theme="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color theme="1"/>
      <name val="Calibri"/>
      <family val="2"/>
      <scheme val="minor"/>
    </font>
    <font>
      <b/>
      <sz val="14"/>
      <color theme="1"/>
      <name val="Calibri"/>
      <family val="2"/>
      <scheme val="minor"/>
    </font>
    <font>
      <sz val="10"/>
      <color indexed="8"/>
      <name val="Arial"/>
      <family val="2"/>
    </font>
    <font>
      <sz val="11"/>
      <color indexed="8"/>
      <name val="Calibri"/>
      <family val="2"/>
    </font>
    <font>
      <sz val="16"/>
      <color theme="0"/>
      <name val="Calibri"/>
      <family val="2"/>
      <scheme val="minor"/>
    </font>
    <font>
      <sz val="11"/>
      <color theme="0"/>
      <name val="Calibri"/>
      <family val="2"/>
    </font>
    <font>
      <sz val="11"/>
      <name val="Calibri"/>
      <family val="2"/>
      <scheme val="minor"/>
    </font>
    <font>
      <b/>
      <sz val="9"/>
      <color indexed="81"/>
      <name val="Tahoma"/>
      <family val="2"/>
    </font>
    <font>
      <sz val="9"/>
      <color indexed="81"/>
      <name val="Tahoma"/>
      <family val="2"/>
    </font>
    <font>
      <b/>
      <sz val="11"/>
      <color theme="0"/>
      <name val="Calibri"/>
      <family val="2"/>
      <scheme val="minor"/>
    </font>
    <font>
      <b/>
      <sz val="14"/>
      <color theme="0"/>
      <name val="Calibri"/>
      <family val="2"/>
      <scheme val="minor"/>
    </font>
    <font>
      <b/>
      <sz val="10"/>
      <color theme="0"/>
      <name val="Calibri"/>
      <family val="2"/>
      <scheme val="minor"/>
    </font>
    <font>
      <b/>
      <sz val="18"/>
      <color theme="0"/>
      <name val="Calibri"/>
      <family val="2"/>
      <scheme val="minor"/>
    </font>
    <font>
      <sz val="11"/>
      <color indexed="8"/>
      <name val="Calibri"/>
      <family val="2"/>
      <scheme val="minor"/>
    </font>
    <font>
      <sz val="8"/>
      <color theme="0"/>
      <name val="Calibri"/>
      <family val="2"/>
      <scheme val="minor"/>
    </font>
    <font>
      <b/>
      <sz val="11"/>
      <name val="Calibri"/>
      <family val="2"/>
      <scheme val="minor"/>
    </font>
    <font>
      <b/>
      <sz val="8"/>
      <name val="Calibri"/>
      <family val="2"/>
      <scheme val="minor"/>
    </font>
    <font>
      <sz val="8"/>
      <name val="Calibri"/>
      <family val="2"/>
      <scheme val="minor"/>
    </font>
    <font>
      <sz val="11"/>
      <name val="Calibri"/>
      <family val="2"/>
    </font>
    <font>
      <b/>
      <sz val="12"/>
      <name val="Calibri"/>
      <family val="2"/>
      <scheme val="minor"/>
    </font>
    <font>
      <sz val="9"/>
      <color theme="1"/>
      <name val="Calibri"/>
      <family val="2"/>
      <scheme val="minor"/>
    </font>
    <font>
      <b/>
      <sz val="9"/>
      <color theme="0"/>
      <name val="Calibri"/>
      <family val="2"/>
      <scheme val="minor"/>
    </font>
    <font>
      <sz val="9"/>
      <name val="Calibri"/>
      <family val="2"/>
      <scheme val="minor"/>
    </font>
    <font>
      <b/>
      <sz val="11"/>
      <color rgb="FFFF0000"/>
      <name val="Calibri"/>
      <family val="2"/>
      <scheme val="minor"/>
    </font>
    <font>
      <sz val="10"/>
      <color indexed="8"/>
      <name val="Arial"/>
      <family val="2"/>
    </font>
    <font>
      <sz val="9"/>
      <color indexed="8"/>
      <name val="Calibri"/>
      <family val="2"/>
    </font>
    <font>
      <b/>
      <sz val="11"/>
      <color rgb="FF7030A0"/>
      <name val="Calibri"/>
      <family val="2"/>
      <scheme val="minor"/>
    </font>
    <font>
      <b/>
      <sz val="11"/>
      <color theme="5" tint="-0.249977111117893"/>
      <name val="Calibri"/>
      <family val="2"/>
      <scheme val="minor"/>
    </font>
    <font>
      <sz val="9"/>
      <name val="Verdana"/>
      <family val="2"/>
    </font>
    <font>
      <sz val="9"/>
      <color theme="1"/>
      <name val="Verdana"/>
      <family val="2"/>
    </font>
    <font>
      <sz val="9"/>
      <color rgb="FFFF0000"/>
      <name val="Verdana"/>
      <family val="2"/>
    </font>
    <font>
      <b/>
      <sz val="18"/>
      <color rgb="FFFF0000"/>
      <name val="Calibri"/>
      <family val="2"/>
      <scheme val="minor"/>
    </font>
    <font>
      <sz val="18"/>
      <color theme="1"/>
      <name val="Verdana"/>
      <family val="2"/>
    </font>
    <font>
      <sz val="9"/>
      <color theme="5" tint="-0.249977111117893"/>
      <name val="Verdana"/>
      <family val="2"/>
    </font>
    <font>
      <sz val="9"/>
      <color rgb="FFFF0000"/>
      <name val="Tahoma"/>
      <family val="2"/>
    </font>
    <font>
      <b/>
      <sz val="10"/>
      <name val="Verdana"/>
      <family val="2"/>
    </font>
    <font>
      <sz val="12"/>
      <color rgb="FFFF0000"/>
      <name val="Calibri"/>
      <family val="2"/>
      <scheme val="minor"/>
    </font>
    <font>
      <b/>
      <sz val="12"/>
      <color rgb="FFFF0000"/>
      <name val="Calibri"/>
      <family val="2"/>
      <scheme val="minor"/>
    </font>
    <font>
      <b/>
      <sz val="9"/>
      <color indexed="10"/>
      <name val="Tahoma"/>
      <family val="2"/>
    </font>
    <font>
      <b/>
      <sz val="9"/>
      <color indexed="21"/>
      <name val="Tahoma"/>
      <family val="2"/>
    </font>
    <font>
      <b/>
      <sz val="9"/>
      <color theme="0"/>
      <name val="Verdana"/>
      <family val="2"/>
    </font>
    <font>
      <b/>
      <sz val="9"/>
      <color theme="1"/>
      <name val="Verdana"/>
      <family val="2"/>
    </font>
    <font>
      <sz val="11"/>
      <name val="@Arial Unicode MS"/>
      <family val="2"/>
    </font>
    <font>
      <u/>
      <sz val="9.9"/>
      <color theme="10"/>
      <name val="Calibri"/>
      <family val="2"/>
    </font>
    <font>
      <b/>
      <sz val="11"/>
      <color indexed="8"/>
      <name val="Calibri"/>
      <family val="2"/>
    </font>
    <font>
      <b/>
      <sz val="10"/>
      <color rgb="FFFF0000"/>
      <name val="Calibri"/>
      <family val="2"/>
      <scheme val="minor"/>
    </font>
    <font>
      <sz val="10"/>
      <color rgb="FFFF0000"/>
      <name val="Calibri"/>
      <family val="2"/>
      <scheme val="minor"/>
    </font>
    <font>
      <sz val="10"/>
      <name val="@Arial Unicode MS"/>
      <family val="2"/>
    </font>
    <font>
      <sz val="9"/>
      <color theme="0"/>
      <name val="Calibri"/>
      <family val="2"/>
    </font>
    <font>
      <b/>
      <sz val="9"/>
      <color indexed="8"/>
      <name val="Calibri"/>
      <family val="2"/>
    </font>
    <font>
      <sz val="8"/>
      <name val="@Arial Unicode MS"/>
      <family val="2"/>
    </font>
    <font>
      <sz val="9"/>
      <color theme="0"/>
      <name val="Verdana"/>
      <family val="2"/>
    </font>
    <font>
      <sz val="14"/>
      <color theme="0"/>
      <name val="Calibri"/>
      <family val="2"/>
      <scheme val="minor"/>
    </font>
    <font>
      <b/>
      <sz val="9"/>
      <color indexed="81"/>
      <name val="Tahoma"/>
      <charset val="1"/>
    </font>
    <font>
      <sz val="11"/>
      <color theme="0" tint="-0.34998626667073579"/>
      <name val="Calibri"/>
      <family val="2"/>
      <scheme val="minor"/>
    </font>
  </fonts>
  <fills count="4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70C0"/>
        <bgColor indexed="0"/>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3" tint="0.59999389629810485"/>
        <bgColor indexed="0"/>
      </patternFill>
    </fill>
    <fill>
      <patternFill patternType="solid">
        <fgColor theme="8" tint="-0.499984740745262"/>
        <bgColor indexed="64"/>
      </patternFill>
    </fill>
    <fill>
      <patternFill patternType="solid">
        <fgColor theme="4" tint="0.39997558519241921"/>
        <bgColor indexed="64"/>
      </patternFill>
    </fill>
    <fill>
      <patternFill patternType="solid">
        <fgColor indexed="22"/>
        <bgColor indexed="0"/>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4" tint="0.79998168889431442"/>
        <bgColor indexed="0"/>
      </patternFill>
    </fill>
    <fill>
      <patternFill patternType="solid">
        <fgColor theme="4" tint="0.79998168889431442"/>
        <bgColor theme="4" tint="0.79998168889431442"/>
      </patternFill>
    </fill>
    <fill>
      <patternFill patternType="solid">
        <fgColor rgb="FFFFFFCC"/>
        <bgColor indexed="64"/>
      </patternFill>
    </fill>
    <fill>
      <patternFill patternType="solid">
        <fgColor rgb="FFFFFF00"/>
        <bgColor indexed="64"/>
      </patternFill>
    </fill>
    <fill>
      <patternFill patternType="solid">
        <fgColor rgb="FFF2F2F2"/>
        <bgColor indexed="64"/>
      </patternFill>
    </fill>
    <fill>
      <patternFill patternType="solid">
        <fgColor rgb="FF00B0F0"/>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A6AFE"/>
        <bgColor indexed="64"/>
      </patternFill>
    </fill>
    <fill>
      <patternFill patternType="solid">
        <fgColor theme="5" tint="0.39997558519241921"/>
        <bgColor indexed="0"/>
      </patternFill>
    </fill>
    <fill>
      <patternFill patternType="solid">
        <fgColor theme="9" tint="0.39997558519241921"/>
        <bgColor indexed="64"/>
      </patternFill>
    </fill>
    <fill>
      <patternFill patternType="solid">
        <fgColor theme="8" tint="0.39997558519241921"/>
        <bgColor theme="4" tint="0.79998168889431442"/>
      </patternFill>
    </fill>
    <fill>
      <patternFill patternType="solid">
        <fgColor rgb="FFA8DAF6"/>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indexed="64"/>
      </left>
      <right style="hair">
        <color indexed="64"/>
      </right>
      <top style="medium">
        <color indexed="64"/>
      </top>
      <bottom style="hair">
        <color indexed="64"/>
      </bottom>
      <diagonal/>
    </border>
  </borders>
  <cellStyleXfs count="11">
    <xf numFmtId="0" fontId="0" fillId="0" borderId="0"/>
    <xf numFmtId="165"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0" fontId="7" fillId="0" borderId="0"/>
    <xf numFmtId="0" fontId="1" fillId="0" borderId="0"/>
    <xf numFmtId="0" fontId="37" fillId="0" borderId="0"/>
    <xf numFmtId="164" fontId="1" fillId="0" borderId="0" applyFont="0" applyFill="0" applyBorder="0" applyAlignment="0" applyProtection="0"/>
    <xf numFmtId="0" fontId="56" fillId="0" borderId="0" applyNumberFormat="0" applyFill="0" applyBorder="0" applyAlignment="0" applyProtection="0">
      <alignment vertical="top"/>
      <protection locked="0"/>
    </xf>
  </cellStyleXfs>
  <cellXfs count="1002">
    <xf numFmtId="0" fontId="0" fillId="0" borderId="0" xfId="0"/>
    <xf numFmtId="0" fontId="0" fillId="0" borderId="0" xfId="0" applyFont="1" applyFill="1"/>
    <xf numFmtId="0" fontId="0" fillId="2" borderId="0" xfId="0" applyFont="1" applyFill="1"/>
    <xf numFmtId="0" fontId="0" fillId="0" borderId="0" xfId="0" applyFont="1" applyFill="1" applyAlignment="1">
      <alignment horizontal="center" vertical="center"/>
    </xf>
    <xf numFmtId="0" fontId="3" fillId="0" borderId="0" xfId="0" applyFont="1" applyFill="1"/>
    <xf numFmtId="167" fontId="0" fillId="0" borderId="0" xfId="0" applyNumberFormat="1" applyFont="1" applyFill="1"/>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166" fontId="9" fillId="0" borderId="0" xfId="0" applyNumberFormat="1" applyFont="1" applyFill="1" applyBorder="1" applyAlignment="1">
      <alignment horizontal="center" vertical="center"/>
    </xf>
    <xf numFmtId="0" fontId="9" fillId="7" borderId="7" xfId="0" applyFont="1" applyFill="1" applyBorder="1" applyAlignment="1">
      <alignment horizontal="center" vertical="center" wrapText="1"/>
    </xf>
    <xf numFmtId="167" fontId="9" fillId="7" borderId="7" xfId="0" applyNumberFormat="1" applyFont="1" applyFill="1" applyBorder="1" applyAlignment="1">
      <alignment horizontal="center" vertical="center" wrapText="1"/>
    </xf>
    <xf numFmtId="166" fontId="9" fillId="2"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2" borderId="7" xfId="0" applyFont="1" applyFill="1" applyBorder="1" applyAlignment="1">
      <alignment horizontal="center" vertical="center"/>
    </xf>
    <xf numFmtId="168" fontId="12" fillId="0" borderId="7" xfId="0" applyNumberFormat="1" applyFont="1" applyFill="1" applyBorder="1" applyAlignment="1">
      <alignment horizontal="center" vertical="center"/>
    </xf>
    <xf numFmtId="168" fontId="9" fillId="7" borderId="7"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9" borderId="7" xfId="0" applyFont="1" applyFill="1" applyBorder="1" applyAlignment="1">
      <alignment horizontal="center" vertical="center"/>
    </xf>
    <xf numFmtId="9" fontId="11" fillId="9" borderId="7" xfId="2" applyFont="1" applyFill="1" applyBorder="1" applyAlignment="1">
      <alignment horizontal="center" vertical="center"/>
    </xf>
    <xf numFmtId="9" fontId="10" fillId="0" borderId="0" xfId="2" applyFont="1" applyFill="1" applyAlignment="1">
      <alignment horizontal="center" vertical="center"/>
    </xf>
    <xf numFmtId="2" fontId="11" fillId="9" borderId="7" xfId="0" applyNumberFormat="1"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Fill="1" applyAlignment="1">
      <alignment vertical="center"/>
    </xf>
    <xf numFmtId="1" fontId="9" fillId="7" borderId="7" xfId="0" applyNumberFormat="1" applyFont="1" applyFill="1" applyBorder="1" applyAlignment="1">
      <alignment horizontal="center" vertical="center" wrapText="1"/>
    </xf>
    <xf numFmtId="9" fontId="9" fillId="7" borderId="7" xfId="2" applyFont="1" applyFill="1" applyBorder="1" applyAlignment="1">
      <alignment horizontal="center" vertical="center" wrapText="1"/>
    </xf>
    <xf numFmtId="0" fontId="10" fillId="2" borderId="0" xfId="0" applyFont="1" applyFill="1" applyAlignment="1">
      <alignment vertical="center"/>
    </xf>
    <xf numFmtId="0" fontId="13" fillId="2" borderId="0" xfId="0" applyFont="1" applyFill="1" applyBorder="1" applyAlignment="1">
      <alignment horizontal="center" vertical="center" textRotation="90"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center" vertical="center"/>
    </xf>
    <xf numFmtId="168" fontId="10" fillId="2" borderId="0" xfId="0" applyNumberFormat="1" applyFont="1" applyFill="1" applyBorder="1" applyAlignment="1">
      <alignment horizontal="center" vertical="center"/>
    </xf>
    <xf numFmtId="10" fontId="10" fillId="2" borderId="0" xfId="2" applyNumberFormat="1" applyFont="1" applyFill="1" applyBorder="1" applyAlignment="1">
      <alignment horizontal="center" vertical="center"/>
    </xf>
    <xf numFmtId="0" fontId="0" fillId="2" borderId="0" xfId="0" applyFill="1" applyBorder="1" applyAlignment="1">
      <alignment horizontal="center" vertical="center"/>
    </xf>
    <xf numFmtId="168" fontId="0" fillId="2" borderId="0" xfId="0" applyNumberFormat="1" applyFill="1" applyBorder="1" applyAlignment="1">
      <alignment horizontal="center" vertical="center"/>
    </xf>
    <xf numFmtId="10" fontId="0" fillId="2" borderId="0" xfId="2" applyNumberFormat="1" applyFont="1" applyFill="1" applyBorder="1" applyAlignment="1">
      <alignment horizontal="center" vertical="center"/>
    </xf>
    <xf numFmtId="0" fontId="14" fillId="2" borderId="0" xfId="0" applyFont="1" applyFill="1" applyBorder="1" applyAlignment="1">
      <alignment horizontal="center" vertical="center" textRotation="90" wrapText="1"/>
    </xf>
    <xf numFmtId="0" fontId="0" fillId="2" borderId="9" xfId="0" applyFill="1" applyBorder="1" applyAlignment="1">
      <alignment horizontal="left" vertical="center" wrapText="1"/>
    </xf>
    <xf numFmtId="0" fontId="0" fillId="2" borderId="0" xfId="0" applyFill="1" applyBorder="1" applyAlignment="1">
      <alignment horizontal="center" vertical="center" wrapText="1"/>
    </xf>
    <xf numFmtId="0" fontId="9" fillId="9"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0" fillId="2" borderId="0" xfId="0" applyFill="1"/>
    <xf numFmtId="1" fontId="9" fillId="7" borderId="17" xfId="0" applyNumberFormat="1" applyFont="1" applyFill="1" applyBorder="1" applyAlignment="1">
      <alignment horizontal="center" vertical="center" wrapText="1"/>
    </xf>
    <xf numFmtId="0" fontId="9" fillId="7" borderId="17" xfId="0" applyFont="1" applyFill="1" applyBorder="1" applyAlignment="1">
      <alignment horizontal="center" vertical="center" wrapText="1"/>
    </xf>
    <xf numFmtId="9" fontId="9" fillId="7" borderId="17" xfId="2" applyFont="1" applyFill="1" applyBorder="1" applyAlignment="1">
      <alignment horizontal="center" vertical="center" wrapText="1"/>
    </xf>
    <xf numFmtId="0" fontId="0" fillId="12" borderId="0" xfId="0" applyFill="1"/>
    <xf numFmtId="0" fontId="0" fillId="0" borderId="0" xfId="0" applyFont="1" applyFill="1" applyAlignment="1">
      <alignment vertical="center"/>
    </xf>
    <xf numFmtId="168" fontId="0" fillId="0" borderId="0" xfId="0" applyNumberFormat="1" applyFont="1" applyFill="1" applyAlignment="1">
      <alignment horizontal="center" vertical="center"/>
    </xf>
    <xf numFmtId="14" fontId="0" fillId="0" borderId="0" xfId="0" applyNumberFormat="1" applyFont="1" applyFill="1" applyAlignment="1">
      <alignment vertical="center"/>
    </xf>
    <xf numFmtId="0" fontId="19"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xf numFmtId="166" fontId="8" fillId="0" borderId="0" xfId="0" applyNumberFormat="1" applyFont="1" applyFill="1" applyBorder="1" applyAlignment="1">
      <alignment horizontal="center" vertical="center"/>
    </xf>
    <xf numFmtId="168" fontId="23" fillId="7" borderId="22"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xf numFmtId="0" fontId="0" fillId="2" borderId="24" xfId="0" applyFont="1" applyFill="1" applyBorder="1" applyAlignment="1">
      <alignment horizontal="center" vertical="center"/>
    </xf>
    <xf numFmtId="0" fontId="0" fillId="17" borderId="24"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7" borderId="31" xfId="0" applyFont="1" applyFill="1" applyBorder="1" applyAlignment="1">
      <alignment horizontal="center" vertical="center" wrapText="1"/>
    </xf>
    <xf numFmtId="168" fontId="23" fillId="7" borderId="16" xfId="0" applyNumberFormat="1" applyFont="1" applyFill="1" applyBorder="1" applyAlignment="1">
      <alignment horizontal="center" vertical="center" wrapText="1"/>
    </xf>
    <xf numFmtId="0" fontId="3" fillId="0" borderId="0" xfId="0" applyFont="1" applyFill="1" applyAlignment="1">
      <alignment vertical="center"/>
    </xf>
    <xf numFmtId="0" fontId="22" fillId="8" borderId="24" xfId="0" applyFont="1" applyFill="1" applyBorder="1" applyAlignment="1">
      <alignment horizontal="center"/>
    </xf>
    <xf numFmtId="172" fontId="19" fillId="0" borderId="33" xfId="0" applyNumberFormat="1" applyFont="1" applyFill="1" applyBorder="1" applyAlignment="1" applyProtection="1">
      <alignment horizontal="right" vertical="center"/>
    </xf>
    <xf numFmtId="172" fontId="19" fillId="0" borderId="27" xfId="0" applyNumberFormat="1" applyFont="1" applyFill="1" applyBorder="1" applyAlignment="1" applyProtection="1">
      <alignment horizontal="right" vertical="center"/>
    </xf>
    <xf numFmtId="0" fontId="22" fillId="8" borderId="29" xfId="0" applyFont="1" applyFill="1" applyBorder="1" applyAlignment="1">
      <alignment horizontal="center"/>
    </xf>
    <xf numFmtId="172" fontId="19" fillId="0" borderId="30" xfId="0" applyNumberFormat="1" applyFont="1" applyFill="1" applyBorder="1" applyAlignment="1" applyProtection="1">
      <alignment horizontal="right" vertical="center"/>
    </xf>
    <xf numFmtId="0" fontId="3" fillId="0" borderId="0" xfId="0" applyFont="1" applyFill="1" applyBorder="1" applyAlignment="1">
      <alignment horizontal="center" vertical="center" wrapText="1"/>
    </xf>
    <xf numFmtId="172" fontId="19" fillId="0" borderId="37" xfId="0" applyNumberFormat="1" applyFont="1" applyFill="1" applyBorder="1" applyAlignment="1" applyProtection="1">
      <alignment horizontal="center" vertical="center"/>
    </xf>
    <xf numFmtId="0" fontId="0" fillId="18" borderId="37" xfId="0" applyFont="1" applyFill="1" applyBorder="1" applyAlignment="1">
      <alignment horizontal="center" vertical="center"/>
    </xf>
    <xf numFmtId="172" fontId="3" fillId="0" borderId="38" xfId="0" applyNumberFormat="1" applyFont="1" applyFill="1" applyBorder="1" applyAlignment="1">
      <alignment horizontal="center" vertical="center"/>
    </xf>
    <xf numFmtId="168" fontId="3" fillId="0" borderId="38"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0" fillId="0" borderId="0" xfId="0" applyFill="1" applyAlignment="1">
      <alignment vertical="center"/>
    </xf>
    <xf numFmtId="172" fontId="19" fillId="0" borderId="24" xfId="0" applyNumberFormat="1" applyFont="1" applyFill="1" applyBorder="1" applyAlignment="1">
      <alignment horizontal="center" vertical="center"/>
    </xf>
    <xf numFmtId="10" fontId="19" fillId="5" borderId="24" xfId="2" applyNumberFormat="1" applyFont="1" applyFill="1" applyBorder="1" applyAlignment="1">
      <alignment horizontal="center" vertical="center"/>
    </xf>
    <xf numFmtId="0" fontId="19" fillId="5" borderId="49" xfId="0" applyFont="1" applyFill="1" applyBorder="1" applyAlignment="1">
      <alignment horizontal="center" vertical="center"/>
    </xf>
    <xf numFmtId="172" fontId="19" fillId="0" borderId="49" xfId="0" applyNumberFormat="1" applyFont="1" applyFill="1" applyBorder="1" applyAlignment="1">
      <alignment horizontal="center" vertical="center"/>
    </xf>
    <xf numFmtId="168" fontId="2" fillId="2" borderId="24" xfId="0" applyNumberFormat="1" applyFont="1" applyFill="1" applyBorder="1" applyAlignment="1">
      <alignment horizontal="center" vertical="center"/>
    </xf>
    <xf numFmtId="10" fontId="19" fillId="5" borderId="26" xfId="2" applyNumberFormat="1" applyFont="1" applyFill="1" applyBorder="1" applyAlignment="1">
      <alignment horizontal="center" vertical="center"/>
    </xf>
    <xf numFmtId="0" fontId="19" fillId="5" borderId="10" xfId="0" applyFont="1" applyFill="1" applyBorder="1" applyAlignment="1">
      <alignment horizontal="center" vertical="center"/>
    </xf>
    <xf numFmtId="172" fontId="19" fillId="0" borderId="10" xfId="0" applyNumberFormat="1" applyFont="1" applyFill="1" applyBorder="1" applyAlignment="1">
      <alignment horizontal="center" vertical="center"/>
    </xf>
    <xf numFmtId="10" fontId="19" fillId="5" borderId="18" xfId="2" applyNumberFormat="1" applyFont="1" applyFill="1" applyBorder="1" applyAlignment="1">
      <alignment horizontal="center" vertical="center"/>
    </xf>
    <xf numFmtId="10" fontId="19" fillId="5" borderId="58" xfId="2" applyNumberFormat="1" applyFont="1" applyFill="1" applyBorder="1" applyAlignment="1">
      <alignment horizontal="center" vertical="center"/>
    </xf>
    <xf numFmtId="0" fontId="0" fillId="2" borderId="0" xfId="0" applyFont="1" applyFill="1" applyAlignment="1">
      <alignment vertical="center"/>
    </xf>
    <xf numFmtId="172" fontId="19" fillId="5" borderId="10" xfId="0" applyNumberFormat="1" applyFont="1" applyFill="1" applyBorder="1" applyAlignment="1">
      <alignment horizontal="center" vertical="center"/>
    </xf>
    <xf numFmtId="172" fontId="19" fillId="5" borderId="24" xfId="0" applyNumberFormat="1" applyFont="1" applyFill="1" applyBorder="1" applyAlignment="1">
      <alignment horizontal="center" vertical="center"/>
    </xf>
    <xf numFmtId="172" fontId="19" fillId="5" borderId="24" xfId="0" applyNumberFormat="1" applyFont="1" applyFill="1" applyBorder="1" applyAlignment="1">
      <alignment horizontal="center" vertical="center" wrapText="1"/>
    </xf>
    <xf numFmtId="10" fontId="19" fillId="5" borderId="10" xfId="2" applyNumberFormat="1" applyFont="1" applyFill="1" applyBorder="1" applyAlignment="1">
      <alignment horizontal="center" vertical="center"/>
    </xf>
    <xf numFmtId="168" fontId="26" fillId="12" borderId="8" xfId="6" applyNumberFormat="1" applyFont="1" applyFill="1" applyBorder="1" applyAlignment="1">
      <alignment horizontal="center"/>
    </xf>
    <xf numFmtId="172" fontId="19" fillId="12" borderId="10" xfId="0" applyNumberFormat="1" applyFont="1" applyFill="1" applyBorder="1" applyAlignment="1">
      <alignment horizontal="center" vertical="center"/>
    </xf>
    <xf numFmtId="0" fontId="23" fillId="9" borderId="22"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7" fillId="0" borderId="0" xfId="0" applyFont="1" applyFill="1" applyBorder="1"/>
    <xf numFmtId="0" fontId="27" fillId="2" borderId="0" xfId="0" applyFont="1" applyFill="1"/>
    <xf numFmtId="0" fontId="27" fillId="0" borderId="0" xfId="0" applyFont="1" applyFill="1"/>
    <xf numFmtId="0" fontId="27" fillId="2" borderId="0" xfId="0" quotePrefix="1" applyFont="1" applyFill="1"/>
    <xf numFmtId="165" fontId="27" fillId="2" borderId="0" xfId="0" applyNumberFormat="1" applyFont="1" applyFill="1"/>
    <xf numFmtId="1" fontId="27" fillId="2" borderId="0" xfId="0" applyNumberFormat="1" applyFont="1" applyFill="1"/>
    <xf numFmtId="168" fontId="0" fillId="0" borderId="24" xfId="0" applyNumberFormat="1" applyFont="1" applyFill="1" applyBorder="1" applyAlignment="1">
      <alignment horizontal="center" vertical="center"/>
    </xf>
    <xf numFmtId="0" fontId="4" fillId="0" borderId="0" xfId="0" applyFont="1" applyFill="1" applyBorder="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19" fillId="0" borderId="24" xfId="0" applyFont="1" applyFill="1" applyBorder="1" applyAlignment="1">
      <alignment vertical="center"/>
    </xf>
    <xf numFmtId="168" fontId="23" fillId="7" borderId="46" xfId="0" applyNumberFormat="1" applyFont="1" applyFill="1" applyBorder="1" applyAlignment="1">
      <alignment horizontal="center" vertical="center" wrapText="1"/>
    </xf>
    <xf numFmtId="0" fontId="19" fillId="18" borderId="0" xfId="0" applyFont="1" applyFill="1" applyAlignment="1">
      <alignment vertical="center"/>
    </xf>
    <xf numFmtId="166" fontId="29" fillId="0" borderId="0" xfId="0" applyNumberFormat="1" applyFont="1" applyFill="1" applyBorder="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16" fillId="11" borderId="21" xfId="5" applyFont="1" applyFill="1" applyBorder="1" applyAlignment="1">
      <alignment horizontal="right" wrapText="1"/>
    </xf>
    <xf numFmtId="0" fontId="16" fillId="21" borderId="37" xfId="5" applyFont="1" applyFill="1" applyBorder="1" applyAlignment="1">
      <alignment horizontal="right"/>
    </xf>
    <xf numFmtId="0" fontId="16" fillId="11" borderId="37" xfId="5" applyFont="1" applyFill="1" applyBorder="1" applyAlignment="1">
      <alignment horizontal="right" wrapText="1"/>
    </xf>
    <xf numFmtId="0" fontId="9" fillId="7" borderId="24" xfId="0" applyFont="1" applyFill="1" applyBorder="1" applyAlignment="1">
      <alignment horizontal="center" vertical="center" wrapText="1"/>
    </xf>
    <xf numFmtId="168" fontId="23" fillId="7" borderId="24" xfId="0" applyNumberFormat="1" applyFont="1" applyFill="1" applyBorder="1" applyAlignment="1">
      <alignment horizontal="center" vertical="center" wrapText="1"/>
    </xf>
    <xf numFmtId="0" fontId="23" fillId="7" borderId="24" xfId="0" applyFont="1" applyFill="1" applyBorder="1" applyAlignment="1">
      <alignment horizontal="center" vertical="center" wrapText="1"/>
    </xf>
    <xf numFmtId="0" fontId="19" fillId="20" borderId="0" xfId="0" applyFont="1" applyFill="1" applyAlignment="1">
      <alignment vertical="center"/>
    </xf>
    <xf numFmtId="177" fontId="16" fillId="11" borderId="37" xfId="1" applyNumberFormat="1" applyFont="1" applyFill="1" applyBorder="1" applyAlignment="1">
      <alignment horizontal="center" wrapText="1"/>
    </xf>
    <xf numFmtId="10" fontId="26" fillId="12" borderId="8" xfId="2" applyNumberFormat="1" applyFont="1" applyFill="1" applyBorder="1" applyAlignment="1">
      <alignment horizontal="center"/>
    </xf>
    <xf numFmtId="10" fontId="19" fillId="12" borderId="10" xfId="2" applyNumberFormat="1" applyFont="1" applyFill="1" applyBorder="1" applyAlignment="1">
      <alignment horizontal="center" vertical="center"/>
    </xf>
    <xf numFmtId="168" fontId="9" fillId="14" borderId="24" xfId="0" applyNumberFormat="1" applyFont="1" applyFill="1" applyBorder="1" applyAlignment="1">
      <alignment horizontal="center" vertical="center" wrapText="1"/>
    </xf>
    <xf numFmtId="0" fontId="9" fillId="9" borderId="24" xfId="0" applyFont="1" applyFill="1" applyBorder="1" applyAlignment="1">
      <alignment horizontal="center" vertical="center" wrapText="1"/>
    </xf>
    <xf numFmtId="168" fontId="9" fillId="9" borderId="24" xfId="0" applyNumberFormat="1" applyFont="1" applyFill="1" applyBorder="1" applyAlignment="1">
      <alignment horizontal="center" vertical="center" wrapText="1"/>
    </xf>
    <xf numFmtId="0" fontId="9" fillId="9" borderId="50"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49" xfId="0" applyFont="1" applyFill="1" applyBorder="1" applyAlignment="1">
      <alignment horizontal="center" vertical="center" wrapText="1"/>
    </xf>
    <xf numFmtId="172" fontId="19" fillId="12" borderId="9" xfId="0" applyNumberFormat="1" applyFont="1" applyFill="1" applyBorder="1" applyAlignment="1">
      <alignment horizontal="center" vertical="center"/>
    </xf>
    <xf numFmtId="10" fontId="19" fillId="12" borderId="9" xfId="2" applyNumberFormat="1" applyFont="1" applyFill="1" applyBorder="1" applyAlignment="1">
      <alignment horizontal="center" vertical="center"/>
    </xf>
    <xf numFmtId="175" fontId="26" fillId="2" borderId="24" xfId="2" applyNumberFormat="1" applyFont="1" applyFill="1" applyBorder="1" applyAlignment="1">
      <alignment horizontal="center"/>
    </xf>
    <xf numFmtId="0" fontId="16" fillId="11" borderId="48" xfId="5" applyFont="1" applyFill="1" applyBorder="1" applyAlignment="1">
      <alignment horizontal="right" wrapText="1"/>
    </xf>
    <xf numFmtId="0" fontId="16" fillId="21" borderId="49" xfId="5" applyFont="1" applyFill="1" applyBorder="1" applyAlignment="1">
      <alignment horizontal="right"/>
    </xf>
    <xf numFmtId="0" fontId="16" fillId="11" borderId="49" xfId="5" applyFont="1" applyFill="1" applyBorder="1" applyAlignment="1">
      <alignment horizontal="right" wrapText="1"/>
    </xf>
    <xf numFmtId="177" fontId="16" fillId="11" borderId="49" xfId="1" applyNumberFormat="1" applyFont="1" applyFill="1" applyBorder="1" applyAlignment="1">
      <alignment horizontal="center" wrapText="1"/>
    </xf>
    <xf numFmtId="168" fontId="0" fillId="17" borderId="49" xfId="0" applyNumberFormat="1" applyFont="1" applyFill="1" applyBorder="1" applyAlignment="1">
      <alignment horizontal="center" vertical="center"/>
    </xf>
    <xf numFmtId="172" fontId="19" fillId="0" borderId="49" xfId="0" applyNumberFormat="1" applyFont="1" applyFill="1" applyBorder="1" applyAlignment="1" applyProtection="1">
      <alignment horizontal="center" vertical="center"/>
    </xf>
    <xf numFmtId="0" fontId="0" fillId="18" borderId="49" xfId="0" applyFont="1" applyFill="1" applyBorder="1" applyAlignment="1">
      <alignment horizontal="center" vertical="center"/>
    </xf>
    <xf numFmtId="168" fontId="9" fillId="9" borderId="37" xfId="0" applyNumberFormat="1" applyFont="1" applyFill="1" applyBorder="1" applyAlignment="1">
      <alignment horizontal="center" vertical="center" wrapText="1"/>
    </xf>
    <xf numFmtId="1" fontId="9" fillId="9" borderId="37" xfId="0" applyNumberFormat="1" applyFont="1" applyFill="1" applyBorder="1" applyAlignment="1">
      <alignment horizontal="center" vertical="center" wrapText="1"/>
    </xf>
    <xf numFmtId="175" fontId="9" fillId="9" borderId="37" xfId="2" applyNumberFormat="1" applyFont="1" applyFill="1" applyBorder="1" applyAlignment="1">
      <alignment horizontal="center" vertical="center" wrapText="1"/>
    </xf>
    <xf numFmtId="168" fontId="9" fillId="9" borderId="29" xfId="0" applyNumberFormat="1" applyFont="1" applyFill="1" applyBorder="1" applyAlignment="1">
      <alignment horizontal="center" vertical="center" wrapText="1"/>
    </xf>
    <xf numFmtId="1" fontId="9" fillId="9" borderId="29" xfId="0" applyNumberFormat="1" applyFont="1" applyFill="1" applyBorder="1" applyAlignment="1">
      <alignment horizontal="center" vertical="center" wrapText="1"/>
    </xf>
    <xf numFmtId="175" fontId="9" fillId="9" borderId="29" xfId="2" applyNumberFormat="1" applyFont="1" applyFill="1" applyBorder="1" applyAlignment="1">
      <alignment horizontal="center" vertical="center" wrapText="1"/>
    </xf>
    <xf numFmtId="172" fontId="19" fillId="0" borderId="25" xfId="0" applyNumberFormat="1" applyFont="1" applyFill="1" applyBorder="1" applyAlignment="1" applyProtection="1">
      <alignment horizontal="center" vertical="center"/>
    </xf>
    <xf numFmtId="172" fontId="19" fillId="0" borderId="58" xfId="0" applyNumberFormat="1" applyFont="1" applyFill="1" applyBorder="1" applyAlignment="1" applyProtection="1">
      <alignment horizontal="center" vertical="center"/>
    </xf>
    <xf numFmtId="10" fontId="0" fillId="2" borderId="47" xfId="2" applyNumberFormat="1" applyFont="1" applyFill="1" applyBorder="1" applyAlignment="1">
      <alignment horizontal="center" vertical="center"/>
    </xf>
    <xf numFmtId="10" fontId="0" fillId="2" borderId="45" xfId="2" applyNumberFormat="1" applyFont="1" applyFill="1" applyBorder="1" applyAlignment="1">
      <alignment horizontal="center" vertical="center"/>
    </xf>
    <xf numFmtId="0" fontId="9" fillId="14" borderId="35" xfId="0" applyFont="1" applyFill="1" applyBorder="1" applyAlignment="1">
      <alignment horizontal="center" vertical="center" wrapText="1"/>
    </xf>
    <xf numFmtId="0" fontId="9" fillId="14" borderId="22" xfId="0" applyFont="1" applyFill="1" applyBorder="1" applyAlignment="1">
      <alignment horizontal="center" vertical="center" wrapText="1"/>
    </xf>
    <xf numFmtId="9" fontId="9" fillId="14" borderId="24" xfId="2" applyFont="1" applyFill="1" applyBorder="1" applyAlignment="1">
      <alignment horizontal="center" vertical="center" wrapText="1"/>
    </xf>
    <xf numFmtId="0" fontId="3" fillId="0" borderId="0" xfId="0" applyFont="1" applyFill="1" applyAlignment="1">
      <alignment horizontal="center" vertical="center"/>
    </xf>
    <xf numFmtId="0" fontId="11" fillId="14" borderId="21" xfId="0" applyFont="1" applyFill="1" applyBorder="1" applyAlignment="1">
      <alignment horizontal="center" vertical="center" wrapText="1"/>
    </xf>
    <xf numFmtId="0" fontId="11" fillId="14" borderId="37" xfId="0" applyFont="1" applyFill="1" applyBorder="1" applyAlignment="1">
      <alignment horizontal="center" vertical="center" wrapText="1"/>
    </xf>
    <xf numFmtId="0" fontId="18" fillId="13" borderId="21" xfId="4" applyFont="1" applyFill="1" applyBorder="1" applyAlignment="1">
      <alignment horizontal="center" vertical="center"/>
    </xf>
    <xf numFmtId="0" fontId="18" fillId="13" borderId="37" xfId="4"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19" fillId="4" borderId="23" xfId="0" applyFont="1" applyFill="1" applyBorder="1" applyAlignment="1">
      <alignment horizontal="center"/>
    </xf>
    <xf numFmtId="0" fontId="19" fillId="4" borderId="24" xfId="0" applyFont="1" applyFill="1" applyBorder="1" applyAlignment="1">
      <alignment horizontal="center"/>
    </xf>
    <xf numFmtId="0" fontId="31" fillId="4" borderId="24" xfId="4" applyFont="1" applyFill="1" applyBorder="1" applyAlignment="1">
      <alignment horizontal="right" wrapText="1"/>
    </xf>
    <xf numFmtId="173" fontId="0" fillId="4" borderId="24" xfId="0" applyNumberFormat="1" applyFont="1" applyFill="1" applyBorder="1" applyAlignment="1">
      <alignment horizontal="center" vertical="center"/>
    </xf>
    <xf numFmtId="9" fontId="4" fillId="9" borderId="32" xfId="2" applyFont="1" applyFill="1" applyBorder="1" applyAlignment="1">
      <alignment horizontal="center" vertical="center"/>
    </xf>
    <xf numFmtId="0" fontId="4" fillId="9" borderId="24" xfId="0" applyFont="1" applyFill="1" applyBorder="1" applyAlignment="1">
      <alignment horizontal="center"/>
    </xf>
    <xf numFmtId="0" fontId="4" fillId="9" borderId="24" xfId="0" applyFont="1" applyFill="1" applyBorder="1" applyAlignment="1">
      <alignment horizontal="center" vertical="center"/>
    </xf>
    <xf numFmtId="9" fontId="4" fillId="9" borderId="24" xfId="2" applyFont="1" applyFill="1" applyBorder="1" applyAlignment="1">
      <alignment horizontal="center" vertical="center"/>
    </xf>
    <xf numFmtId="0" fontId="4" fillId="9" borderId="29" xfId="0" applyFont="1" applyFill="1" applyBorder="1" applyAlignment="1">
      <alignment horizontal="center"/>
    </xf>
    <xf numFmtId="0" fontId="4" fillId="9" borderId="29" xfId="0" applyFont="1" applyFill="1" applyBorder="1" applyAlignment="1">
      <alignment horizontal="center" vertical="center"/>
    </xf>
    <xf numFmtId="9" fontId="4" fillId="9" borderId="29" xfId="2" applyFont="1" applyFill="1" applyBorder="1" applyAlignment="1">
      <alignment horizontal="center" vertical="center"/>
    </xf>
    <xf numFmtId="9" fontId="4" fillId="9" borderId="34" xfId="2" applyFont="1" applyFill="1" applyBorder="1" applyAlignment="1">
      <alignment horizontal="center" vertical="center"/>
    </xf>
    <xf numFmtId="0" fontId="3"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5" fillId="5" borderId="24" xfId="0" applyFont="1" applyFill="1" applyBorder="1" applyAlignment="1">
      <alignment horizontal="left" vertical="center" wrapText="1"/>
    </xf>
    <xf numFmtId="167" fontId="5" fillId="2" borderId="24" xfId="0" applyNumberFormat="1" applyFont="1" applyFill="1" applyBorder="1" applyAlignment="1">
      <alignment horizontal="center" vertical="center"/>
    </xf>
    <xf numFmtId="2" fontId="5" fillId="2" borderId="24" xfId="0" applyNumberFormat="1" applyFont="1" applyFill="1" applyBorder="1" applyAlignment="1">
      <alignment horizontal="center" vertical="center"/>
    </xf>
    <xf numFmtId="10" fontId="5" fillId="2" borderId="32" xfId="2" applyNumberFormat="1" applyFont="1" applyFill="1" applyBorder="1" applyAlignment="1">
      <alignment horizontal="center" vertical="center"/>
    </xf>
    <xf numFmtId="0" fontId="5" fillId="11" borderId="24" xfId="0" applyFont="1" applyFill="1" applyBorder="1" applyAlignment="1">
      <alignment horizontal="left" vertical="center" wrapText="1"/>
    </xf>
    <xf numFmtId="167" fontId="5" fillId="11" borderId="24" xfId="0" applyNumberFormat="1" applyFont="1" applyFill="1" applyBorder="1" applyAlignment="1">
      <alignment horizontal="center" vertical="center" wrapText="1"/>
    </xf>
    <xf numFmtId="2" fontId="5" fillId="11" borderId="24" xfId="0" applyNumberFormat="1" applyFont="1" applyFill="1" applyBorder="1" applyAlignment="1">
      <alignment horizontal="center" vertical="center"/>
    </xf>
    <xf numFmtId="10" fontId="5" fillId="11" borderId="32" xfId="2" applyNumberFormat="1" applyFont="1" applyFill="1" applyBorder="1" applyAlignment="1">
      <alignment horizontal="center" vertical="center"/>
    </xf>
    <xf numFmtId="9" fontId="5" fillId="11" borderId="32" xfId="2" applyFont="1" applyFill="1" applyBorder="1" applyAlignment="1">
      <alignment horizontal="center" vertical="center" wrapText="1"/>
    </xf>
    <xf numFmtId="167" fontId="5" fillId="4" borderId="24" xfId="0" applyNumberFormat="1" applyFont="1" applyFill="1" applyBorder="1" applyAlignment="1">
      <alignment horizontal="center" vertical="center" wrapText="1"/>
    </xf>
    <xf numFmtId="167" fontId="5" fillId="4" borderId="32" xfId="0" applyNumberFormat="1" applyFont="1" applyFill="1" applyBorder="1" applyAlignment="1">
      <alignment horizontal="center" vertical="center" wrapText="1"/>
    </xf>
    <xf numFmtId="167" fontId="24" fillId="3" borderId="29" xfId="0" applyNumberFormat="1" applyFont="1" applyFill="1" applyBorder="1" applyAlignment="1">
      <alignment horizontal="center" vertical="center" wrapText="1"/>
    </xf>
    <xf numFmtId="0" fontId="24" fillId="3" borderId="29" xfId="0" applyFont="1" applyFill="1" applyBorder="1" applyAlignment="1">
      <alignment horizontal="center" vertical="center" wrapText="1"/>
    </xf>
    <xf numFmtId="168" fontId="24" fillId="3" borderId="29" xfId="0" applyNumberFormat="1" applyFont="1" applyFill="1" applyBorder="1" applyAlignment="1">
      <alignment horizontal="center" vertical="center" wrapText="1"/>
    </xf>
    <xf numFmtId="9" fontId="24" fillId="3" borderId="34" xfId="2" applyFont="1" applyFill="1" applyBorder="1" applyAlignment="1">
      <alignment horizontal="center" vertical="center" wrapText="1"/>
    </xf>
    <xf numFmtId="0" fontId="10" fillId="0" borderId="0" xfId="0" applyFont="1"/>
    <xf numFmtId="0" fontId="12" fillId="0" borderId="0" xfId="0" applyFont="1" applyFill="1" applyAlignment="1">
      <alignment vertical="center"/>
    </xf>
    <xf numFmtId="0" fontId="10" fillId="0" borderId="0" xfId="0" applyFont="1" applyFill="1" applyBorder="1" applyAlignment="1">
      <alignment horizontal="center" vertical="center"/>
    </xf>
    <xf numFmtId="9" fontId="13" fillId="0" borderId="0" xfId="2" applyFont="1" applyFill="1" applyBorder="1" applyAlignment="1">
      <alignment horizontal="center" vertical="center"/>
    </xf>
    <xf numFmtId="168" fontId="19" fillId="0" borderId="24" xfId="0" applyNumberFormat="1" applyFont="1" applyFill="1" applyBorder="1" applyAlignment="1">
      <alignment horizontal="center" vertical="center"/>
    </xf>
    <xf numFmtId="168" fontId="2" fillId="12" borderId="8" xfId="6" applyNumberFormat="1" applyFont="1" applyFill="1" applyBorder="1" applyAlignment="1">
      <alignment horizontal="center"/>
    </xf>
    <xf numFmtId="0" fontId="19" fillId="2" borderId="0" xfId="0" applyFont="1" applyFill="1" applyAlignment="1">
      <alignment vertical="center"/>
    </xf>
    <xf numFmtId="0" fontId="19" fillId="0" borderId="0" xfId="0" applyFont="1"/>
    <xf numFmtId="0" fontId="19" fillId="5" borderId="20" xfId="0" applyFont="1" applyFill="1" applyBorder="1" applyAlignment="1">
      <alignment horizontal="center" vertical="center"/>
    </xf>
    <xf numFmtId="0" fontId="19" fillId="5" borderId="50" xfId="0" applyFont="1" applyFill="1" applyBorder="1" applyAlignment="1">
      <alignment horizontal="center" vertical="center"/>
    </xf>
    <xf numFmtId="0" fontId="19" fillId="5" borderId="53" xfId="0" applyFont="1" applyFill="1" applyBorder="1" applyAlignment="1">
      <alignment horizontal="center" vertical="center"/>
    </xf>
    <xf numFmtId="0" fontId="22" fillId="19" borderId="24" xfId="0" applyFont="1" applyFill="1" applyBorder="1" applyAlignment="1">
      <alignment horizontal="center" vertical="center" wrapText="1"/>
    </xf>
    <xf numFmtId="167" fontId="22" fillId="19" borderId="24" xfId="0" applyNumberFormat="1" applyFont="1" applyFill="1" applyBorder="1" applyAlignment="1">
      <alignment horizontal="center" vertical="center" wrapText="1"/>
    </xf>
    <xf numFmtId="168" fontId="22" fillId="19" borderId="24" xfId="0" applyNumberFormat="1" applyFont="1" applyFill="1" applyBorder="1" applyAlignment="1">
      <alignment horizontal="center" vertical="center" wrapText="1"/>
    </xf>
    <xf numFmtId="0" fontId="19" fillId="2" borderId="24" xfId="0" applyFont="1" applyFill="1" applyBorder="1" applyAlignment="1">
      <alignment horizontal="center" vertical="center"/>
    </xf>
    <xf numFmtId="168" fontId="0" fillId="12" borderId="24" xfId="0" applyNumberFormat="1" applyFont="1" applyFill="1" applyBorder="1" applyAlignment="1">
      <alignment horizontal="center" vertical="center"/>
    </xf>
    <xf numFmtId="168" fontId="0" fillId="12" borderId="24" xfId="0" applyNumberFormat="1" applyFont="1" applyFill="1" applyBorder="1" applyAlignment="1">
      <alignment vertical="center"/>
    </xf>
    <xf numFmtId="172" fontId="19" fillId="12" borderId="24" xfId="0" applyNumberFormat="1" applyFont="1" applyFill="1" applyBorder="1" applyAlignment="1">
      <alignment horizontal="center" vertical="center"/>
    </xf>
    <xf numFmtId="175" fontId="22" fillId="19" borderId="24" xfId="2" applyNumberFormat="1" applyFont="1" applyFill="1" applyBorder="1" applyAlignment="1">
      <alignment horizontal="center" vertical="center" wrapText="1"/>
    </xf>
    <xf numFmtId="0" fontId="33" fillId="0" borderId="0" xfId="0" applyFont="1"/>
    <xf numFmtId="0" fontId="35" fillId="0" borderId="0" xfId="0" applyFont="1" applyFill="1" applyAlignment="1">
      <alignment vertical="center"/>
    </xf>
    <xf numFmtId="0" fontId="2" fillId="0" borderId="0" xfId="0" applyFont="1" applyFill="1" applyAlignment="1">
      <alignment vertical="center"/>
    </xf>
    <xf numFmtId="0" fontId="9" fillId="22" borderId="24" xfId="0" applyFont="1" applyFill="1" applyBorder="1" applyAlignment="1">
      <alignment horizontal="center" vertical="center" wrapText="1"/>
    </xf>
    <xf numFmtId="168" fontId="0" fillId="0" borderId="0" xfId="0" applyNumberFormat="1" applyFont="1" applyFill="1" applyAlignment="1">
      <alignment vertical="center"/>
    </xf>
    <xf numFmtId="167" fontId="6" fillId="2" borderId="24" xfId="0" applyNumberFormat="1" applyFont="1" applyFill="1" applyBorder="1" applyAlignment="1">
      <alignment horizontal="center" vertical="center"/>
    </xf>
    <xf numFmtId="167" fontId="6" fillId="4" borderId="24" xfId="0" applyNumberFormat="1" applyFont="1" applyFill="1" applyBorder="1" applyAlignment="1">
      <alignment horizontal="center" vertical="center" wrapText="1"/>
    </xf>
    <xf numFmtId="2" fontId="6" fillId="2" borderId="24" xfId="0" applyNumberFormat="1" applyFont="1" applyFill="1" applyBorder="1" applyAlignment="1">
      <alignment horizontal="center" vertical="center"/>
    </xf>
    <xf numFmtId="168" fontId="6" fillId="2" borderId="24" xfId="0" applyNumberFormat="1" applyFont="1" applyFill="1" applyBorder="1" applyAlignment="1">
      <alignment horizontal="center" vertical="center"/>
    </xf>
    <xf numFmtId="0" fontId="0" fillId="11" borderId="53" xfId="0" applyFill="1" applyBorder="1"/>
    <xf numFmtId="0" fontId="0" fillId="11" borderId="49" xfId="0" applyFill="1" applyBorder="1"/>
    <xf numFmtId="0" fontId="0" fillId="11" borderId="10" xfId="0" applyFill="1" applyBorder="1"/>
    <xf numFmtId="0" fontId="0" fillId="11" borderId="20" xfId="0" applyFill="1" applyBorder="1"/>
    <xf numFmtId="168" fontId="2" fillId="15" borderId="37" xfId="0" applyNumberFormat="1" applyFont="1" applyFill="1" applyBorder="1" applyAlignment="1">
      <alignment horizontal="center" vertical="center"/>
    </xf>
    <xf numFmtId="168" fontId="2" fillId="29" borderId="37" xfId="0" applyNumberFormat="1" applyFont="1" applyFill="1" applyBorder="1" applyAlignment="1">
      <alignment horizontal="center" vertical="center"/>
    </xf>
    <xf numFmtId="168" fontId="9" fillId="9" borderId="42" xfId="0" applyNumberFormat="1" applyFont="1" applyFill="1" applyBorder="1" applyAlignment="1">
      <alignment horizontal="center" vertical="center" wrapText="1"/>
    </xf>
    <xf numFmtId="168" fontId="3" fillId="29" borderId="0" xfId="0" applyNumberFormat="1" applyFont="1" applyFill="1" applyAlignment="1">
      <alignment horizontal="center" vertical="center"/>
    </xf>
    <xf numFmtId="168" fontId="36" fillId="15" borderId="37" xfId="0" applyNumberFormat="1" applyFont="1" applyFill="1" applyBorder="1" applyAlignment="1">
      <alignment horizontal="center" vertical="center"/>
    </xf>
    <xf numFmtId="175" fontId="0" fillId="0" borderId="0" xfId="2" applyNumberFormat="1" applyFont="1" applyFill="1" applyAlignment="1">
      <alignment horizontal="center" vertical="center"/>
    </xf>
    <xf numFmtId="175" fontId="0" fillId="0" borderId="0" xfId="0" applyNumberFormat="1" applyFont="1" applyFill="1" applyAlignment="1">
      <alignment horizontal="center" vertical="center"/>
    </xf>
    <xf numFmtId="9" fontId="0" fillId="0" borderId="0" xfId="2" applyFont="1" applyFill="1" applyAlignment="1">
      <alignment vertical="center"/>
    </xf>
    <xf numFmtId="10" fontId="0" fillId="0" borderId="24" xfId="2" applyNumberFormat="1" applyFont="1" applyFill="1" applyBorder="1" applyAlignment="1">
      <alignment horizontal="center" vertical="center"/>
    </xf>
    <xf numFmtId="0" fontId="0" fillId="0" borderId="0" xfId="0" applyFill="1" applyAlignment="1">
      <alignment horizontal="center"/>
    </xf>
    <xf numFmtId="0" fontId="0" fillId="2" borderId="0" xfId="0" applyFill="1" applyAlignment="1">
      <alignment horizontal="center"/>
    </xf>
    <xf numFmtId="0" fontId="0" fillId="12" borderId="0" xfId="0" applyFill="1" applyAlignment="1">
      <alignment horizontal="center"/>
    </xf>
    <xf numFmtId="166" fontId="9" fillId="0" borderId="0" xfId="0" applyNumberFormat="1" applyFont="1" applyFill="1" applyBorder="1" applyAlignment="1">
      <alignment horizontal="center"/>
    </xf>
    <xf numFmtId="166" fontId="9" fillId="2" borderId="0" xfId="0" applyNumberFormat="1" applyFont="1" applyFill="1" applyBorder="1" applyAlignment="1">
      <alignment horizontal="center"/>
    </xf>
    <xf numFmtId="0" fontId="9" fillId="9" borderId="7" xfId="0" applyFont="1" applyFill="1" applyBorder="1" applyAlignment="1">
      <alignment horizontal="center" wrapText="1"/>
    </xf>
    <xf numFmtId="2" fontId="11" fillId="9" borderId="7" xfId="0" applyNumberFormat="1" applyFont="1" applyFill="1" applyBorder="1" applyAlignment="1">
      <alignment horizontal="center"/>
    </xf>
    <xf numFmtId="0" fontId="10" fillId="2" borderId="0" xfId="0" applyFont="1" applyFill="1" applyAlignment="1">
      <alignment horizontal="center"/>
    </xf>
    <xf numFmtId="1" fontId="9" fillId="7" borderId="7" xfId="0" applyNumberFormat="1" applyFont="1" applyFill="1" applyBorder="1" applyAlignment="1">
      <alignment horizontal="center" wrapText="1"/>
    </xf>
    <xf numFmtId="0" fontId="10" fillId="2" borderId="0" xfId="0" applyFont="1" applyFill="1" applyBorder="1" applyAlignment="1">
      <alignment horizontal="center"/>
    </xf>
    <xf numFmtId="0" fontId="0" fillId="2" borderId="0" xfId="0" applyFill="1" applyBorder="1" applyAlignment="1">
      <alignment horizontal="center"/>
    </xf>
    <xf numFmtId="0" fontId="9" fillId="9" borderId="8" xfId="0" applyFont="1" applyFill="1" applyBorder="1" applyAlignment="1">
      <alignment horizontal="center" wrapText="1"/>
    </xf>
    <xf numFmtId="1" fontId="9" fillId="7" borderId="17" xfId="0" applyNumberFormat="1" applyFont="1" applyFill="1" applyBorder="1" applyAlignment="1">
      <alignment horizontal="center" wrapText="1"/>
    </xf>
    <xf numFmtId="0" fontId="16" fillId="16" borderId="24" xfId="4" applyFont="1" applyFill="1" applyBorder="1" applyAlignment="1">
      <alignment horizontal="center" vertical="center" wrapText="1"/>
    </xf>
    <xf numFmtId="0" fontId="16" fillId="16" borderId="21" xfId="5" applyFont="1" applyFill="1" applyBorder="1" applyAlignment="1">
      <alignment horizontal="right" wrapText="1"/>
    </xf>
    <xf numFmtId="0" fontId="16" fillId="16" borderId="48" xfId="5" applyFont="1" applyFill="1" applyBorder="1" applyAlignment="1">
      <alignment horizontal="right" wrapText="1"/>
    </xf>
    <xf numFmtId="0" fontId="16" fillId="31" borderId="37" xfId="5" applyFont="1" applyFill="1" applyBorder="1" applyAlignment="1">
      <alignment horizontal="right"/>
    </xf>
    <xf numFmtId="0" fontId="16" fillId="16" borderId="37" xfId="5" applyFont="1" applyFill="1" applyBorder="1" applyAlignment="1">
      <alignment horizontal="right" wrapText="1"/>
    </xf>
    <xf numFmtId="177" fontId="16" fillId="16" borderId="37" xfId="1" applyNumberFormat="1" applyFont="1" applyFill="1" applyBorder="1" applyAlignment="1">
      <alignment horizontal="center" wrapText="1"/>
    </xf>
    <xf numFmtId="0" fontId="16" fillId="31" borderId="49" xfId="5" applyFont="1" applyFill="1" applyBorder="1" applyAlignment="1">
      <alignment horizontal="right"/>
    </xf>
    <xf numFmtId="0" fontId="16" fillId="16" borderId="49" xfId="5" applyFont="1" applyFill="1" applyBorder="1" applyAlignment="1">
      <alignment horizontal="right" wrapText="1"/>
    </xf>
    <xf numFmtId="177" fontId="16" fillId="16" borderId="49" xfId="1" applyNumberFormat="1" applyFont="1" applyFill="1" applyBorder="1" applyAlignment="1">
      <alignment horizontal="center" wrapText="1"/>
    </xf>
    <xf numFmtId="0" fontId="0" fillId="11" borderId="24" xfId="0" applyNumberFormat="1" applyFill="1" applyBorder="1"/>
    <xf numFmtId="0" fontId="0" fillId="0" borderId="24" xfId="0" applyBorder="1" applyAlignment="1">
      <alignment horizontal="left"/>
    </xf>
    <xf numFmtId="0" fontId="0" fillId="0" borderId="24" xfId="0" applyNumberFormat="1" applyBorder="1"/>
    <xf numFmtId="0" fontId="3" fillId="32" borderId="24" xfId="0" applyFont="1" applyFill="1" applyBorder="1" applyAlignment="1">
      <alignment horizontal="left"/>
    </xf>
    <xf numFmtId="0" fontId="3" fillId="32" borderId="24" xfId="0" applyNumberFormat="1" applyFont="1" applyFill="1" applyBorder="1"/>
    <xf numFmtId="0" fontId="9" fillId="19" borderId="24" xfId="0" applyFont="1" applyFill="1" applyBorder="1" applyAlignment="1">
      <alignment horizontal="center" vertical="center" wrapText="1"/>
    </xf>
    <xf numFmtId="172" fontId="19" fillId="15" borderId="24" xfId="0" applyNumberFormat="1" applyFont="1" applyFill="1" applyBorder="1" applyAlignment="1">
      <alignment horizontal="center" vertical="center"/>
    </xf>
    <xf numFmtId="172" fontId="19" fillId="33" borderId="24" xfId="0" applyNumberFormat="1" applyFont="1" applyFill="1" applyBorder="1" applyAlignment="1">
      <alignment horizontal="center" vertical="center"/>
    </xf>
    <xf numFmtId="168" fontId="39" fillId="15" borderId="37" xfId="0" applyNumberFormat="1" applyFont="1" applyFill="1" applyBorder="1" applyAlignment="1">
      <alignment horizontal="center" vertical="center"/>
    </xf>
    <xf numFmtId="168" fontId="40" fillId="15" borderId="37" xfId="0" applyNumberFormat="1" applyFont="1" applyFill="1" applyBorder="1" applyAlignment="1">
      <alignment horizontal="center" vertical="center"/>
    </xf>
    <xf numFmtId="0" fontId="38" fillId="24" borderId="24" xfId="8" applyFont="1" applyFill="1" applyBorder="1" applyAlignment="1">
      <alignment horizontal="center"/>
    </xf>
    <xf numFmtId="0" fontId="38" fillId="0" borderId="24" xfId="8" applyFont="1" applyFill="1" applyBorder="1" applyAlignment="1">
      <alignment horizontal="right" wrapText="1"/>
    </xf>
    <xf numFmtId="0" fontId="38" fillId="0" borderId="24" xfId="8" applyFont="1" applyFill="1" applyBorder="1" applyAlignment="1">
      <alignment wrapText="1"/>
    </xf>
    <xf numFmtId="0" fontId="19" fillId="0" borderId="49" xfId="0" applyFont="1" applyFill="1" applyBorder="1" applyAlignment="1">
      <alignment horizontal="center" vertical="center"/>
    </xf>
    <xf numFmtId="10" fontId="0" fillId="0" borderId="0" xfId="0" applyNumberFormat="1" applyFont="1" applyFill="1" applyAlignment="1">
      <alignment horizontal="center" vertical="center"/>
    </xf>
    <xf numFmtId="0" fontId="0" fillId="10" borderId="0" xfId="0" applyFont="1" applyFill="1" applyAlignment="1">
      <alignment vertical="center"/>
    </xf>
    <xf numFmtId="0" fontId="0" fillId="10" borderId="0" xfId="0" applyFill="1" applyBorder="1"/>
    <xf numFmtId="0" fontId="0" fillId="10" borderId="0" xfId="0" applyFont="1" applyFill="1" applyBorder="1" applyAlignment="1">
      <alignment vertical="center"/>
    </xf>
    <xf numFmtId="14" fontId="30" fillId="0" borderId="0" xfId="0" applyNumberFormat="1" applyFont="1" applyFill="1" applyAlignment="1">
      <alignment vertical="center"/>
    </xf>
    <xf numFmtId="0" fontId="33" fillId="0" borderId="0" xfId="0" applyFont="1" applyFill="1" applyAlignment="1">
      <alignment horizontal="center" vertical="center"/>
    </xf>
    <xf numFmtId="10" fontId="0" fillId="10" borderId="7" xfId="2" applyNumberFormat="1" applyFont="1" applyFill="1" applyBorder="1" applyAlignment="1">
      <alignment horizontal="center" vertical="center"/>
    </xf>
    <xf numFmtId="0" fontId="11" fillId="9" borderId="7" xfId="0" applyFont="1" applyFill="1" applyBorder="1" applyAlignment="1">
      <alignment horizontal="center" vertical="center"/>
    </xf>
    <xf numFmtId="0" fontId="16" fillId="27" borderId="24" xfId="4" applyFont="1" applyFill="1" applyBorder="1" applyAlignment="1">
      <alignment horizontal="center" vertical="center" wrapText="1"/>
    </xf>
    <xf numFmtId="0" fontId="41" fillId="35" borderId="24" xfId="0" applyFont="1" applyFill="1" applyBorder="1" applyAlignment="1">
      <alignment horizontal="left" vertical="top" wrapText="1"/>
    </xf>
    <xf numFmtId="0" fontId="42" fillId="0" borderId="0" xfId="0" applyFont="1"/>
    <xf numFmtId="0" fontId="42" fillId="0" borderId="24" xfId="0" applyFont="1" applyBorder="1"/>
    <xf numFmtId="0" fontId="42" fillId="0" borderId="0" xfId="0" applyFont="1" applyAlignment="1">
      <alignment horizontal="right"/>
    </xf>
    <xf numFmtId="0" fontId="41" fillId="2" borderId="24" xfId="0" applyFont="1" applyFill="1" applyBorder="1" applyAlignment="1">
      <alignment horizontal="left" vertical="top" wrapText="1"/>
    </xf>
    <xf numFmtId="168" fontId="42" fillId="2" borderId="24" xfId="0" applyNumberFormat="1" applyFont="1" applyFill="1" applyBorder="1"/>
    <xf numFmtId="0" fontId="42" fillId="2" borderId="24" xfId="0" applyFont="1" applyFill="1" applyBorder="1"/>
    <xf numFmtId="0" fontId="11" fillId="8" borderId="7" xfId="0" applyFont="1" applyFill="1" applyBorder="1" applyAlignment="1">
      <alignment horizontal="center" vertical="center"/>
    </xf>
    <xf numFmtId="0" fontId="34" fillId="19" borderId="24" xfId="0" applyFont="1" applyFill="1" applyBorder="1" applyAlignment="1">
      <alignment horizontal="center" vertical="center" wrapText="1"/>
    </xf>
    <xf numFmtId="168" fontId="9" fillId="19" borderId="24" xfId="0" applyNumberFormat="1" applyFont="1" applyFill="1" applyBorder="1" applyAlignment="1">
      <alignment horizontal="center" vertical="center" wrapText="1"/>
    </xf>
    <xf numFmtId="174" fontId="4" fillId="37" borderId="32" xfId="2" applyNumberFormat="1" applyFont="1" applyFill="1" applyBorder="1" applyAlignment="1">
      <alignment horizontal="center" vertical="center"/>
    </xf>
    <xf numFmtId="0" fontId="19" fillId="19" borderId="24" xfId="0" applyFont="1" applyFill="1" applyBorder="1" applyAlignment="1">
      <alignment horizontal="center" vertical="center" wrapText="1"/>
    </xf>
    <xf numFmtId="2" fontId="16" fillId="27" borderId="24" xfId="4" applyNumberFormat="1" applyFont="1" applyFill="1" applyBorder="1" applyAlignment="1">
      <alignment horizontal="center" vertical="center" wrapText="1"/>
    </xf>
    <xf numFmtId="0" fontId="0" fillId="36" borderId="37" xfId="0" applyFont="1" applyFill="1" applyBorder="1" applyAlignment="1">
      <alignment horizontal="center" vertical="center"/>
    </xf>
    <xf numFmtId="172" fontId="19" fillId="11" borderId="25" xfId="0" applyNumberFormat="1" applyFont="1" applyFill="1" applyBorder="1" applyAlignment="1" applyProtection="1">
      <alignment horizontal="center" vertical="center"/>
    </xf>
    <xf numFmtId="0" fontId="41" fillId="5" borderId="24" xfId="0" applyFont="1" applyFill="1" applyBorder="1" applyAlignment="1">
      <alignment horizontal="left" vertical="top" wrapText="1"/>
    </xf>
    <xf numFmtId="0" fontId="41" fillId="27" borderId="24" xfId="0" applyFont="1" applyFill="1" applyBorder="1" applyAlignment="1">
      <alignment horizontal="left" vertical="top" wrapText="1"/>
    </xf>
    <xf numFmtId="0" fontId="42" fillId="27" borderId="24" xfId="0" applyFont="1" applyFill="1" applyBorder="1" applyAlignment="1">
      <alignment horizontal="center"/>
    </xf>
    <xf numFmtId="0" fontId="42" fillId="27" borderId="0" xfId="0" applyFont="1" applyFill="1" applyAlignment="1">
      <alignment horizontal="center"/>
    </xf>
    <xf numFmtId="0" fontId="42" fillId="27" borderId="10" xfId="0" applyFont="1" applyFill="1" applyBorder="1" applyAlignment="1">
      <alignment horizontal="right"/>
    </xf>
    <xf numFmtId="0" fontId="19" fillId="5" borderId="9" xfId="0" applyFont="1" applyFill="1" applyBorder="1" applyAlignment="1">
      <alignment horizontal="center" vertical="center" wrapText="1"/>
    </xf>
    <xf numFmtId="0" fontId="3" fillId="0" borderId="24" xfId="0" applyFont="1" applyBorder="1" applyAlignment="1">
      <alignment horizontal="center"/>
    </xf>
    <xf numFmtId="168" fontId="42" fillId="27" borderId="10" xfId="0" applyNumberFormat="1" applyFont="1" applyFill="1" applyBorder="1" applyAlignment="1">
      <alignment horizontal="right"/>
    </xf>
    <xf numFmtId="0" fontId="41" fillId="25" borderId="24" xfId="0" applyNumberFormat="1" applyFont="1" applyFill="1" applyBorder="1" applyAlignment="1">
      <alignment vertical="top" wrapText="1"/>
    </xf>
    <xf numFmtId="168" fontId="42" fillId="25" borderId="24" xfId="0" applyNumberFormat="1" applyFont="1" applyFill="1" applyBorder="1"/>
    <xf numFmtId="0" fontId="41" fillId="25" borderId="24" xfId="0" applyFont="1" applyFill="1" applyBorder="1" applyAlignment="1">
      <alignment vertical="top" wrapText="1"/>
    </xf>
    <xf numFmtId="0" fontId="41" fillId="25" borderId="24" xfId="0" applyNumberFormat="1" applyFont="1" applyFill="1" applyBorder="1" applyAlignment="1">
      <alignment horizontal="right" vertical="top" wrapText="1"/>
    </xf>
    <xf numFmtId="0" fontId="41" fillId="5" borderId="24" xfId="0" applyNumberFormat="1" applyFont="1" applyFill="1" applyBorder="1" applyAlignment="1">
      <alignment vertical="top" wrapText="1"/>
    </xf>
    <xf numFmtId="0" fontId="41" fillId="25" borderId="24" xfId="0" applyFont="1" applyFill="1" applyBorder="1" applyAlignment="1">
      <alignment horizontal="left" vertical="top" wrapText="1"/>
    </xf>
    <xf numFmtId="0" fontId="41" fillId="20" borderId="24" xfId="0" applyFont="1" applyFill="1" applyBorder="1" applyAlignment="1">
      <alignment horizontal="left" vertical="top" wrapText="1"/>
    </xf>
    <xf numFmtId="0" fontId="42" fillId="20" borderId="24" xfId="0" applyFont="1" applyFill="1" applyBorder="1" applyAlignment="1">
      <alignment horizontal="center"/>
    </xf>
    <xf numFmtId="0" fontId="41" fillId="35" borderId="0" xfId="0" applyFont="1" applyFill="1" applyBorder="1" applyAlignment="1">
      <alignment horizontal="left" vertical="top" wrapText="1"/>
    </xf>
    <xf numFmtId="0" fontId="42" fillId="27" borderId="26" xfId="0" applyFont="1" applyFill="1" applyBorder="1" applyAlignment="1">
      <alignment horizontal="center"/>
    </xf>
    <xf numFmtId="168" fontId="42" fillId="2" borderId="24" xfId="0" applyNumberFormat="1" applyFont="1" applyFill="1" applyBorder="1" applyAlignment="1"/>
    <xf numFmtId="168" fontId="43" fillId="2" borderId="24" xfId="0" applyNumberFormat="1" applyFont="1" applyFill="1" applyBorder="1" applyAlignment="1"/>
    <xf numFmtId="14" fontId="42" fillId="2" borderId="24" xfId="0" applyNumberFormat="1" applyFont="1" applyFill="1" applyBorder="1"/>
    <xf numFmtId="168" fontId="41" fillId="2" borderId="24" xfId="0" applyNumberFormat="1" applyFont="1" applyFill="1" applyBorder="1" applyAlignment="1"/>
    <xf numFmtId="0" fontId="41" fillId="27" borderId="24" xfId="0" applyFont="1" applyFill="1" applyBorder="1" applyAlignment="1">
      <alignment horizontal="center" vertical="top" wrapText="1"/>
    </xf>
    <xf numFmtId="0" fontId="41" fillId="27" borderId="24" xfId="0" applyFont="1" applyFill="1" applyBorder="1" applyAlignment="1">
      <alignment horizontal="center"/>
    </xf>
    <xf numFmtId="0" fontId="41" fillId="20" borderId="24" xfId="0" applyFont="1" applyFill="1" applyBorder="1" applyAlignment="1">
      <alignment horizontal="center" vertical="top" wrapText="1"/>
    </xf>
    <xf numFmtId="0" fontId="42" fillId="20" borderId="0" xfId="0" applyFont="1" applyFill="1"/>
    <xf numFmtId="180" fontId="42" fillId="0" borderId="0" xfId="0" applyNumberFormat="1" applyFont="1"/>
    <xf numFmtId="168" fontId="0" fillId="26" borderId="24" xfId="0" applyNumberFormat="1" applyFont="1" applyFill="1" applyBorder="1" applyAlignment="1">
      <alignment horizontal="center" vertical="center"/>
    </xf>
    <xf numFmtId="0" fontId="22" fillId="19" borderId="24" xfId="0" applyFont="1" applyFill="1" applyBorder="1" applyAlignment="1">
      <alignment horizontal="center" vertical="center" wrapText="1"/>
    </xf>
    <xf numFmtId="168" fontId="19" fillId="0" borderId="24" xfId="0"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19" fillId="5" borderId="24" xfId="0" applyFont="1" applyFill="1" applyBorder="1" applyAlignment="1">
      <alignment horizontal="center" vertical="center"/>
    </xf>
    <xf numFmtId="0" fontId="19" fillId="5" borderId="49" xfId="0" applyFont="1" applyFill="1" applyBorder="1" applyAlignment="1">
      <alignment horizontal="center" vertical="center" wrapText="1"/>
    </xf>
    <xf numFmtId="168" fontId="19" fillId="0" borderId="24" xfId="0" applyNumberFormat="1" applyFont="1" applyFill="1" applyBorder="1" applyAlignment="1">
      <alignment horizontal="center" vertical="center" wrapText="1"/>
    </xf>
    <xf numFmtId="168" fontId="42" fillId="27" borderId="24" xfId="0" applyNumberFormat="1" applyFont="1" applyFill="1" applyBorder="1"/>
    <xf numFmtId="168" fontId="42" fillId="0" borderId="0" xfId="0" applyNumberFormat="1" applyFont="1"/>
    <xf numFmtId="168" fontId="41" fillId="27" borderId="24" xfId="0" applyNumberFormat="1" applyFont="1" applyFill="1" applyBorder="1" applyAlignment="1"/>
    <xf numFmtId="0" fontId="19" fillId="26" borderId="23" xfId="0" applyFont="1" applyFill="1" applyBorder="1" applyAlignment="1">
      <alignment horizontal="center"/>
    </xf>
    <xf numFmtId="0" fontId="19" fillId="26" borderId="24" xfId="0" applyFont="1" applyFill="1" applyBorder="1" applyAlignment="1">
      <alignment horizontal="center"/>
    </xf>
    <xf numFmtId="0" fontId="31" fillId="26" borderId="24" xfId="4" applyFont="1" applyFill="1" applyBorder="1" applyAlignment="1">
      <alignment horizontal="right" wrapText="1"/>
    </xf>
    <xf numFmtId="0" fontId="42" fillId="29" borderId="24" xfId="0" applyFont="1" applyFill="1" applyBorder="1" applyAlignment="1">
      <alignment horizontal="center"/>
    </xf>
    <xf numFmtId="0" fontId="42" fillId="29" borderId="26" xfId="0" applyFont="1" applyFill="1" applyBorder="1" applyAlignment="1">
      <alignment horizontal="center"/>
    </xf>
    <xf numFmtId="166" fontId="32" fillId="2" borderId="0"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42" fillId="0" borderId="24" xfId="0" applyFont="1" applyBorder="1" applyAlignment="1">
      <alignment horizontal="right"/>
    </xf>
    <xf numFmtId="14" fontId="42" fillId="0" borderId="24" xfId="0" applyNumberFormat="1" applyFont="1" applyBorder="1"/>
    <xf numFmtId="168" fontId="42" fillId="20" borderId="24" xfId="0" applyNumberFormat="1" applyFont="1" applyFill="1" applyBorder="1"/>
    <xf numFmtId="168" fontId="42" fillId="6" borderId="24" xfId="0" applyNumberFormat="1" applyFont="1" applyFill="1" applyBorder="1"/>
    <xf numFmtId="0" fontId="42" fillId="0" borderId="24" xfId="0" applyFont="1" applyBorder="1" applyAlignment="1">
      <alignment horizontal="center" vertical="center"/>
    </xf>
    <xf numFmtId="0" fontId="42" fillId="15" borderId="24" xfId="0" applyFont="1" applyFill="1" applyBorder="1" applyAlignment="1">
      <alignment horizontal="center"/>
    </xf>
    <xf numFmtId="0" fontId="42" fillId="28" borderId="24" xfId="0" applyFont="1" applyFill="1" applyBorder="1" applyAlignment="1">
      <alignment horizontal="center"/>
    </xf>
    <xf numFmtId="0" fontId="41" fillId="38" borderId="24" xfId="0" applyFont="1" applyFill="1" applyBorder="1" applyAlignment="1">
      <alignment horizontal="center"/>
    </xf>
    <xf numFmtId="0" fontId="41" fillId="15" borderId="24" xfId="0" applyFont="1" applyFill="1" applyBorder="1" applyAlignment="1">
      <alignment horizontal="center"/>
    </xf>
    <xf numFmtId="168" fontId="41" fillId="20" borderId="24" xfId="0" applyNumberFormat="1" applyFont="1" applyFill="1" applyBorder="1" applyAlignment="1">
      <alignment horizontal="center" vertical="top" wrapText="1"/>
    </xf>
    <xf numFmtId="168" fontId="42" fillId="2" borderId="24" xfId="0" applyNumberFormat="1" applyFont="1" applyFill="1" applyBorder="1" applyAlignment="1">
      <alignment horizontal="center"/>
    </xf>
    <xf numFmtId="0" fontId="42" fillId="38" borderId="24" xfId="0" applyFont="1" applyFill="1" applyBorder="1"/>
    <xf numFmtId="168" fontId="41" fillId="38" borderId="24" xfId="0" applyNumberFormat="1" applyFont="1" applyFill="1" applyBorder="1"/>
    <xf numFmtId="168" fontId="43" fillId="15" borderId="24" xfId="0" applyNumberFormat="1" applyFont="1" applyFill="1" applyBorder="1"/>
    <xf numFmtId="168" fontId="43" fillId="15" borderId="24" xfId="0" applyNumberFormat="1" applyFont="1" applyFill="1" applyBorder="1" applyAlignment="1"/>
    <xf numFmtId="178" fontId="43" fillId="15" borderId="24" xfId="0" applyNumberFormat="1" applyFont="1" applyFill="1" applyBorder="1" applyAlignment="1"/>
    <xf numFmtId="14" fontId="41" fillId="2" borderId="24" xfId="0" applyNumberFormat="1" applyFont="1" applyFill="1" applyBorder="1"/>
    <xf numFmtId="0" fontId="41" fillId="2" borderId="24" xfId="0" applyFont="1" applyFill="1" applyBorder="1"/>
    <xf numFmtId="181" fontId="41" fillId="2" borderId="26" xfId="1" applyNumberFormat="1" applyFont="1" applyFill="1" applyBorder="1" applyAlignment="1">
      <alignment horizontal="left" vertical="top" wrapText="1"/>
    </xf>
    <xf numFmtId="0" fontId="42" fillId="6" borderId="24" xfId="0" applyFont="1" applyFill="1" applyBorder="1" applyAlignment="1">
      <alignment horizontal="center"/>
    </xf>
    <xf numFmtId="0" fontId="42" fillId="27" borderId="0" xfId="0" applyFont="1" applyFill="1"/>
    <xf numFmtId="0" fontId="42" fillId="2" borderId="24" xfId="0" applyFont="1" applyFill="1" applyBorder="1" applyAlignment="1">
      <alignment horizontal="center"/>
    </xf>
    <xf numFmtId="0" fontId="43" fillId="0" borderId="24" xfId="0" applyFont="1" applyBorder="1"/>
    <xf numFmtId="10" fontId="0" fillId="30" borderId="7" xfId="2" applyNumberFormat="1" applyFont="1" applyFill="1" applyBorder="1" applyAlignment="1">
      <alignment horizontal="center" vertical="center"/>
    </xf>
    <xf numFmtId="0" fontId="45" fillId="0" borderId="0" xfId="0" applyFont="1" applyAlignment="1">
      <alignment horizontal="right" vertical="center"/>
    </xf>
    <xf numFmtId="0" fontId="42" fillId="0" borderId="0" xfId="0" applyFont="1" applyAlignment="1">
      <alignment horizontal="right" vertical="center"/>
    </xf>
    <xf numFmtId="0" fontId="44" fillId="27" borderId="24" xfId="0" applyFont="1" applyFill="1" applyBorder="1" applyAlignment="1">
      <alignment horizontal="center" vertical="center"/>
    </xf>
    <xf numFmtId="0" fontId="28" fillId="27" borderId="24" xfId="0" applyFont="1" applyFill="1" applyBorder="1" applyAlignment="1">
      <alignment horizontal="center" vertical="center"/>
    </xf>
    <xf numFmtId="174" fontId="19" fillId="26" borderId="26" xfId="0" applyNumberFormat="1" applyFont="1" applyFill="1" applyBorder="1" applyAlignment="1">
      <alignment horizontal="center" vertical="center" wrapText="1"/>
    </xf>
    <xf numFmtId="174" fontId="19" fillId="26" borderId="24" xfId="0" applyNumberFormat="1" applyFont="1" applyFill="1" applyBorder="1" applyAlignment="1">
      <alignment horizontal="center" vertical="center" wrapText="1"/>
    </xf>
    <xf numFmtId="0" fontId="22" fillId="19" borderId="49" xfId="0" applyFont="1" applyFill="1" applyBorder="1" applyAlignment="1">
      <alignment horizontal="center" vertical="center" wrapText="1"/>
    </xf>
    <xf numFmtId="0" fontId="22" fillId="19" borderId="26" xfId="0" applyFont="1" applyFill="1" applyBorder="1" applyAlignment="1">
      <alignment horizontal="center" vertical="center" wrapText="1"/>
    </xf>
    <xf numFmtId="172" fontId="19" fillId="26" borderId="24" xfId="0" applyNumberFormat="1" applyFont="1" applyFill="1" applyBorder="1" applyAlignment="1">
      <alignment horizontal="center" vertical="center"/>
    </xf>
    <xf numFmtId="0" fontId="16" fillId="26" borderId="24" xfId="4" applyFont="1" applyFill="1" applyBorder="1" applyAlignment="1">
      <alignment horizontal="center" vertical="center" wrapText="1"/>
    </xf>
    <xf numFmtId="173" fontId="0" fillId="26" borderId="24" xfId="0" applyNumberFormat="1" applyFont="1" applyFill="1" applyBorder="1" applyAlignment="1">
      <alignment horizontal="center" vertical="center"/>
    </xf>
    <xf numFmtId="170" fontId="19" fillId="16" borderId="24" xfId="7" applyNumberFormat="1" applyFont="1" applyFill="1" applyBorder="1" applyAlignment="1" applyProtection="1">
      <alignment horizontal="center"/>
    </xf>
    <xf numFmtId="172" fontId="19" fillId="5" borderId="20" xfId="0" applyNumberFormat="1" applyFont="1" applyFill="1" applyBorder="1" applyAlignment="1" applyProtection="1">
      <alignment horizontal="center" vertical="center"/>
    </xf>
    <xf numFmtId="172" fontId="19" fillId="5" borderId="50" xfId="0" applyNumberFormat="1" applyFont="1" applyFill="1" applyBorder="1" applyAlignment="1" applyProtection="1">
      <alignment horizontal="center" vertical="center"/>
    </xf>
    <xf numFmtId="172" fontId="19" fillId="5" borderId="53" xfId="0" applyNumberFormat="1" applyFont="1" applyFill="1" applyBorder="1" applyAlignment="1" applyProtection="1">
      <alignment horizontal="center" vertical="center"/>
    </xf>
    <xf numFmtId="168" fontId="22" fillId="10" borderId="0" xfId="0" applyNumberFormat="1" applyFont="1" applyFill="1" applyBorder="1" applyAlignment="1">
      <alignment horizontal="center" vertical="center" wrapText="1"/>
    </xf>
    <xf numFmtId="172" fontId="19" fillId="5" borderId="24" xfId="0" applyNumberFormat="1" applyFont="1" applyFill="1" applyBorder="1" applyAlignment="1" applyProtection="1">
      <alignment horizontal="center" vertical="center"/>
    </xf>
    <xf numFmtId="172" fontId="19" fillId="0" borderId="10" xfId="0" applyNumberFormat="1" applyFont="1" applyFill="1" applyBorder="1" applyAlignment="1" applyProtection="1">
      <alignment horizontal="center" vertical="center"/>
    </xf>
    <xf numFmtId="172" fontId="19" fillId="0" borderId="24" xfId="0" applyNumberFormat="1" applyFont="1" applyFill="1" applyBorder="1" applyAlignment="1" applyProtection="1">
      <alignment horizontal="center" vertical="center"/>
    </xf>
    <xf numFmtId="168" fontId="22" fillId="22" borderId="24" xfId="0" applyNumberFormat="1" applyFont="1" applyFill="1" applyBorder="1" applyAlignment="1">
      <alignment horizontal="center" vertical="center" wrapText="1"/>
    </xf>
    <xf numFmtId="0" fontId="0" fillId="0" borderId="0" xfId="0" applyFont="1"/>
    <xf numFmtId="0" fontId="3" fillId="0" borderId="0" xfId="0" applyFont="1"/>
    <xf numFmtId="0" fontId="4" fillId="19" borderId="24" xfId="0" applyFont="1" applyFill="1" applyBorder="1" applyAlignment="1">
      <alignment horizontal="center" vertical="center" wrapText="1"/>
    </xf>
    <xf numFmtId="168" fontId="4" fillId="19" borderId="24" xfId="0" applyNumberFormat="1" applyFont="1" applyFill="1" applyBorder="1" applyAlignment="1">
      <alignment horizontal="center" vertical="center" wrapText="1"/>
    </xf>
    <xf numFmtId="168" fontId="4" fillId="10" borderId="0" xfId="0" applyNumberFormat="1" applyFont="1" applyFill="1" applyBorder="1" applyAlignment="1">
      <alignment horizontal="center" vertical="center" wrapText="1"/>
    </xf>
    <xf numFmtId="168" fontId="4" fillId="22" borderId="24"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58" xfId="0" applyFont="1" applyFill="1" applyBorder="1" applyAlignment="1">
      <alignment horizontal="center" vertical="center" wrapText="1"/>
    </xf>
    <xf numFmtId="0" fontId="19" fillId="19" borderId="53"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19" fillId="19" borderId="20" xfId="0" applyFont="1" applyFill="1" applyBorder="1" applyAlignment="1">
      <alignment horizontal="center" vertical="center" wrapText="1"/>
    </xf>
    <xf numFmtId="0" fontId="4" fillId="19" borderId="58" xfId="0" applyFont="1" applyFill="1" applyBorder="1" applyAlignment="1">
      <alignment horizontal="center" vertical="center" wrapText="1"/>
    </xf>
    <xf numFmtId="0" fontId="22" fillId="19" borderId="53" xfId="0" applyFont="1" applyFill="1" applyBorder="1" applyAlignment="1">
      <alignment horizontal="center" vertical="center" wrapText="1"/>
    </xf>
    <xf numFmtId="168" fontId="22" fillId="19" borderId="49" xfId="0" applyNumberFormat="1" applyFont="1" applyFill="1" applyBorder="1" applyAlignment="1">
      <alignment horizontal="center" vertical="center" wrapText="1"/>
    </xf>
    <xf numFmtId="0" fontId="22" fillId="22" borderId="24" xfId="0" applyFont="1" applyFill="1" applyBorder="1" applyAlignment="1">
      <alignment horizontal="center" vertical="center" wrapText="1"/>
    </xf>
    <xf numFmtId="10" fontId="22" fillId="19" borderId="26" xfId="2" applyNumberFormat="1" applyFont="1" applyFill="1" applyBorder="1" applyAlignment="1">
      <alignment horizontal="center" vertical="center" wrapText="1"/>
    </xf>
    <xf numFmtId="1" fontId="22" fillId="19" borderId="49" xfId="0" applyNumberFormat="1" applyFont="1" applyFill="1" applyBorder="1" applyAlignment="1">
      <alignment horizontal="center" vertical="center" wrapText="1"/>
    </xf>
    <xf numFmtId="0" fontId="4" fillId="19" borderId="18" xfId="0" applyFont="1" applyFill="1" applyBorder="1" applyAlignment="1">
      <alignment horizontal="center" vertical="center" wrapText="1"/>
    </xf>
    <xf numFmtId="0" fontId="22" fillId="19" borderId="20" xfId="0" applyFont="1" applyFill="1" applyBorder="1" applyAlignment="1">
      <alignment horizontal="center" vertical="center" wrapText="1"/>
    </xf>
    <xf numFmtId="1" fontId="22" fillId="19" borderId="10" xfId="0" applyNumberFormat="1"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10" fontId="22" fillId="10" borderId="0" xfId="2" applyNumberFormat="1" applyFont="1" applyFill="1" applyBorder="1" applyAlignment="1">
      <alignment horizontal="center" vertical="center" wrapText="1"/>
    </xf>
    <xf numFmtId="1" fontId="22" fillId="10" borderId="0" xfId="0" applyNumberFormat="1" applyFont="1" applyFill="1" applyBorder="1" applyAlignment="1">
      <alignment horizontal="center" vertical="center" wrapText="1"/>
    </xf>
    <xf numFmtId="0" fontId="0" fillId="10" borderId="0" xfId="0" applyFont="1" applyFill="1"/>
    <xf numFmtId="0" fontId="22" fillId="22" borderId="36" xfId="0" applyFont="1" applyFill="1" applyBorder="1" applyAlignment="1">
      <alignment horizontal="center" vertical="center" wrapText="1"/>
    </xf>
    <xf numFmtId="0" fontId="22" fillId="22" borderId="55" xfId="0" applyFont="1" applyFill="1" applyBorder="1" applyAlignment="1">
      <alignment horizontal="center" vertical="center" wrapText="1"/>
    </xf>
    <xf numFmtId="0" fontId="4" fillId="19" borderId="59" xfId="0" applyFont="1" applyFill="1" applyBorder="1" applyAlignment="1">
      <alignment horizontal="center" vertical="center" wrapText="1"/>
    </xf>
    <xf numFmtId="172" fontId="4" fillId="19" borderId="24" xfId="0" applyNumberFormat="1" applyFont="1" applyFill="1" applyBorder="1" applyAlignment="1">
      <alignment horizontal="center" vertical="center"/>
    </xf>
    <xf numFmtId="0" fontId="4" fillId="19" borderId="19" xfId="0" applyFont="1" applyFill="1" applyBorder="1" applyAlignment="1">
      <alignment horizontal="center" vertical="center" wrapText="1"/>
    </xf>
    <xf numFmtId="0" fontId="28" fillId="0" borderId="0" xfId="0" applyFont="1" applyFill="1" applyBorder="1" applyAlignment="1">
      <alignment vertical="center" textRotation="90"/>
    </xf>
    <xf numFmtId="0" fontId="0" fillId="10" borderId="0" xfId="0" applyFont="1" applyFill="1" applyBorder="1"/>
    <xf numFmtId="0" fontId="22" fillId="19" borderId="8" xfId="0" applyFont="1" applyFill="1" applyBorder="1" applyAlignment="1">
      <alignment horizontal="center" vertical="center" wrapText="1"/>
    </xf>
    <xf numFmtId="0" fontId="22" fillId="22" borderId="26" xfId="0" applyFont="1" applyFill="1" applyBorder="1" applyAlignment="1">
      <alignment horizontal="center" vertical="center" wrapText="1"/>
    </xf>
    <xf numFmtId="0" fontId="19" fillId="22" borderId="60" xfId="0" applyFont="1" applyFill="1" applyBorder="1" applyAlignment="1">
      <alignment horizontal="center" vertical="center" wrapText="1"/>
    </xf>
    <xf numFmtId="0" fontId="22" fillId="22" borderId="60" xfId="0" applyFont="1" applyFill="1" applyBorder="1" applyAlignment="1">
      <alignment horizontal="center" vertical="center" wrapText="1"/>
    </xf>
    <xf numFmtId="0" fontId="22" fillId="22" borderId="50" xfId="0" applyFont="1" applyFill="1" applyBorder="1" applyAlignment="1">
      <alignment horizontal="center" vertical="center" wrapText="1"/>
    </xf>
    <xf numFmtId="168" fontId="0" fillId="0" borderId="0" xfId="0" applyNumberFormat="1" applyFont="1"/>
    <xf numFmtId="0" fontId="2" fillId="2" borderId="24" xfId="0" applyFont="1" applyFill="1" applyBorder="1" applyAlignment="1">
      <alignment horizontal="center" vertical="center" wrapText="1"/>
    </xf>
    <xf numFmtId="168" fontId="2" fillId="2" borderId="10" xfId="0" applyNumberFormat="1" applyFont="1" applyFill="1" applyBorder="1" applyAlignment="1">
      <alignment horizontal="center" vertical="center"/>
    </xf>
    <xf numFmtId="3" fontId="5" fillId="5" borderId="24" xfId="0" applyNumberFormat="1" applyFont="1" applyFill="1" applyBorder="1" applyAlignment="1">
      <alignment horizontal="center" vertical="center"/>
    </xf>
    <xf numFmtId="0" fontId="22" fillId="19" borderId="24" xfId="0" applyFont="1" applyFill="1" applyBorder="1" applyAlignment="1">
      <alignment horizontal="center" vertical="center" wrapText="1"/>
    </xf>
    <xf numFmtId="168" fontId="22" fillId="19" borderId="24" xfId="0" applyNumberFormat="1" applyFont="1" applyFill="1" applyBorder="1" applyAlignment="1">
      <alignment horizontal="center" vertical="center" wrapText="1"/>
    </xf>
    <xf numFmtId="3" fontId="5" fillId="5" borderId="29" xfId="0" applyNumberFormat="1" applyFont="1" applyFill="1" applyBorder="1" applyAlignment="1">
      <alignment horizontal="center" vertical="center"/>
    </xf>
    <xf numFmtId="175" fontId="5" fillId="5" borderId="34" xfId="2" applyNumberFormat="1" applyFont="1" applyFill="1" applyBorder="1" applyAlignment="1">
      <alignment horizontal="center" vertical="center"/>
    </xf>
    <xf numFmtId="10" fontId="22" fillId="22" borderId="26" xfId="2" applyNumberFormat="1" applyFont="1" applyFill="1" applyBorder="1" applyAlignment="1">
      <alignment horizontal="center" vertical="center" wrapText="1"/>
    </xf>
    <xf numFmtId="0" fontId="4" fillId="10" borderId="0" xfId="0" applyFont="1" applyFill="1" applyBorder="1" applyAlignment="1">
      <alignment vertical="center"/>
    </xf>
    <xf numFmtId="0" fontId="4" fillId="0" borderId="0" xfId="0" applyFont="1" applyBorder="1"/>
    <xf numFmtId="0" fontId="4" fillId="19" borderId="26" xfId="0" applyFont="1" applyFill="1" applyBorder="1" applyAlignment="1">
      <alignment horizontal="center" vertical="center" wrapText="1"/>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168" fontId="26" fillId="12" borderId="24" xfId="6" applyNumberFormat="1" applyFont="1" applyFill="1" applyBorder="1" applyAlignment="1">
      <alignment horizontal="center"/>
    </xf>
    <xf numFmtId="168" fontId="26" fillId="2" borderId="24" xfId="6" applyNumberFormat="1" applyFont="1" applyFill="1" applyBorder="1" applyAlignment="1">
      <alignment horizontal="center"/>
    </xf>
    <xf numFmtId="168" fontId="26" fillId="4" borderId="24" xfId="6" applyNumberFormat="1" applyFont="1" applyFill="1" applyBorder="1" applyAlignment="1">
      <alignment horizontal="center"/>
    </xf>
    <xf numFmtId="1" fontId="0" fillId="12" borderId="24" xfId="0" applyNumberFormat="1" applyFont="1" applyFill="1" applyBorder="1" applyAlignment="1">
      <alignment horizontal="center" vertical="center"/>
    </xf>
    <xf numFmtId="168" fontId="26" fillId="10" borderId="24" xfId="6" applyNumberFormat="1" applyFont="1" applyFill="1" applyBorder="1" applyAlignment="1">
      <alignment horizontal="center"/>
    </xf>
    <xf numFmtId="168" fontId="9" fillId="7" borderId="17" xfId="0" applyNumberFormat="1" applyFont="1" applyFill="1" applyBorder="1" applyAlignment="1">
      <alignment horizontal="center" vertical="center" wrapText="1"/>
    </xf>
    <xf numFmtId="14" fontId="46" fillId="25" borderId="24" xfId="0" applyNumberFormat="1" applyFont="1" applyFill="1" applyBorder="1"/>
    <xf numFmtId="0" fontId="46" fillId="25" borderId="24" xfId="0" applyFont="1" applyFill="1" applyBorder="1" applyAlignment="1">
      <alignment horizontal="left" vertical="top" wrapText="1"/>
    </xf>
    <xf numFmtId="181" fontId="46" fillId="25" borderId="26" xfId="1" applyNumberFormat="1" applyFont="1" applyFill="1" applyBorder="1" applyAlignment="1">
      <alignment horizontal="left" vertical="top" wrapText="1"/>
    </xf>
    <xf numFmtId="0" fontId="46" fillId="25" borderId="24" xfId="0" applyFont="1" applyFill="1" applyBorder="1"/>
    <xf numFmtId="0" fontId="33" fillId="2" borderId="7" xfId="0" applyFont="1" applyFill="1" applyBorder="1" applyAlignment="1">
      <alignment horizontal="center" vertical="center"/>
    </xf>
    <xf numFmtId="169" fontId="6" fillId="17" borderId="24" xfId="0" applyNumberFormat="1" applyFont="1" applyFill="1" applyBorder="1" applyAlignment="1">
      <alignment horizontal="center" vertical="center"/>
    </xf>
    <xf numFmtId="170" fontId="6" fillId="17" borderId="10" xfId="0" applyNumberFormat="1" applyFont="1" applyFill="1" applyBorder="1" applyAlignment="1">
      <alignment horizontal="center" vertical="center"/>
    </xf>
    <xf numFmtId="170" fontId="6" fillId="17" borderId="24" xfId="0" applyNumberFormat="1" applyFont="1" applyFill="1" applyBorder="1" applyAlignment="1">
      <alignment horizontal="center" vertical="center" wrapText="1"/>
    </xf>
    <xf numFmtId="10" fontId="6" fillId="17" borderId="32" xfId="2" applyNumberFormat="1" applyFont="1" applyFill="1" applyBorder="1" applyAlignment="1">
      <alignment horizontal="center" vertical="center"/>
    </xf>
    <xf numFmtId="14" fontId="3" fillId="17" borderId="12" xfId="0" applyNumberFormat="1" applyFont="1" applyFill="1" applyBorder="1" applyAlignment="1">
      <alignment horizontal="center"/>
    </xf>
    <xf numFmtId="0" fontId="5" fillId="17" borderId="24" xfId="0" applyFont="1" applyFill="1" applyBorder="1" applyAlignment="1">
      <alignment horizontal="center" vertical="center" wrapText="1"/>
    </xf>
    <xf numFmtId="166" fontId="50" fillId="2" borderId="0" xfId="0" applyNumberFormat="1" applyFont="1" applyFill="1" applyBorder="1" applyAlignment="1">
      <alignment horizontal="center" vertical="center"/>
    </xf>
    <xf numFmtId="168" fontId="42" fillId="39" borderId="24" xfId="0" applyNumberFormat="1" applyFont="1" applyFill="1" applyBorder="1"/>
    <xf numFmtId="166" fontId="50" fillId="0" borderId="0" xfId="0" applyNumberFormat="1" applyFont="1" applyFill="1" applyBorder="1" applyAlignment="1">
      <alignment horizontal="center" vertical="center"/>
    </xf>
    <xf numFmtId="14" fontId="41" fillId="30" borderId="24" xfId="0" applyNumberFormat="1" applyFont="1" applyFill="1" applyBorder="1"/>
    <xf numFmtId="0" fontId="41" fillId="30" borderId="24" xfId="0" applyFont="1" applyFill="1" applyBorder="1" applyAlignment="1">
      <alignment horizontal="left" vertical="top" wrapText="1"/>
    </xf>
    <xf numFmtId="14" fontId="42" fillId="30" borderId="24" xfId="0" applyNumberFormat="1" applyFont="1" applyFill="1" applyBorder="1"/>
    <xf numFmtId="181" fontId="41" fillId="30" borderId="26" xfId="1" applyNumberFormat="1" applyFont="1" applyFill="1" applyBorder="1" applyAlignment="1">
      <alignment horizontal="left" vertical="top" wrapText="1"/>
    </xf>
    <xf numFmtId="0" fontId="41" fillId="30" borderId="24" xfId="0" applyFont="1" applyFill="1" applyBorder="1"/>
    <xf numFmtId="0" fontId="19" fillId="26" borderId="24" xfId="0" applyFont="1" applyFill="1" applyBorder="1" applyAlignment="1">
      <alignment horizontal="center" vertical="center"/>
    </xf>
    <xf numFmtId="2" fontId="16" fillId="12" borderId="24" xfId="4" applyNumberFormat="1" applyFont="1" applyFill="1" applyBorder="1" applyAlignment="1">
      <alignment horizontal="center" vertical="center" wrapText="1"/>
    </xf>
    <xf numFmtId="173" fontId="0" fillId="12" borderId="24" xfId="0" applyNumberFormat="1" applyFont="1" applyFill="1" applyBorder="1" applyAlignment="1">
      <alignment horizontal="center" vertical="center"/>
    </xf>
    <xf numFmtId="168" fontId="19" fillId="25" borderId="24" xfId="0" applyNumberFormat="1" applyFont="1" applyFill="1" applyBorder="1" applyAlignment="1">
      <alignment horizontal="center" vertical="center"/>
    </xf>
    <xf numFmtId="0" fontId="11" fillId="2" borderId="0" xfId="0" applyFont="1" applyFill="1" applyBorder="1" applyAlignment="1">
      <alignment horizontal="center" vertical="center"/>
    </xf>
    <xf numFmtId="14" fontId="46" fillId="2" borderId="24" xfId="0" applyNumberFormat="1" applyFont="1" applyFill="1" applyBorder="1"/>
    <xf numFmtId="2" fontId="46" fillId="2" borderId="24" xfId="0" applyNumberFormat="1" applyFont="1" applyFill="1" applyBorder="1" applyAlignment="1">
      <alignment horizontal="center" vertical="center" wrapText="1"/>
    </xf>
    <xf numFmtId="168" fontId="42" fillId="0" borderId="0" xfId="0" applyNumberFormat="1" applyFont="1" applyAlignment="1">
      <alignment horizontal="right"/>
    </xf>
    <xf numFmtId="0" fontId="41" fillId="0" borderId="24" xfId="0" applyFont="1" applyBorder="1" applyAlignment="1">
      <alignment horizontal="right" vertical="center"/>
    </xf>
    <xf numFmtId="14" fontId="41" fillId="2" borderId="24" xfId="0" applyNumberFormat="1" applyFont="1" applyFill="1" applyBorder="1" applyAlignment="1">
      <alignment vertical="center"/>
    </xf>
    <xf numFmtId="2" fontId="41" fillId="2" borderId="24" xfId="0" applyNumberFormat="1" applyFont="1" applyFill="1" applyBorder="1" applyAlignment="1">
      <alignment horizontal="right" vertical="center" wrapText="1"/>
    </xf>
    <xf numFmtId="0" fontId="19" fillId="25" borderId="24" xfId="0" applyFont="1" applyFill="1" applyBorder="1" applyAlignment="1">
      <alignment horizontal="center" vertical="center"/>
    </xf>
    <xf numFmtId="0" fontId="42" fillId="12" borderId="24" xfId="0" applyFont="1" applyFill="1" applyBorder="1" applyAlignment="1">
      <alignment horizontal="center"/>
    </xf>
    <xf numFmtId="0" fontId="42" fillId="12" borderId="24" xfId="0" applyFont="1" applyFill="1" applyBorder="1"/>
    <xf numFmtId="0" fontId="44" fillId="12" borderId="24" xfId="0" applyFont="1" applyFill="1" applyBorder="1" applyAlignment="1">
      <alignment horizontal="center" vertical="center"/>
    </xf>
    <xf numFmtId="0" fontId="28" fillId="12" borderId="24" xfId="0" applyFont="1" applyFill="1" applyBorder="1" applyAlignment="1">
      <alignment horizontal="center" vertical="center"/>
    </xf>
    <xf numFmtId="168" fontId="45" fillId="0" borderId="0" xfId="0" applyNumberFormat="1" applyFont="1" applyAlignment="1">
      <alignment horizontal="right" vertical="center"/>
    </xf>
    <xf numFmtId="0" fontId="46" fillId="2" borderId="24" xfId="0" applyFont="1" applyFill="1" applyBorder="1" applyAlignment="1">
      <alignment vertical="top" wrapText="1"/>
    </xf>
    <xf numFmtId="0" fontId="46" fillId="2" borderId="24" xfId="0" applyFont="1" applyFill="1" applyBorder="1" applyAlignment="1">
      <alignment horizontal="left" vertical="top" wrapText="1"/>
    </xf>
    <xf numFmtId="0" fontId="46" fillId="2" borderId="24" xfId="0" applyFont="1" applyFill="1" applyBorder="1" applyAlignment="1">
      <alignment horizontal="right"/>
    </xf>
    <xf numFmtId="0" fontId="41" fillId="26" borderId="24" xfId="0" applyFont="1" applyFill="1" applyBorder="1"/>
    <xf numFmtId="2" fontId="53" fillId="36" borderId="24" xfId="0" applyNumberFormat="1" applyFont="1" applyFill="1" applyBorder="1" applyAlignment="1">
      <alignment horizontal="center" vertical="center"/>
    </xf>
    <xf numFmtId="168" fontId="41" fillId="6" borderId="24" xfId="0" applyNumberFormat="1" applyFont="1" applyFill="1" applyBorder="1" applyAlignment="1">
      <alignment horizontal="center" vertical="top" wrapText="1"/>
    </xf>
    <xf numFmtId="0" fontId="19" fillId="40" borderId="24" xfId="0" applyFont="1" applyFill="1" applyBorder="1" applyAlignment="1">
      <alignment horizontal="center" vertical="center"/>
    </xf>
    <xf numFmtId="0" fontId="9" fillId="7" borderId="7" xfId="0" applyFont="1" applyFill="1" applyBorder="1" applyAlignment="1">
      <alignment horizontal="center" vertical="center" wrapText="1"/>
    </xf>
    <xf numFmtId="170" fontId="55" fillId="0" borderId="65" xfId="7" applyNumberFormat="1" applyFont="1" applyFill="1" applyBorder="1" applyAlignment="1" applyProtection="1">
      <alignment horizontal="center"/>
    </xf>
    <xf numFmtId="0" fontId="9" fillId="19" borderId="66" xfId="0" applyFont="1" applyFill="1" applyBorder="1" applyAlignment="1">
      <alignment horizontal="center" vertical="center" wrapText="1"/>
    </xf>
    <xf numFmtId="166" fontId="22" fillId="3" borderId="67" xfId="0" applyNumberFormat="1" applyFont="1" applyFill="1" applyBorder="1" applyAlignment="1">
      <alignment vertical="center"/>
    </xf>
    <xf numFmtId="166" fontId="22" fillId="3" borderId="68" xfId="0" applyNumberFormat="1" applyFont="1" applyFill="1" applyBorder="1" applyAlignment="1">
      <alignment vertical="center"/>
    </xf>
    <xf numFmtId="0" fontId="5" fillId="6" borderId="49" xfId="0" applyFont="1" applyFill="1" applyBorder="1" applyAlignment="1">
      <alignment horizontal="center" vertical="center"/>
    </xf>
    <xf numFmtId="169" fontId="6" fillId="6" borderId="49" xfId="0" applyNumberFormat="1" applyFont="1" applyFill="1" applyBorder="1" applyAlignment="1">
      <alignment horizontal="center" vertical="center"/>
    </xf>
    <xf numFmtId="170" fontId="6" fillId="6" borderId="10" xfId="0" applyNumberFormat="1" applyFont="1" applyFill="1" applyBorder="1" applyAlignment="1">
      <alignment horizontal="center" vertical="center"/>
    </xf>
    <xf numFmtId="171" fontId="6" fillId="6" borderId="49" xfId="0" applyNumberFormat="1" applyFont="1" applyFill="1" applyBorder="1" applyAlignment="1">
      <alignment horizontal="center" vertical="center"/>
    </xf>
    <xf numFmtId="10" fontId="6" fillId="6" borderId="52" xfId="3" applyNumberFormat="1" applyFont="1" applyFill="1" applyBorder="1" applyAlignment="1">
      <alignment horizontal="center"/>
    </xf>
    <xf numFmtId="14" fontId="3" fillId="6" borderId="13" xfId="0" applyNumberFormat="1" applyFont="1" applyFill="1" applyBorder="1" applyAlignment="1">
      <alignment horizontal="center"/>
    </xf>
    <xf numFmtId="0" fontId="56" fillId="5" borderId="24" xfId="10" applyFill="1" applyBorder="1" applyAlignment="1" applyProtection="1">
      <alignment horizontal="left" vertical="center" wrapText="1"/>
    </xf>
    <xf numFmtId="0" fontId="0" fillId="2" borderId="0" xfId="0" applyFont="1" applyFill="1" applyAlignment="1">
      <alignment horizontal="center" vertical="center"/>
    </xf>
    <xf numFmtId="0" fontId="56" fillId="20" borderId="24" xfId="10" applyFill="1" applyBorder="1" applyAlignment="1" applyProtection="1">
      <alignment horizontal="left" vertical="center" wrapText="1"/>
    </xf>
    <xf numFmtId="0" fontId="0" fillId="0" borderId="65" xfId="0" applyBorder="1" applyAlignment="1">
      <alignment horizontal="left"/>
    </xf>
    <xf numFmtId="0" fontId="0" fillId="0" borderId="66" xfId="0" applyBorder="1" applyAlignment="1">
      <alignment horizontal="left"/>
    </xf>
    <xf numFmtId="0" fontId="0" fillId="0" borderId="66" xfId="0" applyNumberFormat="1" applyBorder="1"/>
    <xf numFmtId="0" fontId="3" fillId="32" borderId="65" xfId="0" applyFont="1" applyFill="1" applyBorder="1" applyAlignment="1">
      <alignment horizontal="left"/>
    </xf>
    <xf numFmtId="0" fontId="3" fillId="32" borderId="65" xfId="0" applyNumberFormat="1" applyFont="1" applyFill="1" applyBorder="1"/>
    <xf numFmtId="2" fontId="0" fillId="0" borderId="65" xfId="0" applyNumberFormat="1" applyBorder="1" applyAlignment="1">
      <alignment horizontal="center" vertical="center"/>
    </xf>
    <xf numFmtId="172" fontId="19" fillId="18" borderId="24" xfId="0" applyNumberFormat="1" applyFont="1" applyFill="1" applyBorder="1" applyAlignment="1" applyProtection="1">
      <alignment horizontal="center" vertical="center"/>
    </xf>
    <xf numFmtId="0" fontId="57" fillId="11" borderId="37" xfId="5" applyFont="1" applyFill="1" applyBorder="1" applyAlignment="1">
      <alignment horizontal="right" wrapText="1"/>
    </xf>
    <xf numFmtId="168" fontId="2" fillId="17" borderId="37" xfId="0" applyNumberFormat="1" applyFont="1" applyFill="1" applyBorder="1" applyAlignment="1">
      <alignment horizontal="center" vertical="center"/>
    </xf>
    <xf numFmtId="167" fontId="59" fillId="11" borderId="24" xfId="0" applyNumberFormat="1" applyFont="1" applyFill="1" applyBorder="1" applyAlignment="1">
      <alignment horizontal="center" vertical="center" wrapText="1"/>
    </xf>
    <xf numFmtId="167" fontId="58" fillId="11" borderId="24" xfId="0" applyNumberFormat="1" applyFont="1" applyFill="1" applyBorder="1" applyAlignment="1">
      <alignment horizontal="center" vertical="center" wrapText="1"/>
    </xf>
    <xf numFmtId="0" fontId="19" fillId="0" borderId="65" xfId="0" applyFont="1" applyFill="1" applyBorder="1" applyAlignment="1">
      <alignment horizontal="center" vertical="center"/>
    </xf>
    <xf numFmtId="170" fontId="60" fillId="0" borderId="65" xfId="7" applyNumberFormat="1" applyFont="1" applyFill="1" applyBorder="1" applyAlignment="1" applyProtection="1">
      <alignment horizontal="center"/>
    </xf>
    <xf numFmtId="0" fontId="61" fillId="2" borderId="24" xfId="8" applyFont="1" applyFill="1" applyBorder="1" applyAlignment="1">
      <alignment horizontal="right" wrapText="1"/>
    </xf>
    <xf numFmtId="0" fontId="4" fillId="2" borderId="0" xfId="0" applyFont="1" applyFill="1" applyAlignment="1">
      <alignment vertical="center"/>
    </xf>
    <xf numFmtId="10" fontId="2" fillId="5" borderId="26" xfId="2" applyNumberFormat="1" applyFont="1" applyFill="1" applyBorder="1" applyAlignment="1">
      <alignment horizontal="center" vertical="center"/>
    </xf>
    <xf numFmtId="10" fontId="2" fillId="5" borderId="24" xfId="2"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22" fillId="19" borderId="58"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24"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5" borderId="24" xfId="0" applyFont="1" applyFill="1" applyBorder="1" applyAlignment="1">
      <alignment horizontal="center" vertical="center"/>
    </xf>
    <xf numFmtId="0" fontId="22" fillId="19" borderId="53"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19" fillId="0" borderId="66" xfId="0" applyFont="1" applyFill="1" applyBorder="1" applyAlignment="1">
      <alignment horizontal="center" vertical="center"/>
    </xf>
    <xf numFmtId="0" fontId="22" fillId="19" borderId="65" xfId="0" applyFont="1" applyFill="1" applyBorder="1" applyAlignment="1">
      <alignment horizontal="center" vertical="center" wrapText="1"/>
    </xf>
    <xf numFmtId="0" fontId="19" fillId="5" borderId="66" xfId="0" applyFont="1" applyFill="1" applyBorder="1" applyAlignment="1">
      <alignment horizontal="center" vertical="center"/>
    </xf>
    <xf numFmtId="0" fontId="19" fillId="12" borderId="49" xfId="0" applyFont="1" applyFill="1" applyBorder="1" applyAlignment="1">
      <alignment horizontal="center" vertical="center" wrapText="1"/>
    </xf>
    <xf numFmtId="0" fontId="19" fillId="12" borderId="24" xfId="0" applyFont="1" applyFill="1" applyBorder="1" applyAlignment="1">
      <alignment horizontal="center" vertical="center"/>
    </xf>
    <xf numFmtId="172" fontId="19" fillId="12" borderId="50" xfId="0" applyNumberFormat="1" applyFont="1" applyFill="1" applyBorder="1" applyAlignment="1" applyProtection="1">
      <alignment horizontal="center" vertical="center"/>
    </xf>
    <xf numFmtId="168" fontId="2" fillId="12" borderId="24" xfId="0" applyNumberFormat="1" applyFont="1" applyFill="1" applyBorder="1" applyAlignment="1">
      <alignment horizontal="center" vertical="center"/>
    </xf>
    <xf numFmtId="170" fontId="19" fillId="12" borderId="24" xfId="7" applyNumberFormat="1" applyFont="1" applyFill="1" applyBorder="1" applyAlignment="1" applyProtection="1">
      <alignment horizontal="center"/>
    </xf>
    <xf numFmtId="10" fontId="19" fillId="12" borderId="26" xfId="2" applyNumberFormat="1" applyFont="1" applyFill="1" applyBorder="1" applyAlignment="1">
      <alignment horizontal="center" vertical="center"/>
    </xf>
    <xf numFmtId="174" fontId="19" fillId="12" borderId="26" xfId="0" applyNumberFormat="1"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9" fillId="12" borderId="49" xfId="0" applyFont="1" applyFill="1" applyBorder="1" applyAlignment="1">
      <alignment horizontal="center" vertical="center"/>
    </xf>
    <xf numFmtId="172" fontId="19" fillId="12" borderId="53" xfId="0" applyNumberFormat="1" applyFont="1" applyFill="1" applyBorder="1" applyAlignment="1" applyProtection="1">
      <alignment horizontal="center" vertical="center"/>
    </xf>
    <xf numFmtId="172" fontId="19" fillId="12" borderId="49" xfId="0" applyNumberFormat="1" applyFont="1" applyFill="1" applyBorder="1" applyAlignment="1">
      <alignment horizontal="center" vertical="center"/>
    </xf>
    <xf numFmtId="10" fontId="19" fillId="12" borderId="58" xfId="2" applyNumberFormat="1" applyFont="1" applyFill="1" applyBorder="1" applyAlignment="1">
      <alignment horizontal="center" vertical="center"/>
    </xf>
    <xf numFmtId="0" fontId="22" fillId="41" borderId="24" xfId="0" applyFont="1" applyFill="1" applyBorder="1" applyAlignment="1">
      <alignment horizontal="center" vertical="center" wrapText="1"/>
    </xf>
    <xf numFmtId="0" fontId="22" fillId="41" borderId="26" xfId="0" applyFont="1" applyFill="1" applyBorder="1" applyAlignment="1">
      <alignment horizontal="center" vertical="center" wrapText="1"/>
    </xf>
    <xf numFmtId="174" fontId="22" fillId="19" borderId="26" xfId="0" applyNumberFormat="1" applyFont="1" applyFill="1" applyBorder="1" applyAlignment="1">
      <alignment horizontal="center" vertical="center" wrapText="1"/>
    </xf>
    <xf numFmtId="172" fontId="19" fillId="0" borderId="66" xfId="0" applyNumberFormat="1" applyFont="1" applyFill="1" applyBorder="1" applyAlignment="1" applyProtection="1">
      <alignment horizontal="center" vertical="center"/>
    </xf>
    <xf numFmtId="168" fontId="2" fillId="2" borderId="66" xfId="0" applyNumberFormat="1" applyFont="1" applyFill="1" applyBorder="1" applyAlignment="1">
      <alignment horizontal="center" vertical="center"/>
    </xf>
    <xf numFmtId="172" fontId="19" fillId="0" borderId="66" xfId="0" applyNumberFormat="1" applyFont="1" applyFill="1" applyBorder="1" applyAlignment="1">
      <alignment horizontal="center" vertical="center"/>
    </xf>
    <xf numFmtId="172" fontId="19" fillId="5" borderId="66" xfId="0" applyNumberFormat="1" applyFont="1" applyFill="1" applyBorder="1" applyAlignment="1">
      <alignment horizontal="center" vertical="center"/>
    </xf>
    <xf numFmtId="10" fontId="19" fillId="5" borderId="66" xfId="2" applyNumberFormat="1" applyFont="1" applyFill="1" applyBorder="1" applyAlignment="1">
      <alignment horizontal="center" vertical="center"/>
    </xf>
    <xf numFmtId="0" fontId="19" fillId="19" borderId="59" xfId="0" applyFont="1" applyFill="1" applyBorder="1" applyAlignment="1">
      <alignment horizontal="center" vertical="center" wrapText="1"/>
    </xf>
    <xf numFmtId="168" fontId="4" fillId="19" borderId="65" xfId="0" applyNumberFormat="1" applyFont="1" applyFill="1" applyBorder="1" applyAlignment="1">
      <alignment horizontal="center" vertical="center" wrapText="1"/>
    </xf>
    <xf numFmtId="168" fontId="22" fillId="19" borderId="66" xfId="0" applyNumberFormat="1" applyFont="1" applyFill="1" applyBorder="1" applyAlignment="1">
      <alignment horizontal="center" vertical="center" wrapText="1"/>
    </xf>
    <xf numFmtId="168" fontId="22" fillId="19" borderId="65" xfId="0" applyNumberFormat="1" applyFont="1" applyFill="1" applyBorder="1" applyAlignment="1">
      <alignment horizontal="center" vertical="center" wrapText="1"/>
    </xf>
    <xf numFmtId="168" fontId="22" fillId="19" borderId="26" xfId="0" applyNumberFormat="1" applyFont="1" applyFill="1" applyBorder="1" applyAlignment="1">
      <alignment horizontal="center" vertical="center" wrapText="1"/>
    </xf>
    <xf numFmtId="0" fontId="19" fillId="19" borderId="19" xfId="0" applyFont="1" applyFill="1" applyBorder="1" applyAlignment="1">
      <alignment horizontal="center" vertical="center" wrapText="1"/>
    </xf>
    <xf numFmtId="170" fontId="19" fillId="16" borderId="10" xfId="7" applyNumberFormat="1" applyFont="1" applyFill="1" applyBorder="1" applyAlignment="1" applyProtection="1">
      <alignment horizontal="center"/>
    </xf>
    <xf numFmtId="0" fontId="19" fillId="19" borderId="65" xfId="0" applyFont="1" applyFill="1" applyBorder="1" applyAlignment="1">
      <alignment horizontal="center" vertical="center" wrapText="1"/>
    </xf>
    <xf numFmtId="0" fontId="22" fillId="19" borderId="50" xfId="0" applyFont="1" applyFill="1" applyBorder="1" applyAlignment="1">
      <alignment horizontal="center" vertical="center" wrapText="1"/>
    </xf>
    <xf numFmtId="0" fontId="4" fillId="19" borderId="65" xfId="0" applyFont="1" applyFill="1" applyBorder="1" applyAlignment="1">
      <alignment horizontal="center" vertical="center" wrapText="1"/>
    </xf>
    <xf numFmtId="0" fontId="22" fillId="22" borderId="32" xfId="0" applyFont="1" applyFill="1" applyBorder="1" applyAlignment="1">
      <alignment horizontal="center" vertical="center" wrapText="1"/>
    </xf>
    <xf numFmtId="0" fontId="22" fillId="22" borderId="65" xfId="0" applyFont="1" applyFill="1" applyBorder="1" applyAlignment="1">
      <alignment horizontal="center" vertical="center" wrapText="1"/>
    </xf>
    <xf numFmtId="174" fontId="19" fillId="26" borderId="18" xfId="0" applyNumberFormat="1" applyFont="1" applyFill="1" applyBorder="1" applyAlignment="1">
      <alignment horizontal="center" vertical="center" wrapText="1"/>
    </xf>
    <xf numFmtId="0" fontId="19" fillId="5" borderId="10" xfId="0" applyFont="1" applyFill="1" applyBorder="1" applyAlignment="1">
      <alignment horizontal="center" wrapText="1"/>
    </xf>
    <xf numFmtId="0" fontId="19" fillId="5" borderId="49" xfId="0" applyFont="1" applyFill="1" applyBorder="1" applyAlignment="1">
      <alignment horizontal="center" vertical="center" wrapText="1"/>
    </xf>
    <xf numFmtId="172" fontId="19" fillId="4" borderId="24" xfId="0" applyNumberFormat="1" applyFont="1" applyFill="1" applyBorder="1" applyAlignment="1">
      <alignment horizontal="center" vertical="center"/>
    </xf>
    <xf numFmtId="0" fontId="36" fillId="12" borderId="24" xfId="0" applyFont="1" applyFill="1" applyBorder="1" applyAlignment="1">
      <alignment horizontal="center" vertical="center"/>
    </xf>
    <xf numFmtId="4" fontId="5" fillId="5" borderId="29" xfId="0" applyNumberFormat="1" applyFont="1" applyFill="1" applyBorder="1" applyAlignment="1">
      <alignment horizontal="center" vertical="center"/>
    </xf>
    <xf numFmtId="171" fontId="6" fillId="17" borderId="24" xfId="0" applyNumberFormat="1" applyFont="1" applyFill="1" applyBorder="1" applyAlignment="1">
      <alignment horizontal="center" vertical="center"/>
    </xf>
    <xf numFmtId="0" fontId="19" fillId="5" borderId="49" xfId="0" applyFont="1" applyFill="1" applyBorder="1" applyAlignment="1">
      <alignment horizontal="center" wrapText="1"/>
    </xf>
    <xf numFmtId="14" fontId="22" fillId="22" borderId="26" xfId="0" applyNumberFormat="1" applyFont="1" applyFill="1" applyBorder="1" applyAlignment="1">
      <alignment horizontal="center" vertical="center" wrapText="1"/>
    </xf>
    <xf numFmtId="168" fontId="2" fillId="2" borderId="24" xfId="6" applyNumberFormat="1" applyFont="1" applyFill="1" applyBorder="1" applyAlignment="1">
      <alignment horizontal="center"/>
    </xf>
    <xf numFmtId="0" fontId="0" fillId="0" borderId="65" xfId="0" applyFont="1" applyBorder="1"/>
    <xf numFmtId="174" fontId="22" fillId="22" borderId="26" xfId="0" applyNumberFormat="1" applyFont="1" applyFill="1" applyBorder="1" applyAlignment="1">
      <alignment horizontal="center" vertical="center" wrapText="1"/>
    </xf>
    <xf numFmtId="14" fontId="4" fillId="36" borderId="32" xfId="2" applyNumberFormat="1" applyFont="1" applyFill="1" applyBorder="1" applyAlignment="1">
      <alignment horizontal="center" vertical="center"/>
    </xf>
    <xf numFmtId="2" fontId="62" fillId="0" borderId="24" xfId="8" applyNumberFormat="1" applyFont="1" applyFill="1" applyBorder="1" applyAlignment="1">
      <alignment horizontal="center" wrapText="1"/>
    </xf>
    <xf numFmtId="10" fontId="2" fillId="2" borderId="47" xfId="2" applyNumberFormat="1" applyFont="1" applyFill="1" applyBorder="1" applyAlignment="1">
      <alignment horizontal="center" vertical="center"/>
    </xf>
    <xf numFmtId="168" fontId="22" fillId="19" borderId="24" xfId="0" applyNumberFormat="1" applyFont="1" applyFill="1" applyBorder="1" applyAlignment="1">
      <alignment horizontal="center" vertical="center" wrapText="1"/>
    </xf>
    <xf numFmtId="168" fontId="42" fillId="34" borderId="0" xfId="0" applyNumberFormat="1" applyFont="1" applyFill="1"/>
    <xf numFmtId="0" fontId="46" fillId="25" borderId="65" xfId="0" applyFont="1" applyFill="1" applyBorder="1"/>
    <xf numFmtId="0" fontId="41" fillId="2" borderId="26" xfId="0" applyFont="1" applyFill="1" applyBorder="1" applyAlignment="1">
      <alignment horizontal="center" vertical="top" wrapText="1"/>
    </xf>
    <xf numFmtId="0" fontId="41" fillId="30" borderId="26" xfId="0" applyFont="1" applyFill="1" applyBorder="1" applyAlignment="1">
      <alignment horizontal="center" vertical="top" wrapText="1"/>
    </xf>
    <xf numFmtId="0" fontId="46" fillId="25" borderId="26" xfId="0" applyFont="1" applyFill="1" applyBorder="1" applyAlignment="1">
      <alignment horizontal="center" vertical="top" wrapText="1"/>
    </xf>
    <xf numFmtId="0" fontId="0" fillId="34" borderId="0" xfId="0" applyFont="1" applyFill="1" applyAlignment="1">
      <alignment vertical="center"/>
    </xf>
    <xf numFmtId="168" fontId="19" fillId="2" borderId="24" xfId="0" applyNumberFormat="1" applyFont="1" applyFill="1" applyBorder="1" applyAlignment="1">
      <alignment horizontal="center" vertical="center"/>
    </xf>
    <xf numFmtId="168" fontId="0" fillId="0" borderId="7" xfId="0" applyNumberFormat="1" applyFont="1" applyBorder="1" applyAlignment="1">
      <alignment horizontal="center" vertical="center"/>
    </xf>
    <xf numFmtId="0" fontId="0" fillId="2" borderId="7" xfId="0" applyFont="1" applyFill="1" applyBorder="1" applyAlignment="1">
      <alignment horizontal="center" vertical="center"/>
    </xf>
    <xf numFmtId="168" fontId="19" fillId="2" borderId="7" xfId="0" applyNumberFormat="1" applyFont="1" applyFill="1" applyBorder="1" applyAlignment="1">
      <alignment horizontal="center" vertical="center"/>
    </xf>
    <xf numFmtId="0" fontId="0" fillId="10" borderId="7" xfId="0" applyFont="1" applyFill="1" applyBorder="1" applyAlignment="1">
      <alignment horizontal="center" vertical="center"/>
    </xf>
    <xf numFmtId="168" fontId="4" fillId="2" borderId="7" xfId="0" applyNumberFormat="1" applyFont="1" applyFill="1" applyBorder="1" applyAlignment="1">
      <alignment horizontal="center" vertical="center"/>
    </xf>
    <xf numFmtId="168" fontId="0" fillId="2" borderId="7" xfId="0" applyNumberFormat="1" applyFont="1" applyFill="1" applyBorder="1" applyAlignment="1">
      <alignment horizontal="center" vertical="center"/>
    </xf>
    <xf numFmtId="168" fontId="0" fillId="10" borderId="7" xfId="0" applyNumberFormat="1" applyFont="1" applyFill="1" applyBorder="1" applyAlignment="1">
      <alignment horizontal="center" vertical="center"/>
    </xf>
    <xf numFmtId="168" fontId="2" fillId="10" borderId="7" xfId="0" applyNumberFormat="1" applyFont="1" applyFill="1" applyBorder="1" applyAlignment="1">
      <alignment horizontal="center" vertical="center"/>
    </xf>
    <xf numFmtId="0" fontId="0" fillId="10" borderId="7" xfId="0" applyFont="1" applyFill="1" applyBorder="1" applyAlignment="1">
      <alignment horizontal="center"/>
    </xf>
    <xf numFmtId="168" fontId="0" fillId="30" borderId="7" xfId="0" applyNumberFormat="1" applyFont="1" applyFill="1" applyBorder="1" applyAlignment="1">
      <alignment horizontal="center" vertical="center"/>
    </xf>
    <xf numFmtId="0" fontId="0" fillId="30" borderId="7" xfId="0" applyFont="1" applyFill="1" applyBorder="1" applyAlignment="1">
      <alignment horizontal="center" vertical="center"/>
    </xf>
    <xf numFmtId="0" fontId="0" fillId="30" borderId="7" xfId="0" applyFont="1" applyFill="1" applyBorder="1" applyAlignment="1">
      <alignment horizontal="center"/>
    </xf>
    <xf numFmtId="178" fontId="2" fillId="15" borderId="24" xfId="0" applyNumberFormat="1" applyFont="1" applyFill="1" applyBorder="1" applyAlignment="1">
      <alignment horizontal="center" vertical="center"/>
    </xf>
    <xf numFmtId="170" fontId="0" fillId="0" borderId="0" xfId="0" applyNumberFormat="1" applyFont="1"/>
    <xf numFmtId="0" fontId="41" fillId="0" borderId="65" xfId="0" applyFont="1" applyBorder="1" applyAlignment="1">
      <alignment horizontal="right" vertical="center"/>
    </xf>
    <xf numFmtId="14" fontId="41" fillId="2" borderId="65" xfId="0" applyNumberFormat="1" applyFont="1" applyFill="1" applyBorder="1" applyAlignment="1">
      <alignment vertical="center"/>
    </xf>
    <xf numFmtId="2" fontId="41" fillId="2" borderId="65" xfId="0" applyNumberFormat="1" applyFont="1" applyFill="1" applyBorder="1" applyAlignment="1">
      <alignment horizontal="right" vertical="center" wrapText="1"/>
    </xf>
    <xf numFmtId="0" fontId="16" fillId="40" borderId="21" xfId="5" applyFont="1" applyFill="1" applyBorder="1" applyAlignment="1">
      <alignment horizontal="right" wrapText="1"/>
    </xf>
    <xf numFmtId="0" fontId="16" fillId="42" borderId="37" xfId="5" applyFont="1" applyFill="1" applyBorder="1" applyAlignment="1">
      <alignment horizontal="right"/>
    </xf>
    <xf numFmtId="0" fontId="16" fillId="40" borderId="37" xfId="5" applyFont="1" applyFill="1" applyBorder="1" applyAlignment="1">
      <alignment horizontal="right" wrapText="1"/>
    </xf>
    <xf numFmtId="0" fontId="16" fillId="40" borderId="48" xfId="5" applyFont="1" applyFill="1" applyBorder="1" applyAlignment="1">
      <alignment horizontal="right" wrapText="1"/>
    </xf>
    <xf numFmtId="0" fontId="16" fillId="42" borderId="49" xfId="5" applyFont="1" applyFill="1" applyBorder="1" applyAlignment="1">
      <alignment horizontal="right"/>
    </xf>
    <xf numFmtId="0" fontId="16" fillId="40" borderId="49" xfId="5" applyFont="1" applyFill="1" applyBorder="1" applyAlignment="1">
      <alignment horizontal="right" wrapText="1"/>
    </xf>
    <xf numFmtId="2" fontId="41" fillId="40" borderId="65" xfId="0" applyNumberFormat="1" applyFont="1" applyFill="1" applyBorder="1" applyAlignment="1">
      <alignment horizontal="right" vertical="center" wrapText="1"/>
    </xf>
    <xf numFmtId="168" fontId="19" fillId="40" borderId="24" xfId="0" applyNumberFormat="1" applyFont="1" applyFill="1" applyBorder="1" applyAlignment="1">
      <alignment horizontal="center" vertical="center"/>
    </xf>
    <xf numFmtId="170" fontId="63" fillId="0" borderId="69" xfId="7" applyNumberFormat="1" applyFont="1" applyFill="1" applyBorder="1" applyAlignment="1" applyProtection="1">
      <alignment horizontal="center"/>
    </xf>
    <xf numFmtId="1" fontId="64" fillId="2" borderId="0" xfId="0" applyNumberFormat="1" applyFont="1" applyFill="1" applyBorder="1" applyAlignment="1">
      <alignment horizontal="center" vertical="center" wrapText="1"/>
    </xf>
    <xf numFmtId="0" fontId="64" fillId="2" borderId="0" xfId="0" applyFont="1" applyFill="1"/>
    <xf numFmtId="168" fontId="59" fillId="2" borderId="24" xfId="0" applyNumberFormat="1" applyFont="1" applyFill="1" applyBorder="1" applyAlignment="1">
      <alignment horizontal="center" vertical="center"/>
    </xf>
    <xf numFmtId="0" fontId="42" fillId="2" borderId="0" xfId="0" applyFont="1" applyFill="1" applyBorder="1" applyAlignment="1">
      <alignment horizontal="center"/>
    </xf>
    <xf numFmtId="14" fontId="42" fillId="2" borderId="0" xfId="0" applyNumberFormat="1" applyFont="1" applyFill="1" applyBorder="1"/>
    <xf numFmtId="0" fontId="46" fillId="2" borderId="0" xfId="0" applyFont="1" applyFill="1" applyBorder="1" applyAlignment="1">
      <alignment horizontal="left" vertical="top" wrapText="1"/>
    </xf>
    <xf numFmtId="0" fontId="42" fillId="2" borderId="0" xfId="0" applyFont="1" applyFill="1" applyBorder="1" applyAlignment="1">
      <alignment horizontal="right"/>
    </xf>
    <xf numFmtId="0" fontId="46" fillId="2" borderId="0" xfId="0" applyFont="1" applyFill="1" applyBorder="1"/>
    <xf numFmtId="0" fontId="19" fillId="2" borderId="0" xfId="0" applyFont="1" applyFill="1" applyBorder="1" applyAlignment="1">
      <alignment horizontal="center" vertical="center"/>
    </xf>
    <xf numFmtId="0" fontId="42" fillId="2" borderId="0" xfId="0" applyFont="1" applyFill="1"/>
    <xf numFmtId="0" fontId="19" fillId="5" borderId="49" xfId="0" applyFont="1" applyFill="1" applyBorder="1" applyAlignment="1">
      <alignment horizontal="center" vertical="center" wrapText="1"/>
    </xf>
    <xf numFmtId="0" fontId="38" fillId="20" borderId="24" xfId="8" applyFont="1" applyFill="1" applyBorder="1" applyAlignment="1">
      <alignment wrapText="1"/>
    </xf>
    <xf numFmtId="0" fontId="38" fillId="20" borderId="24" xfId="8" applyFont="1" applyFill="1" applyBorder="1" applyAlignment="1">
      <alignment horizontal="right" wrapText="1"/>
    </xf>
    <xf numFmtId="0" fontId="61" fillId="20" borderId="24" xfId="8" applyFont="1" applyFill="1" applyBorder="1" applyAlignment="1">
      <alignment horizontal="right" wrapText="1"/>
    </xf>
    <xf numFmtId="0" fontId="38" fillId="2" borderId="24" xfId="8" applyFont="1" applyFill="1" applyBorder="1" applyAlignment="1">
      <alignment wrapText="1"/>
    </xf>
    <xf numFmtId="0" fontId="38" fillId="2" borderId="24" xfId="8" applyFont="1" applyFill="1" applyBorder="1" applyAlignment="1">
      <alignment horizontal="right" wrapText="1"/>
    </xf>
    <xf numFmtId="2" fontId="0" fillId="2" borderId="65" xfId="0" applyNumberFormat="1" applyFill="1" applyBorder="1" applyAlignment="1">
      <alignment horizontal="center" vertical="center"/>
    </xf>
    <xf numFmtId="14" fontId="17" fillId="0" borderId="0" xfId="0" applyNumberFormat="1" applyFont="1" applyFill="1" applyBorder="1" applyAlignment="1">
      <alignment horizontal="center" vertical="center"/>
    </xf>
    <xf numFmtId="14" fontId="30" fillId="0" borderId="0" xfId="0" applyNumberFormat="1" applyFont="1" applyFill="1" applyBorder="1" applyAlignment="1">
      <alignment horizontal="center" vertical="center"/>
    </xf>
    <xf numFmtId="14" fontId="65" fillId="9" borderId="16" xfId="0" applyNumberFormat="1" applyFont="1" applyFill="1" applyBorder="1" applyAlignment="1">
      <alignment horizontal="center" vertical="center" wrapText="1"/>
    </xf>
    <xf numFmtId="174" fontId="11" fillId="9" borderId="47" xfId="2" applyNumberFormat="1" applyFont="1" applyFill="1" applyBorder="1" applyAlignment="1">
      <alignment horizontal="center" vertical="center" wrapText="1"/>
    </xf>
    <xf numFmtId="174" fontId="12" fillId="34" borderId="47" xfId="2" applyNumberFormat="1" applyFont="1" applyFill="1" applyBorder="1" applyAlignment="1">
      <alignment horizontal="center" vertical="center" wrapText="1"/>
    </xf>
    <xf numFmtId="174" fontId="12" fillId="2" borderId="47" xfId="2" applyNumberFormat="1" applyFont="1" applyFill="1" applyBorder="1" applyAlignment="1">
      <alignment horizontal="center" vertical="center" wrapText="1"/>
    </xf>
    <xf numFmtId="174" fontId="11" fillId="0" borderId="54" xfId="2" applyNumberFormat="1" applyFont="1" applyFill="1" applyBorder="1" applyAlignment="1">
      <alignment horizontal="center" vertical="center" wrapText="1"/>
    </xf>
    <xf numFmtId="174" fontId="12" fillId="5" borderId="47" xfId="2" applyNumberFormat="1" applyFont="1" applyFill="1" applyBorder="1" applyAlignment="1">
      <alignment horizontal="center" vertical="center" wrapText="1"/>
    </xf>
    <xf numFmtId="174" fontId="11" fillId="16" borderId="54" xfId="2" applyNumberFormat="1" applyFont="1" applyFill="1" applyBorder="1" applyAlignment="1">
      <alignment horizontal="center" vertical="center" wrapText="1"/>
    </xf>
    <xf numFmtId="14" fontId="11" fillId="40" borderId="47" xfId="2" applyNumberFormat="1" applyFont="1" applyFill="1" applyBorder="1" applyAlignment="1">
      <alignment horizontal="center" vertical="center" wrapText="1"/>
    </xf>
    <xf numFmtId="14" fontId="11" fillId="9" borderId="47" xfId="2" applyNumberFormat="1" applyFont="1" applyFill="1" applyBorder="1" applyAlignment="1">
      <alignment horizontal="center" vertical="center" wrapText="1"/>
    </xf>
    <xf numFmtId="174" fontId="12" fillId="6" borderId="47" xfId="2" applyNumberFormat="1" applyFont="1" applyFill="1" applyBorder="1" applyAlignment="1">
      <alignment horizontal="center" vertical="center" wrapText="1"/>
    </xf>
    <xf numFmtId="174" fontId="11" fillId="36" borderId="54" xfId="2" applyNumberFormat="1" applyFont="1" applyFill="1" applyBorder="1" applyAlignment="1">
      <alignment horizontal="center" vertical="center" wrapText="1"/>
    </xf>
    <xf numFmtId="174" fontId="49" fillId="0" borderId="54" xfId="2" applyNumberFormat="1" applyFont="1" applyFill="1" applyBorder="1" applyAlignment="1">
      <alignment horizontal="center" vertical="center" wrapText="1"/>
    </xf>
    <xf numFmtId="174" fontId="12" fillId="25" borderId="47" xfId="2" applyNumberFormat="1" applyFont="1" applyFill="1" applyBorder="1" applyAlignment="1">
      <alignment horizontal="center" vertical="center" wrapText="1"/>
    </xf>
    <xf numFmtId="174" fontId="12" fillId="25" borderId="54" xfId="2" applyNumberFormat="1" applyFont="1" applyFill="1" applyBorder="1" applyAlignment="1">
      <alignment horizontal="center" vertical="center" wrapText="1"/>
    </xf>
    <xf numFmtId="14" fontId="11" fillId="9" borderId="62" xfId="2" applyNumberFormat="1" applyFont="1" applyFill="1" applyBorder="1" applyAlignment="1">
      <alignment horizontal="center" vertical="center" wrapText="1"/>
    </xf>
    <xf numFmtId="14" fontId="11" fillId="9" borderId="34" xfId="2" applyNumberFormat="1" applyFont="1" applyFill="1" applyBorder="1" applyAlignment="1">
      <alignment horizontal="center" vertical="center" wrapText="1"/>
    </xf>
    <xf numFmtId="166" fontId="17"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0" fontId="11" fillId="14" borderId="22"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0" fillId="0" borderId="38" xfId="0" applyFont="1" applyFill="1" applyBorder="1" applyAlignment="1">
      <alignment horizontal="center" vertical="center"/>
    </xf>
    <xf numFmtId="172"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172" fontId="0" fillId="2" borderId="38" xfId="0" applyNumberFormat="1" applyFont="1" applyFill="1" applyBorder="1" applyAlignment="1">
      <alignment horizontal="center" vertical="center"/>
    </xf>
    <xf numFmtId="0" fontId="0" fillId="2" borderId="39" xfId="0" applyFont="1" applyFill="1" applyBorder="1" applyAlignment="1">
      <alignment horizontal="center" vertical="center"/>
    </xf>
    <xf numFmtId="175" fontId="1" fillId="0" borderId="24" xfId="2" applyNumberFormat="1" applyFont="1" applyFill="1" applyBorder="1" applyAlignment="1">
      <alignment horizontal="center" vertical="center"/>
    </xf>
    <xf numFmtId="9" fontId="1" fillId="0" borderId="0" xfId="2" applyFont="1" applyFill="1" applyAlignment="1">
      <alignment vertical="center"/>
    </xf>
    <xf numFmtId="175" fontId="1" fillId="0" borderId="0" xfId="2" applyNumberFormat="1" applyFont="1" applyFill="1" applyAlignment="1">
      <alignment vertical="center"/>
    </xf>
    <xf numFmtId="0" fontId="19" fillId="5" borderId="49" xfId="0" applyFont="1" applyFill="1" applyBorder="1" applyAlignment="1">
      <alignment horizontal="center" vertical="center" wrapText="1"/>
    </xf>
    <xf numFmtId="0" fontId="0" fillId="43" borderId="0" xfId="0" applyFont="1" applyFill="1"/>
    <xf numFmtId="170" fontId="0" fillId="43" borderId="0" xfId="0" applyNumberFormat="1" applyFont="1" applyFill="1"/>
    <xf numFmtId="14" fontId="22" fillId="29" borderId="26" xfId="0" applyNumberFormat="1" applyFont="1" applyFill="1" applyBorder="1" applyAlignment="1">
      <alignment horizontal="center" vertical="center" wrapText="1"/>
    </xf>
    <xf numFmtId="0" fontId="19" fillId="5" borderId="49" xfId="0" applyFont="1" applyFill="1" applyBorder="1" applyAlignment="1">
      <alignment horizontal="center" vertical="center" wrapText="1"/>
    </xf>
    <xf numFmtId="1" fontId="64" fillId="2" borderId="0" xfId="0" applyNumberFormat="1" applyFont="1" applyFill="1" applyBorder="1" applyAlignment="1">
      <alignment horizontal="center" vertical="center" wrapText="1"/>
    </xf>
    <xf numFmtId="0" fontId="3" fillId="44" borderId="24" xfId="0" applyNumberFormat="1" applyFont="1" applyFill="1" applyBorder="1"/>
    <xf numFmtId="1" fontId="64" fillId="2" borderId="0" xfId="0" applyNumberFormat="1" applyFont="1" applyFill="1" applyBorder="1" applyAlignment="1">
      <alignment horizontal="center" vertical="center" wrapText="1"/>
    </xf>
    <xf numFmtId="172" fontId="22" fillId="9" borderId="24" xfId="0" applyNumberFormat="1" applyFont="1" applyFill="1" applyBorder="1" applyAlignment="1">
      <alignment horizontal="center" vertical="center"/>
    </xf>
    <xf numFmtId="168" fontId="5" fillId="11" borderId="24" xfId="0" applyNumberFormat="1" applyFont="1" applyFill="1" applyBorder="1" applyAlignment="1">
      <alignment horizontal="center" vertical="center"/>
    </xf>
    <xf numFmtId="168" fontId="5" fillId="11" borderId="24" xfId="0" applyNumberFormat="1" applyFont="1" applyFill="1" applyBorder="1" applyAlignment="1">
      <alignment horizontal="center" vertical="center" wrapText="1"/>
    </xf>
    <xf numFmtId="0" fontId="0" fillId="2" borderId="0" xfId="0" applyFill="1" applyBorder="1"/>
    <xf numFmtId="182" fontId="0" fillId="2" borderId="0" xfId="0" applyNumberFormat="1" applyFill="1" applyBorder="1"/>
    <xf numFmtId="41" fontId="0" fillId="2" borderId="0" xfId="9" applyNumberFormat="1" applyFont="1" applyFill="1" applyBorder="1"/>
    <xf numFmtId="0" fontId="41" fillId="2" borderId="0" xfId="0" applyFont="1" applyFill="1" applyBorder="1" applyAlignment="1">
      <alignment horizontal="left" vertical="top" wrapText="1"/>
    </xf>
    <xf numFmtId="183" fontId="0" fillId="2" borderId="0" xfId="0" applyNumberFormat="1" applyFill="1" applyBorder="1"/>
    <xf numFmtId="183" fontId="0" fillId="2" borderId="0" xfId="9" applyNumberFormat="1" applyFont="1" applyFill="1" applyBorder="1"/>
    <xf numFmtId="168" fontId="48" fillId="2" borderId="0" xfId="0" applyNumberFormat="1" applyFont="1" applyFill="1" applyBorder="1" applyAlignment="1">
      <alignment horizontal="center" vertical="center"/>
    </xf>
    <xf numFmtId="0" fontId="49" fillId="2" borderId="0" xfId="0" applyFont="1" applyFill="1" applyBorder="1"/>
    <xf numFmtId="184" fontId="49" fillId="2" borderId="0" xfId="9" applyNumberFormat="1" applyFont="1" applyFill="1" applyBorder="1"/>
    <xf numFmtId="184" fontId="0" fillId="2" borderId="0" xfId="9" applyNumberFormat="1" applyFont="1" applyFill="1" applyBorder="1"/>
    <xf numFmtId="185" fontId="0" fillId="2" borderId="0" xfId="0" applyNumberFormat="1" applyFill="1" applyBorder="1"/>
    <xf numFmtId="186" fontId="0" fillId="2" borderId="0" xfId="0" applyNumberFormat="1" applyFill="1" applyBorder="1"/>
    <xf numFmtId="176" fontId="0" fillId="2" borderId="0" xfId="0" applyNumberFormat="1" applyFill="1" applyBorder="1"/>
    <xf numFmtId="0" fontId="5" fillId="6" borderId="24" xfId="0" applyFont="1" applyFill="1" applyBorder="1" applyAlignment="1">
      <alignment horizontal="left" vertical="center" wrapText="1"/>
    </xf>
    <xf numFmtId="4" fontId="0" fillId="0" borderId="0" xfId="0" applyNumberFormat="1" applyFont="1" applyFill="1"/>
    <xf numFmtId="0" fontId="3" fillId="44" borderId="65" xfId="0" applyNumberFormat="1" applyFont="1" applyFill="1" applyBorder="1"/>
    <xf numFmtId="0" fontId="19" fillId="2" borderId="65" xfId="0" applyFont="1" applyFill="1" applyBorder="1" applyAlignment="1">
      <alignment vertical="center"/>
    </xf>
    <xf numFmtId="2" fontId="19" fillId="2" borderId="65" xfId="0" applyNumberFormat="1" applyFont="1" applyFill="1" applyBorder="1" applyAlignment="1">
      <alignment vertical="center"/>
    </xf>
    <xf numFmtId="2" fontId="0" fillId="10" borderId="7" xfId="0" applyNumberFormat="1" applyFont="1" applyFill="1" applyBorder="1" applyAlignment="1">
      <alignment horizontal="center" vertical="center"/>
    </xf>
    <xf numFmtId="0" fontId="67" fillId="2" borderId="0" xfId="0" applyFont="1" applyFill="1"/>
    <xf numFmtId="2" fontId="67" fillId="2" borderId="0" xfId="0" applyNumberFormat="1" applyFont="1" applyFill="1"/>
    <xf numFmtId="4" fontId="67" fillId="2" borderId="0" xfId="0" applyNumberFormat="1" applyFont="1" applyFill="1"/>
    <xf numFmtId="0" fontId="0" fillId="0" borderId="10" xfId="0" applyNumberFormat="1" applyBorder="1"/>
    <xf numFmtId="0" fontId="0" fillId="0" borderId="65" xfId="0" applyNumberFormat="1" applyBorder="1"/>
    <xf numFmtId="0" fontId="0" fillId="6" borderId="65" xfId="0" applyNumberFormat="1" applyFill="1" applyBorder="1"/>
    <xf numFmtId="173" fontId="2" fillId="4" borderId="24" xfId="0" applyNumberFormat="1" applyFont="1" applyFill="1" applyBorder="1" applyAlignment="1">
      <alignment horizontal="center" vertical="center"/>
    </xf>
    <xf numFmtId="174" fontId="4" fillId="45" borderId="32" xfId="2" applyNumberFormat="1" applyFont="1" applyFill="1" applyBorder="1" applyAlignment="1">
      <alignment horizontal="center" vertical="center"/>
    </xf>
    <xf numFmtId="0" fontId="31" fillId="45" borderId="24" xfId="4" applyFont="1" applyFill="1" applyBorder="1" applyAlignment="1">
      <alignment horizontal="right" wrapText="1"/>
    </xf>
    <xf numFmtId="0" fontId="19" fillId="45" borderId="24" xfId="0" applyFont="1" applyFill="1" applyBorder="1" applyAlignment="1">
      <alignment horizontal="center"/>
    </xf>
    <xf numFmtId="178" fontId="41" fillId="2" borderId="24" xfId="0" applyNumberFormat="1" applyFont="1" applyFill="1" applyBorder="1" applyAlignment="1">
      <alignment horizontal="right" vertical="center" wrapText="1"/>
    </xf>
    <xf numFmtId="2" fontId="42" fillId="0" borderId="0" xfId="0" applyNumberFormat="1" applyFont="1" applyAlignment="1">
      <alignment horizontal="right"/>
    </xf>
    <xf numFmtId="0" fontId="19" fillId="0" borderId="0" xfId="0" applyFont="1" applyAlignment="1">
      <alignment horizontal="right"/>
    </xf>
    <xf numFmtId="168" fontId="2" fillId="45" borderId="0" xfId="0" applyNumberFormat="1" applyFont="1" applyFill="1"/>
    <xf numFmtId="0" fontId="49" fillId="34" borderId="7" xfId="0" applyFont="1" applyFill="1" applyBorder="1" applyAlignment="1">
      <alignment horizontal="center" vertical="center"/>
    </xf>
    <xf numFmtId="0" fontId="0" fillId="2" borderId="24" xfId="0" applyNumberFormat="1" applyFill="1" applyBorder="1"/>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166" fontId="22" fillId="3" borderId="4" xfId="0" applyNumberFormat="1" applyFont="1" applyFill="1" applyBorder="1" applyAlignment="1">
      <alignment horizontal="center" vertical="center"/>
    </xf>
    <xf numFmtId="166" fontId="22" fillId="3" borderId="5" xfId="0" applyNumberFormat="1" applyFont="1" applyFill="1" applyBorder="1" applyAlignment="1">
      <alignment horizontal="center" vertical="center"/>
    </xf>
    <xf numFmtId="166" fontId="22" fillId="3" borderId="6" xfId="0" applyNumberFormat="1" applyFont="1" applyFill="1" applyBorder="1" applyAlignment="1">
      <alignment horizontal="center" vertical="center"/>
    </xf>
    <xf numFmtId="167" fontId="5" fillId="11" borderId="48" xfId="0" applyNumberFormat="1" applyFont="1" applyFill="1" applyBorder="1" applyAlignment="1">
      <alignment horizontal="center" vertical="center" wrapText="1"/>
    </xf>
    <xf numFmtId="167" fontId="5" fillId="11" borderId="51" xfId="0" applyNumberFormat="1" applyFont="1" applyFill="1" applyBorder="1" applyAlignment="1">
      <alignment horizontal="center" vertical="center" wrapText="1"/>
    </xf>
    <xf numFmtId="167" fontId="5" fillId="11" borderId="39" xfId="0" applyNumberFormat="1" applyFont="1" applyFill="1" applyBorder="1" applyAlignment="1">
      <alignment horizontal="center" vertical="center" wrapText="1"/>
    </xf>
    <xf numFmtId="167" fontId="5" fillId="20" borderId="48" xfId="0" applyNumberFormat="1" applyFont="1" applyFill="1" applyBorder="1" applyAlignment="1">
      <alignment horizontal="center" vertical="center" wrapText="1"/>
    </xf>
    <xf numFmtId="167" fontId="5" fillId="20" borderId="51" xfId="0" applyNumberFormat="1" applyFont="1" applyFill="1" applyBorder="1" applyAlignment="1">
      <alignment horizontal="center" vertical="center" wrapText="1"/>
    </xf>
    <xf numFmtId="167" fontId="5" fillId="20" borderId="39" xfId="0" applyNumberFormat="1" applyFont="1" applyFill="1" applyBorder="1" applyAlignment="1">
      <alignment horizontal="center" vertical="center" wrapText="1"/>
    </xf>
    <xf numFmtId="167" fontId="5" fillId="5" borderId="64" xfId="0" applyNumberFormat="1" applyFont="1" applyFill="1" applyBorder="1" applyAlignment="1">
      <alignment horizontal="left" vertical="center" wrapText="1"/>
    </xf>
    <xf numFmtId="167" fontId="5" fillId="5" borderId="50" xfId="0" applyNumberFormat="1" applyFont="1" applyFill="1" applyBorder="1" applyAlignment="1">
      <alignment horizontal="left" vertical="center" wrapText="1"/>
    </xf>
    <xf numFmtId="167" fontId="5" fillId="5" borderId="28" xfId="0" applyNumberFormat="1" applyFont="1" applyFill="1" applyBorder="1" applyAlignment="1">
      <alignment horizontal="center" vertical="center" wrapText="1"/>
    </xf>
    <xf numFmtId="167" fontId="5" fillId="5" borderId="29"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48" xfId="0" applyFont="1" applyFill="1" applyBorder="1" applyAlignment="1">
      <alignment horizontal="center" vertical="center" wrapText="1"/>
    </xf>
    <xf numFmtId="166" fontId="3" fillId="6" borderId="1" xfId="0" applyNumberFormat="1" applyFont="1" applyFill="1" applyBorder="1" applyAlignment="1">
      <alignment horizontal="center" vertical="center"/>
    </xf>
    <xf numFmtId="166" fontId="3" fillId="6" borderId="2" xfId="0" applyNumberFormat="1" applyFont="1" applyFill="1" applyBorder="1" applyAlignment="1">
      <alignment horizontal="center" vertical="center"/>
    </xf>
    <xf numFmtId="166" fontId="3" fillId="6" borderId="3" xfId="0" applyNumberFormat="1" applyFont="1" applyFill="1" applyBorder="1" applyAlignment="1">
      <alignment horizontal="center" vertical="center"/>
    </xf>
    <xf numFmtId="166" fontId="3" fillId="6" borderId="4" xfId="0" applyNumberFormat="1" applyFont="1" applyFill="1" applyBorder="1" applyAlignment="1">
      <alignment horizontal="center" vertical="center"/>
    </xf>
    <xf numFmtId="166" fontId="3" fillId="6" borderId="5" xfId="0" applyNumberFormat="1" applyFont="1" applyFill="1" applyBorder="1" applyAlignment="1">
      <alignment horizontal="center" vertical="center"/>
    </xf>
    <xf numFmtId="166" fontId="3" fillId="6" borderId="6" xfId="0" applyNumberFormat="1" applyFont="1" applyFill="1" applyBorder="1" applyAlignment="1">
      <alignment horizontal="center" vertical="center"/>
    </xf>
    <xf numFmtId="3" fontId="5" fillId="5" borderId="21" xfId="0" applyNumberFormat="1" applyFont="1" applyFill="1" applyBorder="1" applyAlignment="1">
      <alignment horizontal="center" vertical="center" wrapText="1"/>
    </xf>
    <xf numFmtId="3" fontId="5" fillId="5" borderId="23" xfId="0" applyNumberFormat="1" applyFont="1" applyFill="1" applyBorder="1" applyAlignment="1">
      <alignment horizontal="center" vertical="center" wrapText="1"/>
    </xf>
    <xf numFmtId="3" fontId="5" fillId="5" borderId="37" xfId="0" applyNumberFormat="1" applyFont="1" applyFill="1" applyBorder="1" applyAlignment="1">
      <alignment horizontal="center" vertical="center" wrapText="1"/>
    </xf>
    <xf numFmtId="3" fontId="5" fillId="5" borderId="24" xfId="0" applyNumberFormat="1" applyFont="1" applyFill="1" applyBorder="1" applyAlignment="1">
      <alignment horizontal="center" vertical="center" wrapText="1"/>
    </xf>
    <xf numFmtId="0" fontId="5" fillId="5" borderId="37" xfId="0" applyFont="1" applyFill="1" applyBorder="1" applyAlignment="1">
      <alignment horizontal="center"/>
    </xf>
    <xf numFmtId="0" fontId="5" fillId="5" borderId="37" xfId="0" applyFont="1" applyFill="1" applyBorder="1" applyAlignment="1">
      <alignment horizontal="center" vertical="center" wrapText="1"/>
    </xf>
    <xf numFmtId="0" fontId="5" fillId="5" borderId="24" xfId="0" applyFont="1" applyFill="1" applyBorder="1" applyAlignment="1">
      <alignment horizontal="center" vertical="center" wrapText="1"/>
    </xf>
    <xf numFmtId="3" fontId="5" fillId="5" borderId="37" xfId="0" applyNumberFormat="1" applyFont="1" applyFill="1" applyBorder="1" applyAlignment="1">
      <alignment horizontal="center" vertical="center"/>
    </xf>
    <xf numFmtId="3" fontId="5" fillId="5" borderId="24" xfId="0" applyNumberFormat="1" applyFont="1" applyFill="1" applyBorder="1" applyAlignment="1">
      <alignment horizontal="center" vertical="center"/>
    </xf>
    <xf numFmtId="3" fontId="5" fillId="5" borderId="62" xfId="0" applyNumberFormat="1" applyFont="1" applyFill="1" applyBorder="1" applyAlignment="1">
      <alignment horizontal="center" vertical="center" wrapText="1"/>
    </xf>
    <xf numFmtId="3" fontId="5" fillId="5" borderId="32" xfId="0" applyNumberFormat="1" applyFont="1" applyFill="1" applyBorder="1" applyAlignment="1">
      <alignment horizontal="center" vertical="center" wrapText="1"/>
    </xf>
    <xf numFmtId="2" fontId="19" fillId="2" borderId="65" xfId="0" applyNumberFormat="1" applyFont="1" applyFill="1" applyBorder="1" applyAlignment="1">
      <alignment vertical="center" wrapText="1"/>
    </xf>
    <xf numFmtId="0" fontId="19" fillId="2" borderId="66" xfId="0" applyFont="1" applyFill="1" applyBorder="1" applyAlignment="1">
      <alignment horizontal="center" vertical="center"/>
    </xf>
    <xf numFmtId="0" fontId="19" fillId="2" borderId="10" xfId="0" applyFont="1" applyFill="1" applyBorder="1" applyAlignment="1">
      <alignment horizontal="center" vertical="center"/>
    </xf>
    <xf numFmtId="0" fontId="11" fillId="7" borderId="66"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49" fillId="34" borderId="66" xfId="0" applyFont="1" applyFill="1" applyBorder="1" applyAlignment="1">
      <alignment horizontal="center" vertical="center" wrapText="1"/>
    </xf>
    <xf numFmtId="0" fontId="49" fillId="34" borderId="10"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2" fontId="8" fillId="7" borderId="2" xfId="0" applyNumberFormat="1" applyFont="1" applyFill="1" applyBorder="1" applyAlignment="1">
      <alignment horizontal="center" vertical="center"/>
    </xf>
    <xf numFmtId="2" fontId="8" fillId="7" borderId="3" xfId="0" applyNumberFormat="1" applyFont="1" applyFill="1" applyBorder="1" applyAlignment="1">
      <alignment horizontal="center" vertical="center"/>
    </xf>
    <xf numFmtId="166" fontId="9" fillId="7" borderId="4" xfId="0" applyNumberFormat="1" applyFont="1" applyFill="1" applyBorder="1" applyAlignment="1">
      <alignment horizontal="center" vertical="center"/>
    </xf>
    <xf numFmtId="166" fontId="9" fillId="7" borderId="5" xfId="0" applyNumberFormat="1" applyFont="1" applyFill="1" applyBorder="1" applyAlignment="1">
      <alignment horizontal="center" vertical="center"/>
    </xf>
    <xf numFmtId="166" fontId="9" fillId="7" borderId="6" xfId="0" applyNumberFormat="1" applyFont="1" applyFill="1" applyBorder="1" applyAlignment="1">
      <alignment horizontal="center" vertical="center"/>
    </xf>
    <xf numFmtId="0" fontId="11" fillId="8"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168" fontId="10" fillId="2" borderId="7" xfId="0" applyNumberFormat="1" applyFont="1" applyFill="1" applyBorder="1" applyAlignment="1">
      <alignment horizontal="center" vertical="center"/>
    </xf>
    <xf numFmtId="168" fontId="10" fillId="12" borderId="7" xfId="0" applyNumberFormat="1" applyFont="1" applyFill="1" applyBorder="1" applyAlignment="1">
      <alignment horizontal="center" vertical="center"/>
    </xf>
    <xf numFmtId="9" fontId="10" fillId="12" borderId="7" xfId="2" applyFont="1" applyFill="1" applyBorder="1" applyAlignment="1">
      <alignment horizontal="center" vertical="center"/>
    </xf>
    <xf numFmtId="0" fontId="11" fillId="7" borderId="4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49" fillId="34" borderId="8" xfId="0" applyFont="1" applyFill="1" applyBorder="1" applyAlignment="1">
      <alignment horizontal="center" vertical="center" wrapText="1"/>
    </xf>
    <xf numFmtId="168" fontId="10" fillId="30"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2" fontId="9" fillId="7" borderId="7" xfId="0" applyNumberFormat="1" applyFont="1" applyFill="1" applyBorder="1" applyAlignment="1">
      <alignment horizontal="center" vertical="center" wrapText="1"/>
    </xf>
    <xf numFmtId="0" fontId="9" fillId="7" borderId="7" xfId="0" applyFont="1" applyFill="1" applyBorder="1" applyAlignment="1">
      <alignment horizontal="center" vertical="center" wrapText="1"/>
    </xf>
    <xf numFmtId="9" fontId="9" fillId="7" borderId="7" xfId="2" applyFont="1" applyFill="1" applyBorder="1" applyAlignment="1">
      <alignment horizontal="center" vertical="center" wrapText="1"/>
    </xf>
    <xf numFmtId="168" fontId="10" fillId="30" borderId="49" xfId="0" applyNumberFormat="1" applyFont="1" applyFill="1" applyBorder="1" applyAlignment="1">
      <alignment horizontal="center" vertical="center"/>
    </xf>
    <xf numFmtId="168" fontId="10" fillId="30" borderId="10" xfId="0" applyNumberFormat="1" applyFont="1" applyFill="1" applyBorder="1" applyAlignment="1">
      <alignment horizontal="center" vertical="center"/>
    </xf>
    <xf numFmtId="9" fontId="10" fillId="30" borderId="49" xfId="2" applyFont="1" applyFill="1" applyBorder="1" applyAlignment="1">
      <alignment horizontal="center" vertical="center"/>
    </xf>
    <xf numFmtId="9" fontId="10" fillId="30" borderId="10" xfId="2" applyFont="1" applyFill="1" applyBorder="1" applyAlignment="1">
      <alignment horizontal="center" vertical="center"/>
    </xf>
    <xf numFmtId="0" fontId="9" fillId="8" borderId="7" xfId="0" applyFont="1" applyFill="1" applyBorder="1" applyAlignment="1">
      <alignment horizontal="center" vertical="center" wrapText="1"/>
    </xf>
    <xf numFmtId="168" fontId="0" fillId="10" borderId="7" xfId="0" applyNumberFormat="1" applyFont="1" applyFill="1" applyBorder="1" applyAlignment="1">
      <alignment horizontal="center" vertical="center"/>
    </xf>
    <xf numFmtId="0" fontId="0" fillId="10" borderId="7" xfId="0" applyFont="1" applyFill="1" applyBorder="1" applyAlignment="1">
      <alignment horizontal="center" vertical="center"/>
    </xf>
    <xf numFmtId="172" fontId="0" fillId="10" borderId="7" xfId="0" applyNumberFormat="1" applyFont="1" applyFill="1" applyBorder="1" applyAlignment="1">
      <alignment horizontal="center" vertical="center"/>
    </xf>
    <xf numFmtId="9" fontId="0" fillId="12" borderId="7" xfId="2" applyNumberFormat="1" applyFont="1" applyFill="1" applyBorder="1" applyAlignment="1">
      <alignment horizontal="center" vertical="center"/>
    </xf>
    <xf numFmtId="2" fontId="0" fillId="12" borderId="7" xfId="0" applyNumberFormat="1" applyFont="1" applyFill="1" applyBorder="1" applyAlignment="1">
      <alignment horizontal="center" vertical="center"/>
    </xf>
    <xf numFmtId="0" fontId="4" fillId="23" borderId="65" xfId="0" applyFont="1" applyFill="1" applyBorder="1" applyAlignment="1">
      <alignment horizontal="center"/>
    </xf>
    <xf numFmtId="0" fontId="0" fillId="11" borderId="24" xfId="0" applyFill="1" applyBorder="1" applyAlignment="1">
      <alignment horizontal="center" vertical="center"/>
    </xf>
    <xf numFmtId="0" fontId="4" fillId="23" borderId="58" xfId="0" applyFont="1" applyFill="1" applyBorder="1" applyAlignment="1">
      <alignment horizontal="center"/>
    </xf>
    <xf numFmtId="0" fontId="4" fillId="23" borderId="59" xfId="0" applyFont="1" applyFill="1" applyBorder="1" applyAlignment="1">
      <alignment horizontal="center"/>
    </xf>
    <xf numFmtId="0" fontId="4" fillId="23" borderId="53" xfId="0" applyFont="1" applyFill="1" applyBorder="1" applyAlignment="1">
      <alignment horizontal="center"/>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0" fillId="30" borderId="7" xfId="0" applyFont="1" applyFill="1" applyBorder="1" applyAlignment="1">
      <alignment horizontal="center" vertical="center"/>
    </xf>
    <xf numFmtId="172" fontId="0" fillId="30" borderId="7" xfId="0" applyNumberFormat="1" applyFont="1" applyFill="1" applyBorder="1" applyAlignment="1">
      <alignment horizontal="center" vertical="center"/>
    </xf>
    <xf numFmtId="10" fontId="0" fillId="12" borderId="7" xfId="2" applyNumberFormat="1" applyFont="1" applyFill="1" applyBorder="1" applyAlignment="1">
      <alignment horizontal="center" vertical="center"/>
    </xf>
    <xf numFmtId="168" fontId="0" fillId="30" borderId="7" xfId="0" applyNumberFormat="1" applyFont="1" applyFill="1" applyBorder="1" applyAlignment="1">
      <alignment horizontal="center" vertical="center"/>
    </xf>
    <xf numFmtId="9" fontId="2" fillId="26" borderId="24" xfId="2" applyFont="1" applyFill="1" applyBorder="1" applyAlignment="1">
      <alignment horizontal="center" vertical="center"/>
    </xf>
    <xf numFmtId="9" fontId="19" fillId="26" borderId="24" xfId="2" applyFont="1" applyFill="1" applyBorder="1" applyAlignment="1">
      <alignment horizontal="center" vertical="center"/>
    </xf>
    <xf numFmtId="9" fontId="9" fillId="7" borderId="66" xfId="2" applyFont="1" applyFill="1" applyBorder="1" applyAlignment="1">
      <alignment horizontal="center" vertical="center" wrapText="1"/>
    </xf>
    <xf numFmtId="9" fontId="9" fillId="7" borderId="10" xfId="2" applyFont="1" applyFill="1" applyBorder="1" applyAlignment="1">
      <alignment horizontal="center" vertical="center" wrapText="1"/>
    </xf>
    <xf numFmtId="166" fontId="8" fillId="9" borderId="1" xfId="0" applyNumberFormat="1" applyFont="1" applyFill="1" applyBorder="1" applyAlignment="1">
      <alignment horizontal="center" vertical="center"/>
    </xf>
    <xf numFmtId="166" fontId="8" fillId="9" borderId="2" xfId="0" applyNumberFormat="1" applyFont="1" applyFill="1" applyBorder="1" applyAlignment="1">
      <alignment horizontal="center" vertical="center"/>
    </xf>
    <xf numFmtId="166" fontId="8" fillId="9" borderId="3" xfId="0" applyNumberFormat="1" applyFont="1" applyFill="1" applyBorder="1" applyAlignment="1">
      <alignment horizontal="center" vertical="center"/>
    </xf>
    <xf numFmtId="166" fontId="17" fillId="9" borderId="4" xfId="0" applyNumberFormat="1" applyFont="1" applyFill="1" applyBorder="1" applyAlignment="1">
      <alignment horizontal="center" vertical="center"/>
    </xf>
    <xf numFmtId="166" fontId="17" fillId="9" borderId="5" xfId="0" applyNumberFormat="1" applyFont="1" applyFill="1" applyBorder="1" applyAlignment="1">
      <alignment horizontal="center" vertical="center"/>
    </xf>
    <xf numFmtId="166" fontId="17" fillId="9" borderId="6" xfId="0" applyNumberFormat="1" applyFont="1" applyFill="1" applyBorder="1" applyAlignment="1">
      <alignment horizontal="center" vertical="center"/>
    </xf>
    <xf numFmtId="0" fontId="19" fillId="4" borderId="24" xfId="0" applyFont="1" applyFill="1" applyBorder="1" applyAlignment="1">
      <alignment horizontal="center" vertical="center"/>
    </xf>
    <xf numFmtId="0" fontId="0" fillId="16" borderId="23" xfId="0" applyFont="1" applyFill="1" applyBorder="1" applyAlignment="1">
      <alignment horizontal="center" vertical="center"/>
    </xf>
    <xf numFmtId="0" fontId="0" fillId="16" borderId="24" xfId="0" applyFont="1" applyFill="1" applyBorder="1" applyAlignment="1">
      <alignment horizontal="center" vertical="center"/>
    </xf>
    <xf numFmtId="4" fontId="0" fillId="16" borderId="24" xfId="0" applyNumberFormat="1" applyFont="1" applyFill="1" applyBorder="1" applyAlignment="1">
      <alignment horizontal="center" vertical="center"/>
    </xf>
    <xf numFmtId="9" fontId="1" fillId="11" borderId="32" xfId="2" applyFont="1" applyFill="1" applyBorder="1" applyAlignment="1">
      <alignment horizontal="center" vertical="center"/>
    </xf>
    <xf numFmtId="0" fontId="19" fillId="45" borderId="24" xfId="0" applyFont="1" applyFill="1" applyBorder="1" applyAlignment="1">
      <alignment horizontal="center" vertical="center"/>
    </xf>
    <xf numFmtId="9" fontId="1" fillId="30" borderId="32" xfId="2" applyFont="1" applyFill="1" applyBorder="1" applyAlignment="1">
      <alignment horizontal="center" vertical="center"/>
    </xf>
    <xf numFmtId="0" fontId="19" fillId="26" borderId="24" xfId="0" applyFont="1" applyFill="1" applyBorder="1" applyAlignment="1">
      <alignment horizontal="center" vertical="center"/>
    </xf>
    <xf numFmtId="0" fontId="0" fillId="30" borderId="23" xfId="0" applyFont="1" applyFill="1" applyBorder="1" applyAlignment="1">
      <alignment horizontal="center" vertical="center"/>
    </xf>
    <xf numFmtId="168" fontId="0" fillId="30" borderId="24" xfId="0" applyNumberFormat="1" applyFont="1" applyFill="1" applyBorder="1" applyAlignment="1">
      <alignment horizontal="center" vertical="center"/>
    </xf>
    <xf numFmtId="0" fontId="0" fillId="30" borderId="24" xfId="0" applyFont="1" applyFill="1" applyBorder="1" applyAlignment="1">
      <alignment horizontal="center" vertical="center"/>
    </xf>
    <xf numFmtId="4" fontId="0" fillId="30" borderId="24" xfId="0" applyNumberFormat="1" applyFont="1" applyFill="1" applyBorder="1" applyAlignment="1">
      <alignment horizontal="center" vertical="center"/>
    </xf>
    <xf numFmtId="0" fontId="0" fillId="29" borderId="24" xfId="0" applyFill="1" applyBorder="1" applyAlignment="1">
      <alignment horizontal="center"/>
    </xf>
    <xf numFmtId="178" fontId="11" fillId="14" borderId="52" xfId="2" applyNumberFormat="1" applyFont="1" applyFill="1" applyBorder="1" applyAlignment="1">
      <alignment horizontal="center" vertical="center" wrapText="1"/>
    </xf>
    <xf numFmtId="178" fontId="11" fillId="14" borderId="41" xfId="2" applyNumberFormat="1" applyFont="1" applyFill="1" applyBorder="1" applyAlignment="1">
      <alignment horizontal="center" vertical="center" wrapText="1"/>
    </xf>
    <xf numFmtId="0" fontId="4" fillId="9" borderId="63" xfId="0" applyFont="1" applyFill="1" applyBorder="1" applyAlignment="1">
      <alignment horizontal="center" vertical="center"/>
    </xf>
    <xf numFmtId="0" fontId="4" fillId="9" borderId="5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6" xfId="0" applyFont="1" applyFill="1" applyBorder="1" applyAlignment="1">
      <alignment horizontal="center" vertical="center"/>
    </xf>
    <xf numFmtId="178" fontId="4" fillId="14" borderId="48" xfId="0" applyNumberFormat="1" applyFont="1" applyFill="1" applyBorder="1" applyAlignment="1">
      <alignment horizontal="center" vertical="center"/>
    </xf>
    <xf numFmtId="178" fontId="4" fillId="14" borderId="43" xfId="0" applyNumberFormat="1" applyFont="1" applyFill="1" applyBorder="1" applyAlignment="1">
      <alignment horizontal="center" vertical="center"/>
    </xf>
    <xf numFmtId="178" fontId="4" fillId="14" borderId="49" xfId="0" applyNumberFormat="1" applyFont="1" applyFill="1" applyBorder="1" applyAlignment="1">
      <alignment horizontal="center" vertical="center"/>
    </xf>
    <xf numFmtId="178" fontId="4" fillId="14" borderId="44" xfId="0" applyNumberFormat="1" applyFont="1" applyFill="1" applyBorder="1" applyAlignment="1">
      <alignment horizontal="center" vertical="center"/>
    </xf>
    <xf numFmtId="4" fontId="2" fillId="30" borderId="24" xfId="0" applyNumberFormat="1" applyFont="1" applyFill="1" applyBorder="1" applyAlignment="1">
      <alignment horizontal="center" vertical="center"/>
    </xf>
    <xf numFmtId="0" fontId="2" fillId="30" borderId="24" xfId="0" applyFont="1" applyFill="1" applyBorder="1" applyAlignment="1">
      <alignment horizontal="center" vertical="center"/>
    </xf>
    <xf numFmtId="9" fontId="2" fillId="30" borderId="32" xfId="2" applyFont="1" applyFill="1" applyBorder="1" applyAlignment="1">
      <alignment horizontal="center" vertical="center"/>
    </xf>
    <xf numFmtId="173" fontId="0" fillId="30" borderId="24" xfId="2" applyNumberFormat="1" applyFont="1" applyFill="1" applyBorder="1" applyAlignment="1">
      <alignment horizontal="center" vertical="center"/>
    </xf>
    <xf numFmtId="173" fontId="0" fillId="0" borderId="24" xfId="2" applyNumberFormat="1" applyFont="1" applyFill="1" applyBorder="1" applyAlignment="1">
      <alignment horizontal="center" vertical="center"/>
    </xf>
    <xf numFmtId="9" fontId="0" fillId="0" borderId="24" xfId="2" applyFont="1" applyFill="1" applyBorder="1" applyAlignment="1">
      <alignment horizontal="center" vertical="center"/>
    </xf>
    <xf numFmtId="0" fontId="19" fillId="5" borderId="66"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66" xfId="0" applyFont="1" applyFill="1" applyBorder="1" applyAlignment="1">
      <alignment horizontal="center" wrapText="1"/>
    </xf>
    <xf numFmtId="0" fontId="19" fillId="5" borderId="10" xfId="0" applyFont="1" applyFill="1" applyBorder="1" applyAlignment="1">
      <alignment horizontal="center" wrapText="1"/>
    </xf>
    <xf numFmtId="0" fontId="19" fillId="5" borderId="6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45" borderId="66"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43" borderId="66" xfId="0" applyFont="1" applyFill="1" applyBorder="1" applyAlignment="1">
      <alignment horizontal="center" vertical="center" wrapText="1"/>
    </xf>
    <xf numFmtId="0" fontId="19" fillId="43" borderId="10" xfId="0" applyFont="1" applyFill="1" applyBorder="1" applyAlignment="1">
      <alignment horizontal="center" vertical="center" wrapText="1"/>
    </xf>
    <xf numFmtId="0" fontId="19" fillId="40" borderId="66" xfId="0" applyFont="1" applyFill="1" applyBorder="1" applyAlignment="1">
      <alignment horizontal="center" vertical="center" wrapText="1"/>
    </xf>
    <xf numFmtId="0" fontId="19" fillId="40" borderId="10" xfId="0" applyFont="1" applyFill="1" applyBorder="1" applyAlignment="1">
      <alignment horizontal="center" vertical="center" wrapText="1"/>
    </xf>
    <xf numFmtId="0" fontId="28" fillId="45" borderId="66" xfId="0" applyFont="1" applyFill="1" applyBorder="1" applyAlignment="1">
      <alignment horizontal="center" vertical="center" wrapText="1"/>
    </xf>
    <xf numFmtId="0" fontId="28" fillId="45" borderId="10" xfId="0" applyFont="1" applyFill="1" applyBorder="1" applyAlignment="1">
      <alignment horizontal="center" vertical="center" wrapText="1"/>
    </xf>
    <xf numFmtId="168" fontId="19" fillId="26" borderId="66" xfId="0" applyNumberFormat="1" applyFont="1" applyFill="1" applyBorder="1" applyAlignment="1">
      <alignment horizontal="center" vertical="center"/>
    </xf>
    <xf numFmtId="168" fontId="19" fillId="26" borderId="10"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66" xfId="0" applyFont="1" applyFill="1" applyBorder="1" applyAlignment="1">
      <alignment horizontal="center" vertical="center"/>
    </xf>
    <xf numFmtId="168" fontId="19" fillId="0" borderId="65" xfId="0" applyNumberFormat="1" applyFont="1" applyFill="1" applyBorder="1" applyAlignment="1">
      <alignment horizontal="center" vertical="center"/>
    </xf>
    <xf numFmtId="168" fontId="19" fillId="0" borderId="66" xfId="0" applyNumberFormat="1" applyFont="1" applyFill="1" applyBorder="1" applyAlignment="1">
      <alignment horizontal="center" vertical="center"/>
    </xf>
    <xf numFmtId="168" fontId="0" fillId="0" borderId="24" xfId="0" applyNumberFormat="1" applyFont="1" applyFill="1" applyBorder="1" applyAlignment="1">
      <alignment horizontal="center" vertical="center"/>
    </xf>
    <xf numFmtId="0" fontId="0" fillId="5" borderId="24" xfId="0" applyFont="1" applyFill="1" applyBorder="1" applyAlignment="1">
      <alignment horizontal="center" vertical="center" wrapText="1"/>
    </xf>
    <xf numFmtId="179" fontId="19" fillId="5" borderId="24" xfId="0" applyNumberFormat="1" applyFont="1" applyFill="1" applyBorder="1" applyAlignment="1">
      <alignment horizontal="center" vertical="center"/>
    </xf>
    <xf numFmtId="9" fontId="19" fillId="26" borderId="66" xfId="2" applyFont="1" applyFill="1" applyBorder="1" applyAlignment="1">
      <alignment horizontal="center" vertical="center"/>
    </xf>
    <xf numFmtId="9" fontId="19" fillId="26" borderId="10" xfId="2" applyFont="1" applyFill="1" applyBorder="1" applyAlignment="1">
      <alignment horizontal="center" vertical="center"/>
    </xf>
    <xf numFmtId="168" fontId="0" fillId="0" borderId="24" xfId="2" applyNumberFormat="1" applyFont="1" applyFill="1" applyBorder="1" applyAlignment="1">
      <alignment horizontal="center" vertical="center"/>
    </xf>
    <xf numFmtId="172" fontId="19" fillId="26" borderId="24" xfId="0" applyNumberFormat="1" applyFont="1" applyFill="1" applyBorder="1" applyAlignment="1">
      <alignment horizontal="center" vertical="center" wrapText="1"/>
    </xf>
    <xf numFmtId="0" fontId="19" fillId="26" borderId="24" xfId="0" applyFont="1" applyFill="1" applyBorder="1" applyAlignment="1">
      <alignment horizontal="center" vertical="center" wrapText="1"/>
    </xf>
    <xf numFmtId="168" fontId="19" fillId="26" borderId="65" xfId="0" applyNumberFormat="1" applyFont="1" applyFill="1" applyBorder="1" applyAlignment="1">
      <alignment horizontal="center" vertical="center"/>
    </xf>
    <xf numFmtId="168" fontId="19" fillId="26" borderId="24" xfId="0" applyNumberFormat="1" applyFont="1" applyFill="1" applyBorder="1" applyAlignment="1">
      <alignment horizontal="center" vertical="center"/>
    </xf>
    <xf numFmtId="9" fontId="19" fillId="26" borderId="65" xfId="2" applyFont="1" applyFill="1" applyBorder="1" applyAlignment="1">
      <alignment horizontal="center" vertical="center"/>
    </xf>
    <xf numFmtId="9" fontId="19" fillId="0" borderId="26" xfId="2" applyFont="1" applyFill="1" applyBorder="1" applyAlignment="1">
      <alignment horizontal="center" vertical="center"/>
    </xf>
    <xf numFmtId="9" fontId="19" fillId="0" borderId="58" xfId="2" applyFont="1" applyFill="1" applyBorder="1" applyAlignment="1">
      <alignment horizontal="center" vertical="center"/>
    </xf>
    <xf numFmtId="0" fontId="22" fillId="19" borderId="65" xfId="0" applyFont="1" applyFill="1" applyBorder="1" applyAlignment="1">
      <alignment horizontal="center" vertical="center" wrapText="1"/>
    </xf>
    <xf numFmtId="1" fontId="22" fillId="19" borderId="58" xfId="0" applyNumberFormat="1" applyFont="1" applyFill="1" applyBorder="1" applyAlignment="1">
      <alignment horizontal="center" vertical="center" wrapText="1"/>
    </xf>
    <xf numFmtId="1" fontId="22" fillId="19" borderId="18" xfId="0" applyNumberFormat="1" applyFont="1" applyFill="1" applyBorder="1" applyAlignment="1">
      <alignment horizontal="center" vertical="center" wrapText="1"/>
    </xf>
    <xf numFmtId="168" fontId="22" fillId="22" borderId="65" xfId="0" applyNumberFormat="1" applyFont="1" applyFill="1" applyBorder="1" applyAlignment="1">
      <alignment horizontal="center" vertical="center" wrapText="1"/>
    </xf>
    <xf numFmtId="10" fontId="22" fillId="22" borderId="26" xfId="2" applyNumberFormat="1" applyFont="1" applyFill="1" applyBorder="1" applyAlignment="1">
      <alignment horizontal="center" vertical="center" wrapText="1"/>
    </xf>
    <xf numFmtId="0" fontId="19" fillId="5" borderId="9" xfId="0" applyFont="1" applyFill="1" applyBorder="1" applyAlignment="1">
      <alignment horizontal="center" vertical="center"/>
    </xf>
    <xf numFmtId="0" fontId="0" fillId="12" borderId="24" xfId="0" applyFont="1" applyFill="1" applyBorder="1" applyAlignment="1">
      <alignment horizontal="center" vertical="center"/>
    </xf>
    <xf numFmtId="0" fontId="0" fillId="12" borderId="8" xfId="0" applyFont="1" applyFill="1" applyBorder="1" applyAlignment="1">
      <alignment horizontal="center" vertical="center"/>
    </xf>
    <xf numFmtId="0" fontId="0" fillId="12" borderId="49" xfId="0" applyFont="1" applyFill="1" applyBorder="1" applyAlignment="1">
      <alignment horizontal="center" vertical="center"/>
    </xf>
    <xf numFmtId="0" fontId="0" fillId="12" borderId="10" xfId="0" applyFont="1" applyFill="1" applyBorder="1" applyAlignment="1">
      <alignment horizontal="center" vertical="center"/>
    </xf>
    <xf numFmtId="0" fontId="0" fillId="5" borderId="10" xfId="0" applyFont="1" applyFill="1" applyBorder="1" applyAlignment="1">
      <alignment horizontal="center" vertical="center"/>
    </xf>
    <xf numFmtId="1" fontId="22" fillId="19" borderId="24" xfId="0" applyNumberFormat="1" applyFont="1" applyFill="1" applyBorder="1" applyAlignment="1">
      <alignment horizontal="center" vertical="center" wrapText="1"/>
    </xf>
    <xf numFmtId="168" fontId="22" fillId="19" borderId="24" xfId="0" applyNumberFormat="1" applyFont="1" applyFill="1" applyBorder="1" applyAlignment="1">
      <alignment horizontal="center" vertical="center" wrapText="1"/>
    </xf>
    <xf numFmtId="175" fontId="22" fillId="19" borderId="24" xfId="2" applyNumberFormat="1" applyFont="1" applyFill="1" applyBorder="1" applyAlignment="1">
      <alignment horizontal="center" vertical="center" wrapText="1"/>
    </xf>
    <xf numFmtId="0" fontId="19" fillId="5" borderId="24" xfId="0" applyFont="1" applyFill="1" applyBorder="1" applyAlignment="1">
      <alignment horizontal="center" vertical="center" wrapText="1"/>
    </xf>
    <xf numFmtId="168" fontId="19" fillId="26" borderId="49" xfId="0" applyNumberFormat="1" applyFont="1" applyFill="1" applyBorder="1" applyAlignment="1">
      <alignment horizontal="center" vertical="center"/>
    </xf>
    <xf numFmtId="9" fontId="19" fillId="26" borderId="24" xfId="2" applyFont="1" applyFill="1" applyBorder="1" applyAlignment="1">
      <alignment horizontal="center" vertical="center" wrapText="1"/>
    </xf>
    <xf numFmtId="0" fontId="2" fillId="5" borderId="24" xfId="0" applyFont="1" applyFill="1" applyBorder="1" applyAlignment="1">
      <alignment horizontal="center" vertical="center" wrapText="1"/>
    </xf>
    <xf numFmtId="0" fontId="28" fillId="5" borderId="24" xfId="0" applyFont="1" applyFill="1" applyBorder="1" applyAlignment="1">
      <alignment horizontal="center" vertical="center" wrapText="1"/>
    </xf>
    <xf numFmtId="168" fontId="19" fillId="26" borderId="24" xfId="0" applyNumberFormat="1" applyFont="1" applyFill="1" applyBorder="1" applyAlignment="1">
      <alignment horizontal="center" vertical="center" wrapText="1"/>
    </xf>
    <xf numFmtId="0" fontId="0" fillId="40" borderId="24" xfId="0" applyFill="1" applyBorder="1" applyAlignment="1">
      <alignment horizontal="center" vertical="center" wrapText="1"/>
    </xf>
    <xf numFmtId="0" fontId="0" fillId="40" borderId="24" xfId="0" applyFont="1" applyFill="1" applyBorder="1" applyAlignment="1">
      <alignment horizontal="center" vertical="center" wrapText="1"/>
    </xf>
    <xf numFmtId="9" fontId="19" fillId="26" borderId="58" xfId="2" applyFont="1" applyFill="1" applyBorder="1" applyAlignment="1">
      <alignment horizontal="center" vertical="center"/>
    </xf>
    <xf numFmtId="9" fontId="19" fillId="26" borderId="18" xfId="2" applyFont="1" applyFill="1" applyBorder="1" applyAlignment="1">
      <alignment horizontal="center" vertical="center"/>
    </xf>
    <xf numFmtId="0" fontId="22" fillId="19" borderId="24" xfId="0" applyFont="1" applyFill="1" applyBorder="1" applyAlignment="1">
      <alignment horizontal="center" vertical="center" textRotation="90"/>
    </xf>
    <xf numFmtId="10" fontId="22" fillId="22" borderId="24" xfId="2" applyNumberFormat="1"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9" fillId="5" borderId="20" xfId="0" applyFont="1" applyFill="1" applyBorder="1" applyAlignment="1">
      <alignment horizontal="center" vertical="center" wrapText="1"/>
    </xf>
    <xf numFmtId="168" fontId="0" fillId="26" borderId="24" xfId="2" applyNumberFormat="1" applyFont="1" applyFill="1" applyBorder="1" applyAlignment="1">
      <alignment horizontal="center" vertical="center"/>
    </xf>
    <xf numFmtId="168" fontId="0" fillId="26" borderId="24" xfId="0" applyNumberFormat="1" applyFont="1" applyFill="1" applyBorder="1" applyAlignment="1">
      <alignment horizontal="center" vertical="center"/>
    </xf>
    <xf numFmtId="9" fontId="0" fillId="26" borderId="24" xfId="2" applyFont="1" applyFill="1" applyBorder="1" applyAlignment="1">
      <alignment horizontal="center" vertical="center"/>
    </xf>
    <xf numFmtId="0" fontId="22" fillId="19" borderId="24" xfId="0" applyFont="1" applyFill="1" applyBorder="1" applyAlignment="1">
      <alignment horizontal="center" vertical="center" wrapText="1"/>
    </xf>
    <xf numFmtId="168" fontId="22" fillId="22" borderId="24" xfId="0" applyNumberFormat="1" applyFont="1" applyFill="1" applyBorder="1" applyAlignment="1">
      <alignment horizontal="center" vertical="center" wrapText="1"/>
    </xf>
    <xf numFmtId="0" fontId="19" fillId="5" borderId="57" xfId="0" applyFont="1" applyFill="1" applyBorder="1" applyAlignment="1">
      <alignment horizontal="center" vertical="center" wrapText="1"/>
    </xf>
    <xf numFmtId="168" fontId="36" fillId="33" borderId="24" xfId="0" applyNumberFormat="1" applyFont="1" applyFill="1" applyBorder="1" applyAlignment="1">
      <alignment horizontal="center" vertical="center"/>
    </xf>
    <xf numFmtId="168" fontId="19" fillId="33" borderId="24" xfId="0" applyNumberFormat="1" applyFont="1" applyFill="1" applyBorder="1" applyAlignment="1">
      <alignment horizontal="center" vertical="center"/>
    </xf>
    <xf numFmtId="175" fontId="22" fillId="22" borderId="24" xfId="2" applyNumberFormat="1" applyFont="1" applyFill="1" applyBorder="1" applyAlignment="1">
      <alignment horizontal="center" vertical="center" wrapText="1"/>
    </xf>
    <xf numFmtId="168" fontId="19" fillId="2" borderId="24" xfId="0" applyNumberFormat="1" applyFont="1" applyFill="1" applyBorder="1" applyAlignment="1">
      <alignment horizontal="center" vertical="center"/>
    </xf>
    <xf numFmtId="9" fontId="19" fillId="2" borderId="24" xfId="2" applyFont="1" applyFill="1" applyBorder="1" applyAlignment="1">
      <alignment horizontal="center" vertical="center"/>
    </xf>
    <xf numFmtId="0" fontId="19" fillId="5" borderId="49" xfId="0" applyFont="1" applyFill="1" applyBorder="1" applyAlignment="1">
      <alignment horizontal="center" vertical="center" wrapText="1"/>
    </xf>
    <xf numFmtId="0" fontId="0" fillId="5" borderId="49" xfId="0" applyFont="1" applyFill="1" applyBorder="1" applyAlignment="1">
      <alignment horizontal="center" vertical="center"/>
    </xf>
    <xf numFmtId="0" fontId="19" fillId="12" borderId="24" xfId="0" applyFont="1" applyFill="1" applyBorder="1" applyAlignment="1">
      <alignment horizontal="center" vertical="center"/>
    </xf>
    <xf numFmtId="168" fontId="19" fillId="12" borderId="24" xfId="0" applyNumberFormat="1" applyFont="1" applyFill="1" applyBorder="1" applyAlignment="1">
      <alignment horizontal="center" vertical="center"/>
    </xf>
    <xf numFmtId="9" fontId="19" fillId="12" borderId="24" xfId="2" applyFont="1" applyFill="1" applyBorder="1" applyAlignment="1">
      <alignment horizontal="center" vertical="center"/>
    </xf>
    <xf numFmtId="0" fontId="19" fillId="12" borderId="24" xfId="0" applyFont="1" applyFill="1" applyBorder="1" applyAlignment="1">
      <alignment horizontal="center" vertical="center" wrapText="1"/>
    </xf>
    <xf numFmtId="166" fontId="25" fillId="22" borderId="1" xfId="0" applyNumberFormat="1" applyFont="1" applyFill="1" applyBorder="1" applyAlignment="1">
      <alignment horizontal="center" vertical="center"/>
    </xf>
    <xf numFmtId="166" fontId="25" fillId="22" borderId="2" xfId="0" applyNumberFormat="1" applyFont="1" applyFill="1" applyBorder="1" applyAlignment="1">
      <alignment horizontal="center" vertical="center"/>
    </xf>
    <xf numFmtId="166" fontId="25" fillId="22" borderId="3" xfId="0" applyNumberFormat="1" applyFont="1" applyFill="1" applyBorder="1" applyAlignment="1">
      <alignment horizontal="center" vertical="center"/>
    </xf>
    <xf numFmtId="166" fontId="8" fillId="22" borderId="4" xfId="0" applyNumberFormat="1" applyFont="1" applyFill="1" applyBorder="1" applyAlignment="1">
      <alignment horizontal="center" vertical="center"/>
    </xf>
    <xf numFmtId="166" fontId="8" fillId="22" borderId="5" xfId="0" applyNumberFormat="1" applyFont="1" applyFill="1" applyBorder="1" applyAlignment="1">
      <alignment horizontal="center" vertical="center"/>
    </xf>
    <xf numFmtId="166" fontId="8" fillId="22" borderId="6" xfId="0" applyNumberFormat="1" applyFont="1" applyFill="1" applyBorder="1" applyAlignment="1">
      <alignment horizontal="center" vertical="center"/>
    </xf>
    <xf numFmtId="0" fontId="22" fillId="19" borderId="24" xfId="0" applyFont="1" applyFill="1" applyBorder="1" applyAlignment="1">
      <alignment horizontal="center" vertical="center" textRotation="90" wrapText="1"/>
    </xf>
    <xf numFmtId="0" fontId="22" fillId="19" borderId="49" xfId="0" applyFont="1" applyFill="1" applyBorder="1" applyAlignment="1">
      <alignment horizontal="center" vertical="center" textRotation="90" wrapText="1"/>
    </xf>
    <xf numFmtId="9" fontId="36" fillId="33" borderId="24" xfId="2" applyFont="1" applyFill="1" applyBorder="1" applyAlignment="1">
      <alignment horizontal="center" vertical="center"/>
    </xf>
    <xf numFmtId="173" fontId="0" fillId="26" borderId="24" xfId="2" applyNumberFormat="1" applyFont="1" applyFill="1" applyBorder="1" applyAlignment="1">
      <alignment horizontal="center" vertical="center"/>
    </xf>
    <xf numFmtId="9" fontId="0" fillId="2" borderId="24" xfId="2" applyFont="1" applyFill="1" applyBorder="1" applyAlignment="1">
      <alignment horizontal="center" vertical="center"/>
    </xf>
    <xf numFmtId="9" fontId="0" fillId="10" borderId="0" xfId="2" applyFont="1" applyFill="1" applyBorder="1" applyAlignment="1">
      <alignment horizontal="center" vertical="center"/>
    </xf>
    <xf numFmtId="173" fontId="0" fillId="0" borderId="65" xfId="2" applyNumberFormat="1" applyFont="1" applyFill="1" applyBorder="1" applyAlignment="1">
      <alignment horizontal="center" vertical="center"/>
    </xf>
    <xf numFmtId="173" fontId="0" fillId="0" borderId="66" xfId="2" applyNumberFormat="1" applyFont="1" applyFill="1" applyBorder="1" applyAlignment="1">
      <alignment horizontal="center" vertical="center"/>
    </xf>
    <xf numFmtId="175" fontId="22" fillId="10" borderId="0" xfId="2" applyNumberFormat="1" applyFont="1" applyFill="1" applyBorder="1" applyAlignment="1">
      <alignment horizontal="center" vertical="center"/>
    </xf>
    <xf numFmtId="0" fontId="22" fillId="19" borderId="49" xfId="0" applyFont="1" applyFill="1" applyBorder="1" applyAlignment="1">
      <alignment horizontal="center" vertical="center"/>
    </xf>
    <xf numFmtId="0" fontId="22" fillId="19" borderId="10" xfId="0" applyFont="1" applyFill="1" applyBorder="1" applyAlignment="1">
      <alignment horizontal="center" vertical="center"/>
    </xf>
    <xf numFmtId="0" fontId="0" fillId="5" borderId="8" xfId="0" applyFont="1" applyFill="1" applyBorder="1" applyAlignment="1">
      <alignment horizontal="center" vertical="center"/>
    </xf>
    <xf numFmtId="0" fontId="22" fillId="19" borderId="58" xfId="0" applyFont="1" applyFill="1" applyBorder="1" applyAlignment="1">
      <alignment horizontal="center" vertical="center" wrapText="1"/>
    </xf>
    <xf numFmtId="0" fontId="22" fillId="19" borderId="53"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22" fillId="19" borderId="50" xfId="0" applyFont="1" applyFill="1" applyBorder="1" applyAlignment="1">
      <alignment horizontal="center" vertical="center" wrapText="1"/>
    </xf>
    <xf numFmtId="0" fontId="22" fillId="19" borderId="39" xfId="0" applyFont="1" applyFill="1" applyBorder="1" applyAlignment="1">
      <alignment horizontal="center" vertical="center" textRotation="90"/>
    </xf>
    <xf numFmtId="0" fontId="22" fillId="19" borderId="23" xfId="0" applyFont="1" applyFill="1" applyBorder="1" applyAlignment="1">
      <alignment horizontal="center" vertical="center" textRotation="90"/>
    </xf>
    <xf numFmtId="0" fontId="22" fillId="19" borderId="48" xfId="0" applyFont="1" applyFill="1" applyBorder="1" applyAlignment="1">
      <alignment horizontal="center" vertical="center" textRotation="90"/>
    </xf>
    <xf numFmtId="0" fontId="19" fillId="45" borderId="66" xfId="0" applyFont="1" applyFill="1" applyBorder="1" applyAlignment="1">
      <alignment horizontal="center" vertical="center"/>
    </xf>
    <xf numFmtId="0" fontId="19" fillId="45" borderId="10" xfId="0" applyFont="1" applyFill="1" applyBorder="1" applyAlignment="1">
      <alignment horizontal="center" vertical="center"/>
    </xf>
    <xf numFmtId="0" fontId="22" fillId="19" borderId="49" xfId="0" applyFont="1" applyFill="1" applyBorder="1" applyAlignment="1">
      <alignment horizontal="center" vertical="center" wrapText="1"/>
    </xf>
    <xf numFmtId="0" fontId="22" fillId="19" borderId="10" xfId="0" applyFont="1" applyFill="1" applyBorder="1" applyAlignment="1">
      <alignment horizontal="center" vertical="center" wrapText="1"/>
    </xf>
    <xf numFmtId="9" fontId="1" fillId="0" borderId="31" xfId="2" applyFont="1" applyFill="1" applyBorder="1" applyAlignment="1">
      <alignment horizontal="center" vertical="center"/>
    </xf>
    <xf numFmtId="9" fontId="1" fillId="0" borderId="40" xfId="2" applyFont="1" applyFill="1" applyBorder="1" applyAlignment="1">
      <alignment horizontal="center" vertical="center"/>
    </xf>
    <xf numFmtId="0" fontId="9" fillId="9" borderId="58" xfId="0" applyFont="1" applyFill="1" applyBorder="1" applyAlignment="1">
      <alignment horizontal="center" vertical="center" wrapText="1"/>
    </xf>
    <xf numFmtId="0" fontId="9" fillId="9" borderId="59"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9" fillId="9" borderId="50"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3" fillId="14" borderId="24" xfId="0" applyFont="1" applyFill="1" applyBorder="1" applyAlignment="1">
      <alignment horizontal="center" vertical="center" wrapText="1"/>
    </xf>
    <xf numFmtId="175" fontId="4" fillId="14" borderId="31" xfId="2" applyNumberFormat="1" applyFont="1" applyFill="1" applyBorder="1" applyAlignment="1">
      <alignment horizontal="center" vertical="center"/>
    </xf>
    <xf numFmtId="175" fontId="4" fillId="14" borderId="45" xfId="2" applyNumberFormat="1" applyFont="1" applyFill="1" applyBorder="1" applyAlignment="1">
      <alignment horizontal="center" vertical="center"/>
    </xf>
    <xf numFmtId="165" fontId="23" fillId="9" borderId="1" xfId="0" applyNumberFormat="1" applyFont="1" applyFill="1" applyBorder="1" applyAlignment="1">
      <alignment horizontal="center" vertical="center" wrapText="1"/>
    </xf>
    <xf numFmtId="165" fontId="23" fillId="9" borderId="2" xfId="0" applyNumberFormat="1" applyFont="1" applyFill="1" applyBorder="1" applyAlignment="1">
      <alignment horizontal="center" vertical="center" wrapText="1"/>
    </xf>
    <xf numFmtId="165" fontId="23" fillId="9" borderId="3" xfId="0" applyNumberFormat="1" applyFont="1" applyFill="1" applyBorder="1" applyAlignment="1">
      <alignment horizontal="center" vertical="center" wrapText="1"/>
    </xf>
    <xf numFmtId="165" fontId="23" fillId="9" borderId="4" xfId="0" applyNumberFormat="1" applyFont="1" applyFill="1" applyBorder="1" applyAlignment="1">
      <alignment horizontal="center" vertical="center" wrapText="1"/>
    </xf>
    <xf numFmtId="165" fontId="23" fillId="9" borderId="5" xfId="0" applyNumberFormat="1" applyFont="1" applyFill="1" applyBorder="1" applyAlignment="1">
      <alignment horizontal="center" vertical="center" wrapText="1"/>
    </xf>
    <xf numFmtId="165" fontId="23" fillId="9" borderId="6" xfId="0" applyNumberFormat="1" applyFont="1" applyFill="1" applyBorder="1" applyAlignment="1">
      <alignment horizontal="center" vertical="center" wrapText="1"/>
    </xf>
    <xf numFmtId="168" fontId="22" fillId="14" borderId="38" xfId="0" applyNumberFormat="1" applyFont="1" applyFill="1" applyBorder="1" applyAlignment="1">
      <alignment horizontal="center" vertical="center"/>
    </xf>
    <xf numFmtId="168" fontId="22" fillId="14" borderId="51" xfId="0" applyNumberFormat="1" applyFont="1" applyFill="1" applyBorder="1" applyAlignment="1">
      <alignment horizontal="center" vertical="center"/>
    </xf>
    <xf numFmtId="168" fontId="22" fillId="14" borderId="42" xfId="0" applyNumberFormat="1" applyFont="1" applyFill="1" applyBorder="1" applyAlignment="1">
      <alignment horizontal="center" vertical="center"/>
    </xf>
    <xf numFmtId="168" fontId="22" fillId="14" borderId="44" xfId="0" applyNumberFormat="1" applyFont="1" applyFill="1" applyBorder="1" applyAlignment="1">
      <alignment horizontal="center" vertical="center"/>
    </xf>
    <xf numFmtId="168" fontId="22" fillId="14" borderId="37" xfId="0" applyNumberFormat="1" applyFont="1" applyFill="1" applyBorder="1" applyAlignment="1">
      <alignment horizontal="center" vertical="center"/>
    </xf>
    <xf numFmtId="168" fontId="22" fillId="14" borderId="29" xfId="0" applyNumberFormat="1" applyFont="1" applyFill="1" applyBorder="1" applyAlignment="1">
      <alignment horizontal="center" vertical="center"/>
    </xf>
    <xf numFmtId="168" fontId="4" fillId="14" borderId="37" xfId="0" applyNumberFormat="1" applyFont="1" applyFill="1" applyBorder="1" applyAlignment="1">
      <alignment horizontal="center" vertical="center"/>
    </xf>
    <xf numFmtId="168" fontId="4" fillId="14" borderId="29" xfId="0" applyNumberFormat="1" applyFont="1" applyFill="1" applyBorder="1" applyAlignment="1">
      <alignment horizontal="center" vertical="center"/>
    </xf>
    <xf numFmtId="178" fontId="4" fillId="14" borderId="31" xfId="0" applyNumberFormat="1" applyFont="1" applyFill="1" applyBorder="1" applyAlignment="1">
      <alignment horizontal="center" vertical="center"/>
    </xf>
    <xf numFmtId="178" fontId="4" fillId="14" borderId="45" xfId="0" applyNumberFormat="1" applyFont="1" applyFill="1" applyBorder="1" applyAlignment="1">
      <alignment horizontal="center" vertical="center"/>
    </xf>
    <xf numFmtId="9" fontId="1" fillId="0" borderId="45" xfId="2" applyFont="1" applyFill="1" applyBorder="1" applyAlignment="1">
      <alignment horizontal="center" vertical="center"/>
    </xf>
    <xf numFmtId="0" fontId="23" fillId="7" borderId="1"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24" fillId="8" borderId="29" xfId="0" applyFont="1" applyFill="1" applyBorder="1" applyAlignment="1">
      <alignment horizontal="center" vertical="center" wrapText="1"/>
    </xf>
    <xf numFmtId="166" fontId="8" fillId="3" borderId="1" xfId="0" applyNumberFormat="1" applyFont="1" applyFill="1" applyBorder="1" applyAlignment="1">
      <alignment horizontal="center" vertical="center"/>
    </xf>
    <xf numFmtId="166" fontId="8" fillId="3" borderId="2" xfId="0" applyNumberFormat="1" applyFont="1" applyFill="1" applyBorder="1" applyAlignment="1">
      <alignment horizontal="center" vertical="center"/>
    </xf>
    <xf numFmtId="166" fontId="8" fillId="3" borderId="4" xfId="0" applyNumberFormat="1" applyFont="1" applyFill="1" applyBorder="1" applyAlignment="1">
      <alignment horizontal="center" vertical="center"/>
    </xf>
    <xf numFmtId="166" fontId="8" fillId="3" borderId="5" xfId="0" applyNumberFormat="1" applyFont="1" applyFill="1" applyBorder="1" applyAlignment="1">
      <alignment horizontal="center" vertical="center"/>
    </xf>
    <xf numFmtId="168" fontId="23" fillId="7" borderId="24" xfId="0" applyNumberFormat="1" applyFont="1" applyFill="1" applyBorder="1" applyAlignment="1">
      <alignment horizontal="center" vertical="center" wrapText="1"/>
    </xf>
    <xf numFmtId="0" fontId="22" fillId="8" borderId="24" xfId="0" applyFont="1" applyFill="1" applyBorder="1" applyAlignment="1">
      <alignment horizontal="center" vertical="center" wrapText="1"/>
    </xf>
    <xf numFmtId="168" fontId="19" fillId="0" borderId="24" xfId="0" applyNumberFormat="1" applyFont="1" applyFill="1" applyBorder="1" applyAlignment="1">
      <alignment horizontal="center" vertical="center"/>
    </xf>
    <xf numFmtId="168" fontId="19" fillId="17" borderId="24" xfId="0" applyNumberFormat="1" applyFont="1" applyFill="1" applyBorder="1" applyAlignment="1">
      <alignment horizontal="center" vertical="center"/>
    </xf>
    <xf numFmtId="0" fontId="23" fillId="7" borderId="24" xfId="0" applyFont="1" applyFill="1" applyBorder="1" applyAlignment="1">
      <alignment horizontal="center" vertical="center" wrapText="1"/>
    </xf>
    <xf numFmtId="0" fontId="41" fillId="2" borderId="26" xfId="0" applyFont="1" applyFill="1" applyBorder="1" applyAlignment="1">
      <alignment horizontal="left" vertical="center"/>
    </xf>
    <xf numFmtId="0" fontId="41" fillId="2" borderId="50" xfId="0" applyFont="1" applyFill="1" applyBorder="1" applyAlignment="1">
      <alignment horizontal="left" vertical="center"/>
    </xf>
    <xf numFmtId="0" fontId="41" fillId="40" borderId="26" xfId="0" applyFont="1" applyFill="1" applyBorder="1" applyAlignment="1">
      <alignment horizontal="left" vertical="center"/>
    </xf>
    <xf numFmtId="0" fontId="41" fillId="40" borderId="50" xfId="0" applyFont="1" applyFill="1" applyBorder="1" applyAlignment="1">
      <alignment horizontal="left" vertical="center"/>
    </xf>
    <xf numFmtId="0" fontId="42" fillId="2" borderId="0" xfId="0" applyFont="1" applyFill="1" applyBorder="1" applyAlignment="1">
      <alignment horizontal="center" vertical="center"/>
    </xf>
    <xf numFmtId="0" fontId="0" fillId="2" borderId="0" xfId="0" applyFont="1" applyFill="1" applyBorder="1"/>
    <xf numFmtId="0" fontId="42" fillId="12" borderId="26" xfId="0" applyFont="1" applyFill="1" applyBorder="1" applyAlignment="1">
      <alignment horizontal="center"/>
    </xf>
    <xf numFmtId="0" fontId="42" fillId="12" borderId="50" xfId="0" applyFont="1" applyFill="1" applyBorder="1" applyAlignment="1">
      <alignment horizontal="center"/>
    </xf>
    <xf numFmtId="0" fontId="54" fillId="5" borderId="26" xfId="0" applyFont="1" applyFill="1" applyBorder="1" applyAlignment="1">
      <alignment horizontal="center" vertical="center"/>
    </xf>
    <xf numFmtId="0" fontId="54" fillId="5" borderId="60" xfId="0" applyFont="1" applyFill="1" applyBorder="1" applyAlignment="1">
      <alignment horizontal="center" vertical="center"/>
    </xf>
    <xf numFmtId="0" fontId="54" fillId="5" borderId="50" xfId="0" applyFont="1" applyFill="1" applyBorder="1" applyAlignment="1">
      <alignment horizontal="center" vertical="center"/>
    </xf>
    <xf numFmtId="0" fontId="54" fillId="27" borderId="26" xfId="0" applyFont="1" applyFill="1" applyBorder="1" applyAlignment="1">
      <alignment horizontal="center" vertical="center"/>
    </xf>
    <xf numFmtId="0" fontId="54" fillId="27" borderId="60" xfId="0" applyFont="1" applyFill="1" applyBorder="1" applyAlignment="1">
      <alignment horizontal="center" vertical="center"/>
    </xf>
    <xf numFmtId="0" fontId="54" fillId="27" borderId="50" xfId="0" applyFont="1" applyFill="1" applyBorder="1" applyAlignment="1">
      <alignment horizontal="center" vertical="center"/>
    </xf>
    <xf numFmtId="0" fontId="53" fillId="36" borderId="26" xfId="0" applyFont="1" applyFill="1" applyBorder="1" applyAlignment="1">
      <alignment horizontal="center" vertical="center"/>
    </xf>
    <xf numFmtId="0" fontId="53" fillId="36" borderId="60" xfId="0" applyFont="1" applyFill="1" applyBorder="1" applyAlignment="1">
      <alignment horizontal="center" vertical="center"/>
    </xf>
    <xf numFmtId="0" fontId="53" fillId="36" borderId="50" xfId="0" applyFont="1" applyFill="1" applyBorder="1" applyAlignment="1">
      <alignment horizontal="center" vertical="center"/>
    </xf>
    <xf numFmtId="1" fontId="64" fillId="2" borderId="61" xfId="0" applyNumberFormat="1" applyFont="1" applyFill="1" applyBorder="1" applyAlignment="1">
      <alignment horizontal="center" vertical="center" wrapText="1"/>
    </xf>
    <xf numFmtId="1" fontId="64" fillId="2" borderId="0" xfId="0" applyNumberFormat="1" applyFont="1" applyFill="1" applyBorder="1" applyAlignment="1">
      <alignment horizontal="center" vertical="center" wrapText="1"/>
    </xf>
    <xf numFmtId="0" fontId="0" fillId="2" borderId="0" xfId="0" applyFill="1" applyBorder="1" applyAlignment="1">
      <alignment horizontal="center"/>
    </xf>
    <xf numFmtId="0" fontId="0" fillId="34" borderId="65" xfId="0" applyNumberFormat="1" applyFill="1" applyBorder="1"/>
    <xf numFmtId="2" fontId="0" fillId="34" borderId="7" xfId="0" applyNumberFormat="1" applyFont="1" applyFill="1" applyBorder="1" applyAlignment="1">
      <alignment horizontal="center" vertical="center"/>
    </xf>
    <xf numFmtId="0" fontId="0" fillId="34" borderId="7" xfId="0" applyFont="1" applyFill="1" applyBorder="1" applyAlignment="1">
      <alignment horizontal="center" vertical="center"/>
    </xf>
    <xf numFmtId="0" fontId="0" fillId="34" borderId="0" xfId="0" applyNumberFormat="1" applyFill="1"/>
  </cellXfs>
  <cellStyles count="11">
    <cellStyle name="Hipervínculo" xfId="10" builtinId="8"/>
    <cellStyle name="Millares" xfId="1" builtinId="3"/>
    <cellStyle name="Millares [0]" xfId="9" builtinId="6"/>
    <cellStyle name="Normal" xfId="0" builtinId="0"/>
    <cellStyle name="Normal 2" xfId="7"/>
    <cellStyle name="Normal 3" xfId="6"/>
    <cellStyle name="Normal_Hoja1" xfId="4"/>
    <cellStyle name="Normal_Hoja5" xfId="5"/>
    <cellStyle name="Normal_Merluza sur Artesanal X_1" xfId="8"/>
    <cellStyle name="Porcentaje" xfId="2" builtinId="5"/>
    <cellStyle name="Porcentual 2" xfId="3"/>
  </cellStyles>
  <dxfs count="11">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s>
  <tableStyles count="0" defaultTableStyle="TableStyleMedium9" defaultPivotStyle="PivotStyleLight16"/>
  <colors>
    <mruColors>
      <color rgb="FFA8DAF6"/>
      <color rgb="FFFA6AFE"/>
      <color rgb="FFC00CA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93134</xdr:rowOff>
    </xdr:from>
    <xdr:to>
      <xdr:col>2</xdr:col>
      <xdr:colOff>93135</xdr:colOff>
      <xdr:row>4</xdr:row>
      <xdr:rowOff>8466</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389468" y="304801"/>
          <a:ext cx="1295400" cy="39793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34635</xdr:colOff>
      <xdr:row>1</xdr:row>
      <xdr:rowOff>23091</xdr:rowOff>
    </xdr:from>
    <xdr:to>
      <xdr:col>1</xdr:col>
      <xdr:colOff>1337655</xdr:colOff>
      <xdr:row>2</xdr:row>
      <xdr:rowOff>230909</xdr:rowOff>
    </xdr:to>
    <xdr:pic>
      <xdr:nvPicPr>
        <xdr:cNvPr id="3" name="2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1662544" y="219364"/>
          <a:ext cx="1303020" cy="554181"/>
        </a:xfrm>
        <a:prstGeom prst="rect">
          <a:avLst/>
        </a:prstGeom>
        <a:solidFill>
          <a:sysClr val="window" lastClr="FFFFFF"/>
        </a:solidFill>
        <a:ln w="9525">
          <a:solidFill>
            <a:schemeClr val="accent1"/>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287129</xdr:colOff>
      <xdr:row>1</xdr:row>
      <xdr:rowOff>33130</xdr:rowOff>
    </xdr:from>
    <xdr:to>
      <xdr:col>2</xdr:col>
      <xdr:colOff>445051</xdr:colOff>
      <xdr:row>2</xdr:row>
      <xdr:rowOff>178409</xdr:rowOff>
    </xdr:to>
    <xdr:pic>
      <xdr:nvPicPr>
        <xdr:cNvPr id="3" name="2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287129" y="220869"/>
          <a:ext cx="1295400" cy="564931"/>
        </a:xfrm>
        <a:prstGeom prst="rect">
          <a:avLst/>
        </a:prstGeom>
        <a:solidFill>
          <a:sysClr val="window" lastClr="FFFFFF"/>
        </a:solidFill>
        <a:ln w="9525">
          <a:solidFill>
            <a:schemeClr val="accent1"/>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328447</xdr:colOff>
      <xdr:row>1</xdr:row>
      <xdr:rowOff>0</xdr:rowOff>
    </xdr:from>
    <xdr:to>
      <xdr:col>2</xdr:col>
      <xdr:colOff>638502</xdr:colOff>
      <xdr:row>2</xdr:row>
      <xdr:rowOff>262759</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328447" y="197069"/>
          <a:ext cx="1295400" cy="564931"/>
        </a:xfrm>
        <a:prstGeom prst="rect">
          <a:avLst/>
        </a:prstGeom>
        <a:solidFill>
          <a:sysClr val="window" lastClr="FFFFFF"/>
        </a:solidFill>
        <a:ln w="9525">
          <a:solidFill>
            <a:schemeClr val="accent1"/>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xdr:colOff>
      <xdr:row>1</xdr:row>
      <xdr:rowOff>13855</xdr:rowOff>
    </xdr:from>
    <xdr:to>
      <xdr:col>2</xdr:col>
      <xdr:colOff>1303021</xdr:colOff>
      <xdr:row>2</xdr:row>
      <xdr:rowOff>315550</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443346" y="207819"/>
          <a:ext cx="1303020" cy="564931"/>
        </a:xfrm>
        <a:prstGeom prst="rect">
          <a:avLst/>
        </a:prstGeom>
        <a:solidFill>
          <a:sysClr val="window" lastClr="FFFFFF"/>
        </a:solidFill>
        <a:ln w="9525">
          <a:solidFill>
            <a:schemeClr val="accent1"/>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seo\Proceso_de_Control_de_Cuotas\C\Users\rgarcia\AppData\Local\Microsoft\Windows\Temporary%20Internet%20Files\Content.Outlook\TPOAYCY7\Cuota%20Merluza%20del%20Sur%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ur XI"/>
      <sheetName val="RAE M. SUR 2019"/>
    </sheetNames>
    <sheetDataSet>
      <sheetData sheetId="0" refreshError="1"/>
      <sheetData sheetId="1">
        <row r="261">
          <cell r="L261">
            <v>6.29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showGridLines="0" tabSelected="1" zoomScale="90" zoomScaleNormal="90" zoomScalePageLayoutView="90" workbookViewId="0">
      <selection activeCell="B6" sqref="B6"/>
    </sheetView>
  </sheetViews>
  <sheetFormatPr baseColWidth="10" defaultColWidth="11.42578125" defaultRowHeight="15"/>
  <cols>
    <col min="1" max="1" width="5.7109375" style="97" customWidth="1"/>
    <col min="2" max="2" width="17.5703125" style="1" customWidth="1"/>
    <col min="3" max="3" width="35.85546875" style="1" customWidth="1"/>
    <col min="4" max="4" width="14.28515625" style="1" customWidth="1"/>
    <col min="5" max="5" width="17.5703125" style="1" customWidth="1"/>
    <col min="6" max="6" width="9.85546875" style="1" customWidth="1"/>
    <col min="7" max="7" width="12.42578125" style="1" customWidth="1"/>
    <col min="8" max="8" width="12.28515625" style="1" customWidth="1"/>
    <col min="9" max="9" width="8.5703125" style="1" customWidth="1"/>
    <col min="10" max="10" width="9" style="1" customWidth="1"/>
    <col min="11" max="16384" width="11.42578125" style="1"/>
  </cols>
  <sheetData>
    <row r="1" spans="1:11" s="51" customFormat="1" ht="16.899999999999999" customHeight="1">
      <c r="A1" s="95"/>
    </row>
    <row r="2" spans="1:11" s="51" customFormat="1" ht="8.25" customHeight="1" thickBot="1">
      <c r="A2" s="95"/>
    </row>
    <row r="3" spans="1:11">
      <c r="A3" s="96"/>
      <c r="B3" s="694" t="s">
        <v>0</v>
      </c>
      <c r="C3" s="695"/>
      <c r="D3" s="695"/>
      <c r="E3" s="695"/>
      <c r="F3" s="695"/>
      <c r="G3" s="695"/>
      <c r="H3" s="695"/>
      <c r="I3" s="696"/>
      <c r="J3" s="2"/>
    </row>
    <row r="4" spans="1:11" ht="15.75" thickBot="1">
      <c r="A4" s="96"/>
      <c r="B4" s="697">
        <v>43661</v>
      </c>
      <c r="C4" s="698"/>
      <c r="D4" s="698"/>
      <c r="E4" s="698"/>
      <c r="F4" s="698"/>
      <c r="G4" s="698"/>
      <c r="H4" s="698"/>
      <c r="I4" s="699"/>
      <c r="J4" s="2"/>
    </row>
    <row r="5" spans="1:11" ht="15.75" thickBot="1">
      <c r="B5" s="3"/>
      <c r="C5" s="3"/>
      <c r="D5" s="3"/>
      <c r="E5" s="3"/>
      <c r="F5" s="3"/>
      <c r="G5" s="3"/>
      <c r="H5" s="3"/>
      <c r="I5" s="3"/>
    </row>
    <row r="6" spans="1:11" ht="30">
      <c r="A6" s="96"/>
      <c r="B6" s="171" t="s">
        <v>1</v>
      </c>
      <c r="C6" s="172" t="s">
        <v>2</v>
      </c>
      <c r="D6" s="172" t="s">
        <v>3</v>
      </c>
      <c r="E6" s="172" t="s">
        <v>4</v>
      </c>
      <c r="F6" s="172" t="s">
        <v>5</v>
      </c>
      <c r="G6" s="172" t="s">
        <v>6</v>
      </c>
      <c r="H6" s="172" t="s">
        <v>7</v>
      </c>
      <c r="I6" s="173" t="s">
        <v>8</v>
      </c>
      <c r="J6" s="2"/>
    </row>
    <row r="7" spans="1:11" ht="15" customHeight="1">
      <c r="A7" s="96">
        <v>6192</v>
      </c>
      <c r="B7" s="700" t="s">
        <v>9</v>
      </c>
      <c r="C7" s="489" t="s">
        <v>10</v>
      </c>
      <c r="D7" s="175">
        <f>+'Merluza sur Artesanal X'!L36</f>
        <v>6192</v>
      </c>
      <c r="E7" s="603">
        <f>+'Merluza sur Artesanal X'!M36</f>
        <v>-1651.2359999999999</v>
      </c>
      <c r="F7" s="176">
        <f>D7+E7</f>
        <v>4540.7640000000001</v>
      </c>
      <c r="G7" s="215">
        <f>+'Merluza sur Artesanal X'!O36</f>
        <v>2703.6320000000001</v>
      </c>
      <c r="H7" s="176">
        <f>F7-G7</f>
        <v>1837.1320000000001</v>
      </c>
      <c r="I7" s="177">
        <f>G7/F7</f>
        <v>0.59541345905666976</v>
      </c>
      <c r="J7" s="2"/>
    </row>
    <row r="8" spans="1:11" ht="15" customHeight="1">
      <c r="A8" s="98"/>
      <c r="B8" s="701"/>
      <c r="C8" s="489" t="s">
        <v>11</v>
      </c>
      <c r="D8" s="175">
        <f>+'Merluza sur Artesanal XI'!G208</f>
        <v>3773.9999947164001</v>
      </c>
      <c r="E8" s="603">
        <f>+'Merluza sur Artesanal XI'!H208</f>
        <v>-2837.2460000000001</v>
      </c>
      <c r="F8" s="175">
        <f>D8+E8</f>
        <v>936.75399471640003</v>
      </c>
      <c r="G8" s="216">
        <f>+'Merluza sur Artesanal XI'!J208</f>
        <v>553.78011111111118</v>
      </c>
      <c r="H8" s="176">
        <f>F8-G8</f>
        <v>382.97388360528885</v>
      </c>
      <c r="I8" s="177">
        <f t="shared" ref="I8" si="0">G8/F8</f>
        <v>0.59116920155623864</v>
      </c>
      <c r="J8" s="2"/>
      <c r="K8" s="276"/>
    </row>
    <row r="9" spans="1:11" ht="15" customHeight="1">
      <c r="A9" s="99">
        <v>1716.9983999279982</v>
      </c>
      <c r="B9" s="701"/>
      <c r="C9" s="489" t="s">
        <v>12</v>
      </c>
      <c r="D9" s="175">
        <f>+'Merluza sur Artesanal XII'!G280</f>
        <v>1716.9983999279989</v>
      </c>
      <c r="E9" s="603">
        <f>+'Merluza sur Artesanal XII'!H280</f>
        <v>-1697.8479999999984</v>
      </c>
      <c r="F9" s="176">
        <f t="shared" ref="F9:F16" si="1">D9+E9</f>
        <v>19.150399928000525</v>
      </c>
      <c r="G9" s="213">
        <f>+'Merluza sur Artesanal XII'!J280</f>
        <v>5.1143999999999998</v>
      </c>
      <c r="H9" s="176">
        <f t="shared" ref="H9:H17" si="2">F9-G9</f>
        <v>14.035999928000525</v>
      </c>
      <c r="I9" s="177">
        <f>G9/F9</f>
        <v>0.26706491870814886</v>
      </c>
      <c r="J9" s="2"/>
      <c r="K9" s="276"/>
    </row>
    <row r="10" spans="1:11" ht="15" customHeight="1">
      <c r="A10" s="96"/>
      <c r="B10" s="701"/>
      <c r="C10" s="178" t="s">
        <v>13</v>
      </c>
      <c r="D10" s="179">
        <f>SUM(D7:D9)</f>
        <v>11682.998394644399</v>
      </c>
      <c r="E10" s="502">
        <f>SUM(E7:E9)</f>
        <v>-6186.3299999999981</v>
      </c>
      <c r="F10" s="180">
        <f t="shared" si="1"/>
        <v>5496.6683946444009</v>
      </c>
      <c r="G10" s="657">
        <f>SUM(G7:G9)</f>
        <v>3262.5265111111112</v>
      </c>
      <c r="H10" s="180">
        <f t="shared" si="2"/>
        <v>2234.1418835332897</v>
      </c>
      <c r="I10" s="181">
        <f t="shared" ref="I10:I17" si="3">G10/F10</f>
        <v>0.59354617686049727</v>
      </c>
      <c r="J10" s="2"/>
      <c r="K10" s="276"/>
    </row>
    <row r="11" spans="1:11" ht="15" customHeight="1">
      <c r="A11" s="96"/>
      <c r="B11" s="701"/>
      <c r="C11" s="174" t="s">
        <v>14</v>
      </c>
      <c r="D11" s="175">
        <v>21</v>
      </c>
      <c r="E11" s="213">
        <v>0</v>
      </c>
      <c r="F11" s="176">
        <f t="shared" si="1"/>
        <v>21</v>
      </c>
      <c r="G11" s="216">
        <v>0</v>
      </c>
      <c r="H11" s="176">
        <f t="shared" si="2"/>
        <v>21</v>
      </c>
      <c r="I11" s="177">
        <f t="shared" si="3"/>
        <v>0</v>
      </c>
      <c r="J11" s="2"/>
      <c r="K11" s="276"/>
    </row>
    <row r="12" spans="1:11" ht="15" customHeight="1">
      <c r="A12" s="96"/>
      <c r="B12" s="702"/>
      <c r="C12" s="178" t="s">
        <v>15</v>
      </c>
      <c r="D12" s="179">
        <f>SUM(D10:D11)</f>
        <v>11703.998394644399</v>
      </c>
      <c r="E12" s="501">
        <f>SUM(E10:E11)</f>
        <v>-6186.3299999999981</v>
      </c>
      <c r="F12" s="179">
        <f>D12+E12</f>
        <v>5517.6683946444009</v>
      </c>
      <c r="G12" s="657">
        <f>SUM(G10:G11)</f>
        <v>3262.5265111111112</v>
      </c>
      <c r="H12" s="179">
        <f t="shared" si="2"/>
        <v>2255.1418835332897</v>
      </c>
      <c r="I12" s="182">
        <f t="shared" si="3"/>
        <v>0.59128716656437852</v>
      </c>
      <c r="J12" s="2"/>
      <c r="K12" s="276"/>
    </row>
    <row r="13" spans="1:11" ht="15" customHeight="1">
      <c r="A13" s="100">
        <v>4759.0009518000006</v>
      </c>
      <c r="B13" s="703" t="s">
        <v>16</v>
      </c>
      <c r="C13" s="491" t="s">
        <v>359</v>
      </c>
      <c r="D13" s="175">
        <f>+'Merluza sur Industrial'!F39</f>
        <v>4759.0009518000006</v>
      </c>
      <c r="E13" s="213">
        <f>+'Merluza sur Industrial'!G39</f>
        <v>5933.5648106500003</v>
      </c>
      <c r="F13" s="176">
        <f t="shared" si="1"/>
        <v>10692.565762450002</v>
      </c>
      <c r="G13" s="216">
        <f>+'Merluza sur Industrial'!I39</f>
        <v>4118.9014900000002</v>
      </c>
      <c r="H13" s="176">
        <f t="shared" si="2"/>
        <v>6573.6642724500016</v>
      </c>
      <c r="I13" s="177">
        <f t="shared" si="3"/>
        <v>0.38521170517039971</v>
      </c>
      <c r="J13" s="2"/>
      <c r="K13" s="276"/>
    </row>
    <row r="14" spans="1:11" ht="15" customHeight="1">
      <c r="A14" s="100">
        <v>3043.0003043000002</v>
      </c>
      <c r="B14" s="704"/>
      <c r="C14" s="491" t="s">
        <v>360</v>
      </c>
      <c r="D14" s="175">
        <f>+'Merluza sur Industrial'!F67</f>
        <v>3043.0003043000006</v>
      </c>
      <c r="E14" s="213">
        <f>+'Merluza sur Industrial'!G67</f>
        <v>252.77457937999995</v>
      </c>
      <c r="F14" s="176">
        <f t="shared" si="1"/>
        <v>3295.7748836800006</v>
      </c>
      <c r="G14" s="216">
        <f>+'Merluza sur Industrial'!I67</f>
        <v>340.79300000000001</v>
      </c>
      <c r="H14" s="176">
        <f t="shared" si="2"/>
        <v>2954.9818836800005</v>
      </c>
      <c r="I14" s="177">
        <f t="shared" si="3"/>
        <v>0.10340299687564732</v>
      </c>
      <c r="J14" s="2"/>
      <c r="K14" s="276"/>
    </row>
    <row r="15" spans="1:11" ht="15" customHeight="1">
      <c r="A15" s="96"/>
      <c r="B15" s="705"/>
      <c r="C15" s="672" t="s">
        <v>17</v>
      </c>
      <c r="D15" s="179">
        <f>SUM(D13:D14)</f>
        <v>7802.0012561000012</v>
      </c>
      <c r="E15" s="179">
        <f>SUM(E13:E14)</f>
        <v>6186.3393900299998</v>
      </c>
      <c r="F15" s="179">
        <f>D15+E15</f>
        <v>13988.34064613</v>
      </c>
      <c r="G15" s="658">
        <f>SUM(G13:G14)</f>
        <v>4459.6944899999999</v>
      </c>
      <c r="H15" s="179">
        <f t="shared" si="2"/>
        <v>9528.6461561300002</v>
      </c>
      <c r="I15" s="182">
        <f t="shared" si="3"/>
        <v>0.31881511916381694</v>
      </c>
      <c r="J15" s="2"/>
      <c r="K15" s="276"/>
    </row>
    <row r="16" spans="1:11" ht="15" customHeight="1">
      <c r="A16" s="96"/>
      <c r="B16" s="706" t="s">
        <v>18</v>
      </c>
      <c r="C16" s="707"/>
      <c r="D16" s="183">
        <v>31</v>
      </c>
      <c r="E16" s="214">
        <v>0</v>
      </c>
      <c r="F16" s="183">
        <f t="shared" si="1"/>
        <v>31</v>
      </c>
      <c r="G16" s="214">
        <v>0</v>
      </c>
      <c r="H16" s="183">
        <f t="shared" si="2"/>
        <v>31</v>
      </c>
      <c r="I16" s="184">
        <f t="shared" si="3"/>
        <v>0</v>
      </c>
      <c r="J16" s="2"/>
      <c r="K16" s="276"/>
    </row>
    <row r="17" spans="1:11" ht="22.9" customHeight="1" thickBot="1">
      <c r="A17" s="96"/>
      <c r="B17" s="481" t="s">
        <v>19</v>
      </c>
      <c r="C17" s="482"/>
      <c r="D17" s="185">
        <f>+D12+D15+D16</f>
        <v>19536.999650744401</v>
      </c>
      <c r="E17" s="185">
        <f>SUM(E10+E15)</f>
        <v>9.3900300016684923E-3</v>
      </c>
      <c r="F17" s="186">
        <f>+D17+E17</f>
        <v>19537.009040774403</v>
      </c>
      <c r="G17" s="187">
        <f>SUM(G7:G16)</f>
        <v>18706.968513333333</v>
      </c>
      <c r="H17" s="187">
        <f t="shared" si="2"/>
        <v>830.04052744106957</v>
      </c>
      <c r="I17" s="188">
        <f t="shared" si="3"/>
        <v>0.95751445240626409</v>
      </c>
      <c r="J17" s="2"/>
      <c r="K17" s="276"/>
    </row>
    <row r="18" spans="1:11" ht="12.6" customHeight="1">
      <c r="K18" s="655"/>
    </row>
    <row r="19" spans="1:11" hidden="1">
      <c r="B19" s="4" t="s">
        <v>20</v>
      </c>
      <c r="K19" s="653"/>
    </row>
    <row r="20" spans="1:11">
      <c r="D20" s="5"/>
      <c r="G20" s="673"/>
      <c r="K20" s="653"/>
    </row>
    <row r="21" spans="1:11" ht="15.75" thickBot="1">
      <c r="F21" s="5"/>
      <c r="K21" s="653"/>
    </row>
    <row r="22" spans="1:11">
      <c r="A22" s="96"/>
      <c r="B22" s="714" t="s">
        <v>21</v>
      </c>
      <c r="C22" s="715"/>
      <c r="D22" s="715"/>
      <c r="E22" s="715"/>
      <c r="F22" s="715"/>
      <c r="G22" s="715"/>
      <c r="H22" s="715"/>
      <c r="I22" s="716"/>
      <c r="J22" s="2"/>
    </row>
    <row r="23" spans="1:11" ht="15.75" thickBot="1">
      <c r="A23" s="96"/>
      <c r="B23" s="717">
        <f>+B4</f>
        <v>43661</v>
      </c>
      <c r="C23" s="718"/>
      <c r="D23" s="718"/>
      <c r="E23" s="718"/>
      <c r="F23" s="718"/>
      <c r="G23" s="718"/>
      <c r="H23" s="718"/>
      <c r="I23" s="719"/>
      <c r="J23" s="2"/>
    </row>
    <row r="25" spans="1:11" ht="3" customHeight="1" thickBot="1"/>
    <row r="26" spans="1:11" ht="14.65" customHeight="1">
      <c r="A26" s="96"/>
      <c r="B26" s="720" t="s">
        <v>22</v>
      </c>
      <c r="C26" s="722" t="s">
        <v>23</v>
      </c>
      <c r="D26" s="722" t="s">
        <v>24</v>
      </c>
      <c r="E26" s="724" t="s">
        <v>25</v>
      </c>
      <c r="F26" s="724"/>
      <c r="G26" s="725" t="s">
        <v>26</v>
      </c>
      <c r="H26" s="727" t="s">
        <v>27</v>
      </c>
      <c r="I26" s="729" t="s">
        <v>28</v>
      </c>
      <c r="J26" s="710" t="s">
        <v>29</v>
      </c>
    </row>
    <row r="27" spans="1:11">
      <c r="A27" s="96"/>
      <c r="B27" s="721"/>
      <c r="C27" s="723"/>
      <c r="D27" s="723"/>
      <c r="E27" s="418" t="s">
        <v>16</v>
      </c>
      <c r="F27" s="418" t="s">
        <v>9</v>
      </c>
      <c r="G27" s="726"/>
      <c r="H27" s="728"/>
      <c r="I27" s="730"/>
      <c r="J27" s="711"/>
    </row>
    <row r="28" spans="1:11" ht="16.899999999999999" customHeight="1">
      <c r="A28" s="96"/>
      <c r="B28" s="712" t="s">
        <v>481</v>
      </c>
      <c r="C28" s="445" t="s">
        <v>514</v>
      </c>
      <c r="D28" s="440">
        <v>5</v>
      </c>
      <c r="E28" s="441">
        <f>+'Merluza sur Industrial'!C89</f>
        <v>11.646000000000001</v>
      </c>
      <c r="F28" s="441">
        <f>0.144+1.53</f>
        <v>1.6739999999999999</v>
      </c>
      <c r="G28" s="442">
        <f>+E28+F28</f>
        <v>13.32</v>
      </c>
      <c r="H28" s="558">
        <f>+D28-E28-F28</f>
        <v>-8.32</v>
      </c>
      <c r="I28" s="443">
        <f>+G28/D28</f>
        <v>2.6640000000000001</v>
      </c>
      <c r="J28" s="444">
        <v>43571</v>
      </c>
    </row>
    <row r="29" spans="1:11" ht="15.75" thickBot="1">
      <c r="A29" s="96"/>
      <c r="B29" s="713"/>
      <c r="C29" s="483" t="s">
        <v>513</v>
      </c>
      <c r="D29" s="484">
        <v>50</v>
      </c>
      <c r="E29" s="485">
        <f>+'Merluza sur Industrial'!C90</f>
        <v>2.407</v>
      </c>
      <c r="F29" s="485">
        <v>0</v>
      </c>
      <c r="G29" s="485">
        <f>+E29+F29</f>
        <v>2.407</v>
      </c>
      <c r="H29" s="486">
        <f>+D29-E29-F29</f>
        <v>47.593000000000004</v>
      </c>
      <c r="I29" s="487">
        <f>+G29/D29</f>
        <v>4.8140000000000002E-2</v>
      </c>
      <c r="J29" s="488" t="s">
        <v>30</v>
      </c>
    </row>
    <row r="30" spans="1:11" ht="15.75" thickBot="1">
      <c r="B30" s="708" t="s">
        <v>480</v>
      </c>
      <c r="C30" s="709"/>
      <c r="D30" s="421">
        <f>SUM(D28:D29)</f>
        <v>55</v>
      </c>
      <c r="E30" s="557">
        <f>SUM(E28:E29)</f>
        <v>14.053000000000001</v>
      </c>
      <c r="F30" s="557">
        <f t="shared" ref="F30:G30" si="4">SUM(F28:F29)</f>
        <v>1.6739999999999999</v>
      </c>
      <c r="G30" s="557">
        <f t="shared" si="4"/>
        <v>15.727</v>
      </c>
      <c r="H30" s="557">
        <f>+D30-E30-F30</f>
        <v>39.273000000000003</v>
      </c>
      <c r="I30" s="422">
        <f>+G30/D30</f>
        <v>0.28594545454545456</v>
      </c>
    </row>
  </sheetData>
  <mergeCells count="17">
    <mergeCell ref="B30:C30"/>
    <mergeCell ref="J26:J27"/>
    <mergeCell ref="B28:B29"/>
    <mergeCell ref="B22:I22"/>
    <mergeCell ref="B23:I23"/>
    <mergeCell ref="B26:B27"/>
    <mergeCell ref="C26:C27"/>
    <mergeCell ref="D26:D27"/>
    <mergeCell ref="E26:F26"/>
    <mergeCell ref="G26:G27"/>
    <mergeCell ref="H26:H27"/>
    <mergeCell ref="I26:I27"/>
    <mergeCell ref="B3:I3"/>
    <mergeCell ref="B4:I4"/>
    <mergeCell ref="B7:B12"/>
    <mergeCell ref="B13:B15"/>
    <mergeCell ref="B16:C16"/>
  </mergeCells>
  <conditionalFormatting sqref="I13">
    <cfRule type="dataBar" priority="10">
      <dataBar>
        <cfvo type="min"/>
        <cfvo type="max"/>
        <color rgb="FF63C384"/>
      </dataBar>
    </cfRule>
  </conditionalFormatting>
  <conditionalFormatting sqref="I14">
    <cfRule type="dataBar" priority="9">
      <dataBar>
        <cfvo type="min"/>
        <cfvo type="max"/>
        <color rgb="FF63C384"/>
      </dataBar>
    </cfRule>
  </conditionalFormatting>
  <conditionalFormatting sqref="I7:I11 I13:I14">
    <cfRule type="dataBar" priority="8">
      <dataBar>
        <cfvo type="min"/>
        <cfvo type="max"/>
        <color rgb="FF63C384"/>
      </dataBar>
    </cfRule>
  </conditionalFormatting>
  <conditionalFormatting sqref="I7:I11 I13:I14">
    <cfRule type="dataBar" priority="7">
      <dataBar>
        <cfvo type="min"/>
        <cfvo type="max"/>
        <color rgb="FF008AEF"/>
      </dataBar>
    </cfRule>
  </conditionalFormatting>
  <conditionalFormatting sqref="I29">
    <cfRule type="cellIs" dxfId="10" priority="5" operator="greaterThan">
      <formula>0.9</formula>
    </cfRule>
    <cfRule type="dataBar" priority="6">
      <dataBar>
        <cfvo type="min"/>
        <cfvo type="max"/>
        <color rgb="FF008AEF"/>
      </dataBar>
    </cfRule>
  </conditionalFormatting>
  <conditionalFormatting sqref="I29">
    <cfRule type="dataBar" priority="4">
      <dataBar>
        <cfvo type="min"/>
        <cfvo type="max"/>
        <color rgb="FF008AEF"/>
      </dataBar>
    </cfRule>
  </conditionalFormatting>
  <conditionalFormatting sqref="I28:I29">
    <cfRule type="cellIs" dxfId="9" priority="2" operator="greaterThan">
      <formula>0.9</formula>
    </cfRule>
    <cfRule type="dataBar" priority="3">
      <dataBar>
        <cfvo type="min"/>
        <cfvo type="max"/>
        <color rgb="FF008AEF"/>
      </dataBar>
    </cfRule>
  </conditionalFormatting>
  <conditionalFormatting sqref="I28:I29">
    <cfRule type="dataBar" priority="1">
      <dataBar>
        <cfvo type="min"/>
        <cfvo type="max"/>
        <color rgb="FF008AEF"/>
      </dataBar>
    </cfRule>
  </conditionalFormatting>
  <hyperlinks>
    <hyperlink ref="C7" location="'Merluza sur Artesanal X'!A1" display="REGION DE LOS LAGOS"/>
    <hyperlink ref="C8" location="'Merluza sur Artesanal XI'!A1" display="REGION DE AYSEN"/>
    <hyperlink ref="C9" location="'Merluza sur Artesanal XII'!A1" display="REGION DE MAGALLANES"/>
    <hyperlink ref="C13" location="'Merluza sur Industrial'!B11" display="MERLUZA DEL SUR 41°28,6' al 47° L.S. (NE)"/>
    <hyperlink ref="C14" location="'Merluza sur Industrial'!B49" display="MERLUZA DEL SUR 47° al 57° L.S. (SE)"/>
  </hyperlinks>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B1:U451"/>
  <sheetViews>
    <sheetView showGridLines="0" zoomScale="90" zoomScaleNormal="90" zoomScalePageLayoutView="125" workbookViewId="0">
      <pane xSplit="5" ySplit="11" topLeftCell="F12" activePane="bottomRight" state="frozen"/>
      <selection pane="topRight" activeCell="F1" sqref="F1"/>
      <selection pane="bottomLeft" activeCell="A12" sqref="A12"/>
      <selection pane="bottomRight" activeCell="N93" sqref="N93"/>
    </sheetView>
  </sheetViews>
  <sheetFormatPr baseColWidth="10" defaultColWidth="11.42578125" defaultRowHeight="15"/>
  <cols>
    <col min="1" max="1" width="15.5703125" style="6" customWidth="1"/>
    <col min="2" max="2" width="26.7109375" style="45" customWidth="1"/>
    <col min="3" max="3" width="14.140625" style="45" customWidth="1"/>
    <col min="4" max="4" width="12.140625" style="45" customWidth="1"/>
    <col min="5" max="5" width="18.85546875" style="45" customWidth="1"/>
    <col min="6" max="6" width="13.42578125" style="45" customWidth="1"/>
    <col min="7" max="7" width="13.85546875" style="45" customWidth="1"/>
    <col min="8" max="8" width="13" style="232" customWidth="1"/>
    <col min="9" max="9" width="12.7109375" style="45" customWidth="1"/>
    <col min="10" max="10" width="15.140625" style="45" bestFit="1" customWidth="1"/>
    <col min="11" max="12" width="11.28515625" style="45" customWidth="1"/>
    <col min="13" max="13" width="13.42578125" style="45" customWidth="1"/>
    <col min="14" max="14" width="13.28515625" style="45" customWidth="1"/>
    <col min="15" max="15" width="11.42578125" style="45" customWidth="1"/>
    <col min="16" max="16" width="12" style="45" customWidth="1"/>
    <col min="17" max="17" width="9.7109375" style="45" customWidth="1"/>
    <col min="18" max="18" width="14.7109375" style="6" hidden="1" customWidth="1"/>
    <col min="19" max="19" width="19.7109375" style="6" customWidth="1"/>
    <col min="20" max="16384" width="11.42578125" style="6"/>
  </cols>
  <sheetData>
    <row r="1" spans="2:21" ht="15.75" thickBot="1">
      <c r="B1" s="6"/>
      <c r="C1" s="6"/>
      <c r="D1" s="6"/>
      <c r="E1" s="6"/>
      <c r="F1" s="6"/>
      <c r="G1" s="6"/>
      <c r="H1" s="230"/>
      <c r="I1" s="6"/>
      <c r="J1" s="6"/>
      <c r="K1" s="6"/>
      <c r="L1" s="6"/>
      <c r="M1" s="6"/>
      <c r="N1" s="6"/>
      <c r="O1" s="6"/>
      <c r="P1" s="6"/>
      <c r="Q1" s="6"/>
    </row>
    <row r="2" spans="2:21" s="7" customFormat="1" ht="27.6" customHeight="1">
      <c r="B2" s="738" t="s">
        <v>31</v>
      </c>
      <c r="C2" s="739"/>
      <c r="D2" s="739"/>
      <c r="E2" s="739"/>
      <c r="F2" s="739"/>
      <c r="G2" s="739"/>
      <c r="H2" s="739"/>
      <c r="I2" s="739"/>
      <c r="J2" s="739"/>
      <c r="K2" s="739"/>
      <c r="L2" s="739"/>
      <c r="M2" s="739"/>
      <c r="N2" s="739"/>
      <c r="O2" s="739"/>
      <c r="P2" s="739"/>
      <c r="Q2" s="740"/>
      <c r="T2" s="8"/>
      <c r="U2" s="8"/>
    </row>
    <row r="3" spans="2:21" s="7" customFormat="1" ht="19.899999999999999" customHeight="1" thickBot="1">
      <c r="B3" s="741">
        <f>+'Resumen Cuota Global'!B4:I4</f>
        <v>43661</v>
      </c>
      <c r="C3" s="742"/>
      <c r="D3" s="742"/>
      <c r="E3" s="742"/>
      <c r="F3" s="742"/>
      <c r="G3" s="742"/>
      <c r="H3" s="742"/>
      <c r="I3" s="742"/>
      <c r="J3" s="742"/>
      <c r="K3" s="742"/>
      <c r="L3" s="742"/>
      <c r="M3" s="742"/>
      <c r="N3" s="742"/>
      <c r="O3" s="742"/>
      <c r="P3" s="742"/>
      <c r="Q3" s="743"/>
      <c r="T3" s="8"/>
      <c r="U3" s="8"/>
    </row>
    <row r="4" spans="2:21" s="7" customFormat="1" ht="15" customHeight="1">
      <c r="B4" s="9"/>
      <c r="C4" s="9"/>
      <c r="D4" s="9"/>
      <c r="E4" s="9"/>
      <c r="F4" s="9"/>
      <c r="G4" s="9"/>
      <c r="H4" s="233"/>
      <c r="I4" s="448"/>
      <c r="J4" s="9"/>
      <c r="K4" s="9"/>
      <c r="L4" s="9"/>
      <c r="M4" s="9"/>
      <c r="N4" s="9"/>
      <c r="O4" s="9"/>
      <c r="P4" s="9"/>
      <c r="Q4" s="9"/>
      <c r="T4" s="8"/>
      <c r="U4" s="8"/>
    </row>
    <row r="5" spans="2:21" s="13" customFormat="1" ht="15" customHeight="1">
      <c r="B5" s="10" t="s">
        <v>32</v>
      </c>
      <c r="C5" s="10" t="s">
        <v>33</v>
      </c>
      <c r="D5" s="11" t="s">
        <v>3</v>
      </c>
      <c r="E5" s="12"/>
      <c r="F5" s="12"/>
      <c r="G5" s="9"/>
      <c r="H5" s="234"/>
      <c r="I5" s="446"/>
      <c r="J5" s="12"/>
      <c r="K5" s="12"/>
      <c r="L5" s="12"/>
      <c r="M5" s="12"/>
      <c r="N5" s="12"/>
      <c r="O5" s="12"/>
      <c r="P5" s="12"/>
      <c r="Q5" s="12"/>
      <c r="T5" s="14"/>
      <c r="U5" s="14"/>
    </row>
    <row r="6" spans="2:21" s="13" customFormat="1" ht="15" customHeight="1">
      <c r="B6" s="744" t="s">
        <v>34</v>
      </c>
      <c r="C6" s="15" t="s">
        <v>35</v>
      </c>
      <c r="D6" s="16">
        <v>1666</v>
      </c>
      <c r="E6" s="12"/>
      <c r="F6" s="12"/>
      <c r="G6" s="9"/>
      <c r="I6" s="12"/>
      <c r="J6" s="12"/>
      <c r="K6" s="12"/>
      <c r="L6" s="12"/>
      <c r="M6" s="12"/>
      <c r="N6" s="12"/>
      <c r="O6" s="12"/>
      <c r="P6" s="12"/>
      <c r="Q6" s="12"/>
      <c r="T6" s="14"/>
      <c r="U6" s="14"/>
    </row>
    <row r="7" spans="2:21" s="13" customFormat="1" ht="15" customHeight="1">
      <c r="B7" s="744"/>
      <c r="C7" s="15" t="s">
        <v>36</v>
      </c>
      <c r="D7" s="16" t="s">
        <v>37</v>
      </c>
      <c r="E7" s="12"/>
      <c r="F7" s="12"/>
      <c r="G7" s="9"/>
      <c r="H7" s="333"/>
      <c r="I7" s="12"/>
      <c r="J7" s="12"/>
      <c r="K7" s="12"/>
      <c r="L7" s="12"/>
      <c r="M7" s="12"/>
      <c r="N7" s="12"/>
      <c r="O7" s="12"/>
      <c r="P7" s="12"/>
      <c r="Q7" s="12"/>
      <c r="T7" s="14"/>
      <c r="U7" s="14"/>
    </row>
    <row r="8" spans="2:21" s="13" customFormat="1" ht="15" customHeight="1">
      <c r="B8" s="744"/>
      <c r="C8" s="15" t="s">
        <v>38</v>
      </c>
      <c r="D8" s="16">
        <v>3093</v>
      </c>
      <c r="E8" s="12"/>
      <c r="F8" s="446"/>
      <c r="G8" s="332"/>
      <c r="H8" s="234"/>
      <c r="I8" s="12"/>
      <c r="J8" s="12"/>
      <c r="K8" s="12"/>
      <c r="L8" s="12"/>
      <c r="M8" s="12"/>
      <c r="N8" s="12"/>
      <c r="O8" s="12"/>
      <c r="P8" s="12"/>
      <c r="Q8" s="12"/>
      <c r="T8" s="14"/>
      <c r="U8" s="14"/>
    </row>
    <row r="9" spans="2:21" s="13" customFormat="1" ht="15" customHeight="1">
      <c r="B9" s="744"/>
      <c r="C9" s="10" t="s">
        <v>39</v>
      </c>
      <c r="D9" s="17">
        <f>SUM(D6:D8)</f>
        <v>4759</v>
      </c>
      <c r="E9" s="12"/>
      <c r="F9" s="12"/>
      <c r="G9" s="332"/>
      <c r="H9" s="234"/>
      <c r="I9" s="12"/>
      <c r="J9" s="12"/>
      <c r="K9" s="12"/>
      <c r="L9" s="12"/>
      <c r="M9" s="12">
        <f>+M14/L14</f>
        <v>0.58913746374817411</v>
      </c>
      <c r="N9" s="12"/>
      <c r="O9" s="12"/>
      <c r="P9" s="12"/>
      <c r="Q9" s="12"/>
      <c r="T9" s="14"/>
      <c r="U9" s="14"/>
    </row>
    <row r="10" spans="2:21" s="13" customFormat="1" ht="15" customHeight="1">
      <c r="B10" s="12"/>
      <c r="C10" s="12"/>
      <c r="D10" s="12"/>
      <c r="E10" s="12"/>
      <c r="F10" s="12"/>
      <c r="G10" s="12"/>
      <c r="H10" s="234"/>
      <c r="I10" s="12"/>
      <c r="J10" s="12"/>
      <c r="K10" s="12"/>
      <c r="L10" s="12"/>
      <c r="M10" s="446"/>
      <c r="N10" s="12"/>
      <c r="O10" s="12"/>
      <c r="P10" s="12"/>
      <c r="Q10" s="12"/>
      <c r="T10" s="14"/>
      <c r="U10" s="14"/>
    </row>
    <row r="11" spans="2:21" s="14" customFormat="1" ht="32.65" customHeight="1">
      <c r="B11" s="10" t="s">
        <v>40</v>
      </c>
      <c r="C11" s="10" t="s">
        <v>41</v>
      </c>
      <c r="D11" s="10" t="s">
        <v>42</v>
      </c>
      <c r="E11" s="18" t="s">
        <v>33</v>
      </c>
      <c r="F11" s="18" t="s">
        <v>43</v>
      </c>
      <c r="G11" s="18" t="s">
        <v>4</v>
      </c>
      <c r="H11" s="235" t="s">
        <v>44</v>
      </c>
      <c r="I11" s="18" t="s">
        <v>6</v>
      </c>
      <c r="J11" s="18" t="s">
        <v>45</v>
      </c>
      <c r="K11" s="18" t="s">
        <v>46</v>
      </c>
      <c r="L11" s="10" t="s">
        <v>47</v>
      </c>
      <c r="M11" s="10" t="s">
        <v>4</v>
      </c>
      <c r="N11" s="10" t="s">
        <v>5</v>
      </c>
      <c r="O11" s="10" t="s">
        <v>48</v>
      </c>
      <c r="P11" s="10" t="s">
        <v>49</v>
      </c>
      <c r="Q11" s="478" t="s">
        <v>428</v>
      </c>
      <c r="R11" s="478" t="s">
        <v>426</v>
      </c>
      <c r="T11" s="13"/>
      <c r="U11" s="13"/>
    </row>
    <row r="12" spans="2:21" s="13" customFormat="1" ht="19.899999999999999" customHeight="1">
      <c r="B12" s="749" t="s">
        <v>50</v>
      </c>
      <c r="C12" s="734" t="s">
        <v>51</v>
      </c>
      <c r="D12" s="745">
        <v>0.15042749999999999</v>
      </c>
      <c r="E12" s="19" t="s">
        <v>52</v>
      </c>
      <c r="F12" s="575">
        <f>+D12*$D$6</f>
        <v>250.61221499999999</v>
      </c>
      <c r="G12" s="574">
        <f>27.254+1402.741+1363.311+167.674+40.601+5.222+177.507+27.254+13.627+248.69+13.627+11.58+3.889</f>
        <v>3502.9769999999999</v>
      </c>
      <c r="H12" s="575">
        <f>F12+G12</f>
        <v>3753.589215</v>
      </c>
      <c r="I12" s="576"/>
      <c r="J12" s="575">
        <f>H12-I12</f>
        <v>3753.589215</v>
      </c>
      <c r="K12" s="20">
        <f>+I12/H12</f>
        <v>0</v>
      </c>
      <c r="L12" s="746">
        <f>F12+F13</f>
        <v>715.8844724999999</v>
      </c>
      <c r="M12" s="746">
        <f>G12+G13</f>
        <v>3502.9769999999999</v>
      </c>
      <c r="N12" s="747">
        <f>L12+M12</f>
        <v>4218.8614724999998</v>
      </c>
      <c r="O12" s="746">
        <f>I12+I13</f>
        <v>704.952</v>
      </c>
      <c r="P12" s="746">
        <f>N12-O12</f>
        <v>3513.9094724999995</v>
      </c>
      <c r="Q12" s="748">
        <f>O12/N12</f>
        <v>0.16709531815517559</v>
      </c>
      <c r="R12" s="780">
        <f>+(((O12*1)+M12)/L12)*1</f>
        <v>5.8779442237448452</v>
      </c>
      <c r="S12" s="21"/>
    </row>
    <row r="13" spans="2:21" s="13" customFormat="1" ht="19.899999999999999" customHeight="1">
      <c r="B13" s="750"/>
      <c r="C13" s="735"/>
      <c r="D13" s="735"/>
      <c r="E13" s="19" t="s">
        <v>38</v>
      </c>
      <c r="F13" s="575">
        <f>+D12*$D$8</f>
        <v>465.27225749999997</v>
      </c>
      <c r="G13" s="577"/>
      <c r="H13" s="575">
        <f>F13+G13+J12</f>
        <v>4218.8614724999998</v>
      </c>
      <c r="I13" s="999">
        <f>+D87</f>
        <v>704.952</v>
      </c>
      <c r="J13" s="575">
        <f t="shared" ref="J13:J33" si="0">H13-I13</f>
        <v>3513.9094724999995</v>
      </c>
      <c r="K13" s="20">
        <f>+I13/H13</f>
        <v>0.16709531815517559</v>
      </c>
      <c r="L13" s="746"/>
      <c r="M13" s="746"/>
      <c r="N13" s="747"/>
      <c r="O13" s="746"/>
      <c r="P13" s="746"/>
      <c r="Q13" s="748"/>
      <c r="R13" s="780">
        <f t="shared" ref="R13:R35" si="1">+((M13*-1)+K13)/J13</f>
        <v>4.7552539262286194E-5</v>
      </c>
    </row>
    <row r="14" spans="2:21" s="13" customFormat="1" ht="19.899999999999999" customHeight="1">
      <c r="B14" s="750"/>
      <c r="C14" s="736" t="s">
        <v>53</v>
      </c>
      <c r="D14" s="751">
        <v>0.18365590000000001</v>
      </c>
      <c r="E14" s="692" t="s">
        <v>52</v>
      </c>
      <c r="F14" s="575">
        <f t="shared" ref="F14" si="2">+D14*$D$6</f>
        <v>305.97072940000004</v>
      </c>
      <c r="G14" s="599">
        <f>(305.556+106+193.879+18.446+10.819+6.935+10.294)+(-137.012)</f>
        <v>514.91699999999992</v>
      </c>
      <c r="H14" s="575">
        <f t="shared" ref="H14" si="3">F14+G14</f>
        <v>820.8877293999999</v>
      </c>
      <c r="I14" s="999">
        <f>+D77</f>
        <v>140.03981999999999</v>
      </c>
      <c r="J14" s="575">
        <f t="shared" si="0"/>
        <v>680.84790939999993</v>
      </c>
      <c r="K14" s="20">
        <f>+I14/H14</f>
        <v>0.17059558205646144</v>
      </c>
      <c r="L14" s="746">
        <f>F14+F15</f>
        <v>874.01842810000016</v>
      </c>
      <c r="M14" s="746">
        <f t="shared" ref="M14" si="4">G14+G15</f>
        <v>514.91699999999992</v>
      </c>
      <c r="N14" s="747">
        <f>L14+M14</f>
        <v>1388.9354281000001</v>
      </c>
      <c r="O14" s="746">
        <f t="shared" ref="O14" si="5">I14+I15</f>
        <v>884.54232000000002</v>
      </c>
      <c r="P14" s="746">
        <f t="shared" ref="P14" si="6">N14-O14</f>
        <v>504.39310810000006</v>
      </c>
      <c r="Q14" s="748">
        <f>O14/N14</f>
        <v>0.63684913071157911</v>
      </c>
      <c r="R14" s="780">
        <f t="shared" ref="R14" si="7">+(((O14*1)+M14)/L14)*1</f>
        <v>1.6011782761174023</v>
      </c>
    </row>
    <row r="15" spans="2:21" s="13" customFormat="1" ht="19.899999999999999" customHeight="1">
      <c r="B15" s="750"/>
      <c r="C15" s="737"/>
      <c r="D15" s="737"/>
      <c r="E15" s="692" t="s">
        <v>38</v>
      </c>
      <c r="F15" s="575">
        <f t="shared" ref="F15" si="8">+D14*$D$8</f>
        <v>568.04769870000007</v>
      </c>
      <c r="G15" s="577"/>
      <c r="H15" s="575">
        <f>F15+G15+J14</f>
        <v>1248.8956081000001</v>
      </c>
      <c r="I15" s="999">
        <f>+D88</f>
        <v>744.50250000000005</v>
      </c>
      <c r="J15" s="575">
        <f t="shared" si="0"/>
        <v>504.39310810000006</v>
      </c>
      <c r="K15" s="20">
        <f>+I15/H15</f>
        <v>0.5961286877552916</v>
      </c>
      <c r="L15" s="746"/>
      <c r="M15" s="746"/>
      <c r="N15" s="747"/>
      <c r="O15" s="746"/>
      <c r="P15" s="746"/>
      <c r="Q15" s="748"/>
      <c r="R15" s="780">
        <f t="shared" si="1"/>
        <v>1.1818731822106979E-3</v>
      </c>
    </row>
    <row r="16" spans="2:21" s="13" customFormat="1" ht="19.899999999999999" customHeight="1">
      <c r="B16" s="750"/>
      <c r="C16" s="734" t="s">
        <v>54</v>
      </c>
      <c r="D16" s="745">
        <v>2.03261E-2</v>
      </c>
      <c r="E16" s="19" t="s">
        <v>52</v>
      </c>
      <c r="F16" s="575">
        <f t="shared" ref="F16" si="9">+D16*$D$6</f>
        <v>33.863282599999998</v>
      </c>
      <c r="G16" s="574">
        <f>+Movimientos_cuotas!G6</f>
        <v>73.209362649999989</v>
      </c>
      <c r="H16" s="575">
        <f>F16+G16</f>
        <v>107.07264524999999</v>
      </c>
      <c r="I16" s="677"/>
      <c r="J16" s="575">
        <f t="shared" si="0"/>
        <v>107.07264524999999</v>
      </c>
      <c r="K16" s="20">
        <f t="shared" ref="K16:K33" si="10">+I16/H16</f>
        <v>0</v>
      </c>
      <c r="L16" s="746">
        <f>F16+F17</f>
        <v>96.731909900000005</v>
      </c>
      <c r="M16" s="746">
        <f>G16+G17</f>
        <v>73.209362649999989</v>
      </c>
      <c r="N16" s="747">
        <f>L16+M16</f>
        <v>169.94127255000001</v>
      </c>
      <c r="O16" s="746">
        <f>I16+I17</f>
        <v>0</v>
      </c>
      <c r="P16" s="746">
        <f t="shared" ref="P16" si="11">N16-O16</f>
        <v>169.94127255000001</v>
      </c>
      <c r="Q16" s="748">
        <f t="shared" ref="Q16" si="12">O16/N16</f>
        <v>0</v>
      </c>
      <c r="R16" s="780">
        <f t="shared" ref="R16" si="13">+(((O16*1)+M16)/L16)*1</f>
        <v>0.75682742877384235</v>
      </c>
    </row>
    <row r="17" spans="2:18" s="13" customFormat="1" ht="15.75">
      <c r="B17" s="750"/>
      <c r="C17" s="735"/>
      <c r="D17" s="735"/>
      <c r="E17" s="19" t="s">
        <v>38</v>
      </c>
      <c r="F17" s="575">
        <f t="shared" ref="F17" si="14">+D16*$D$8</f>
        <v>62.8686273</v>
      </c>
      <c r="G17" s="577"/>
      <c r="H17" s="575">
        <f>F17+G17+J16</f>
        <v>169.94127255000001</v>
      </c>
      <c r="I17" s="677"/>
      <c r="J17" s="575">
        <f t="shared" si="0"/>
        <v>169.94127255000001</v>
      </c>
      <c r="K17" s="20">
        <f t="shared" si="10"/>
        <v>0</v>
      </c>
      <c r="L17" s="746"/>
      <c r="M17" s="746"/>
      <c r="N17" s="747"/>
      <c r="O17" s="746"/>
      <c r="P17" s="746"/>
      <c r="Q17" s="748"/>
      <c r="R17" s="780">
        <f t="shared" si="1"/>
        <v>0</v>
      </c>
    </row>
    <row r="18" spans="2:18" s="13" customFormat="1" ht="15.6" customHeight="1">
      <c r="B18" s="750"/>
      <c r="C18" s="734" t="s">
        <v>55</v>
      </c>
      <c r="D18" s="745">
        <v>0.24709130000000001</v>
      </c>
      <c r="E18" s="282" t="s">
        <v>52</v>
      </c>
      <c r="F18" s="575">
        <f t="shared" ref="F18" si="15">+D18*$D$6</f>
        <v>411.65410580000002</v>
      </c>
      <c r="G18" s="574">
        <f>(722.274+15.924+59.755)+(-36.54912+728.7028+0.1808)</f>
        <v>1490.28748</v>
      </c>
      <c r="H18" s="575">
        <f t="shared" ref="H18" si="16">F18+G18</f>
        <v>1901.9415858</v>
      </c>
      <c r="I18" s="999">
        <f>+D78</f>
        <v>154.29444000000001</v>
      </c>
      <c r="J18" s="575">
        <f t="shared" si="0"/>
        <v>1747.6471458000001</v>
      </c>
      <c r="K18" s="20">
        <f t="shared" si="10"/>
        <v>8.1124699702646366E-2</v>
      </c>
      <c r="L18" s="746">
        <f>F18+F19</f>
        <v>1175.9074967000001</v>
      </c>
      <c r="M18" s="746">
        <f t="shared" ref="M18" si="17">G18+G19</f>
        <v>1490.28748</v>
      </c>
      <c r="N18" s="747">
        <f t="shared" ref="N18" si="18">L18+M18</f>
        <v>2666.1949767000001</v>
      </c>
      <c r="O18" s="746">
        <f t="shared" ref="O18" si="19">I18+I19</f>
        <v>1411.7501699999998</v>
      </c>
      <c r="P18" s="746">
        <f t="shared" ref="P18" si="20">N18-O18</f>
        <v>1254.4448067000003</v>
      </c>
      <c r="Q18" s="748">
        <f t="shared" ref="Q18" si="21">O18/N18</f>
        <v>0.52949997368435131</v>
      </c>
      <c r="R18" s="780">
        <f t="shared" ref="R18" si="22">+(((O18*1)+M18)/L18)*1</f>
        <v>2.4679132143847311</v>
      </c>
    </row>
    <row r="19" spans="2:18" s="13" customFormat="1" ht="15.75">
      <c r="B19" s="750"/>
      <c r="C19" s="735"/>
      <c r="D19" s="735"/>
      <c r="E19" s="282" t="s">
        <v>38</v>
      </c>
      <c r="F19" s="575">
        <f t="shared" ref="F19" si="23">+D18*$D$8</f>
        <v>764.2533909</v>
      </c>
      <c r="G19" s="577"/>
      <c r="H19" s="575">
        <f>F19+G19+J18</f>
        <v>2511.9005367</v>
      </c>
      <c r="I19" s="999">
        <f>+D89</f>
        <v>1257.4557299999999</v>
      </c>
      <c r="J19" s="575">
        <f t="shared" si="0"/>
        <v>1254.4448067000001</v>
      </c>
      <c r="K19" s="20">
        <f t="shared" si="10"/>
        <v>0.50059933171238447</v>
      </c>
      <c r="L19" s="746"/>
      <c r="M19" s="746"/>
      <c r="N19" s="747"/>
      <c r="O19" s="746"/>
      <c r="P19" s="746"/>
      <c r="Q19" s="748"/>
      <c r="R19" s="780">
        <f t="shared" si="1"/>
        <v>3.9906046805621045E-4</v>
      </c>
    </row>
    <row r="20" spans="2:18" s="13" customFormat="1" ht="15.75">
      <c r="B20" s="750"/>
      <c r="C20" s="734" t="s">
        <v>56</v>
      </c>
      <c r="D20" s="745">
        <v>0.36841390000000002</v>
      </c>
      <c r="E20" s="19" t="s">
        <v>52</v>
      </c>
      <c r="F20" s="575">
        <f t="shared" ref="F20" si="24">+D20*$D$6</f>
        <v>613.77755739999998</v>
      </c>
      <c r="G20" s="574">
        <f>(167.778+222.222+147.677+324.448+118.581)+(-728.70284-73.20947)+(137.012+36.54912+35.6925+35.6925)</f>
        <v>423.73980999999998</v>
      </c>
      <c r="H20" s="575">
        <f t="shared" ref="H20" si="25">F20+G20</f>
        <v>1037.5173674</v>
      </c>
      <c r="I20" s="999">
        <f>+D76</f>
        <v>66.421000000000006</v>
      </c>
      <c r="J20" s="575">
        <f t="shared" si="0"/>
        <v>971.09636739999996</v>
      </c>
      <c r="K20" s="20">
        <f t="shared" si="10"/>
        <v>6.4019169304558102E-2</v>
      </c>
      <c r="L20" s="746">
        <f>F20+F21</f>
        <v>1753.2817501</v>
      </c>
      <c r="M20" s="746">
        <f t="shared" ref="M20" si="26">G20+G21</f>
        <v>423.73980999999998</v>
      </c>
      <c r="N20" s="747">
        <f t="shared" ref="N20" si="27">L20+M20</f>
        <v>2177.0215601</v>
      </c>
      <c r="O20" s="746">
        <f t="shared" ref="O20" si="28">I20+I21</f>
        <v>1117.6569999999999</v>
      </c>
      <c r="P20" s="746">
        <f t="shared" ref="P20" si="29">N20-O20</f>
        <v>1059.3645601000001</v>
      </c>
      <c r="Q20" s="748">
        <f t="shared" ref="Q20:Q36" si="30">O20/N20</f>
        <v>0.51338811727186617</v>
      </c>
      <c r="R20" s="780">
        <f t="shared" ref="R20" si="31">+(((O20*1)+M20)/L20)*1</f>
        <v>0.87914952055600026</v>
      </c>
    </row>
    <row r="21" spans="2:18" s="13" customFormat="1" ht="15.75">
      <c r="B21" s="750"/>
      <c r="C21" s="735"/>
      <c r="D21" s="735"/>
      <c r="E21" s="19" t="s">
        <v>38</v>
      </c>
      <c r="F21" s="575">
        <f t="shared" ref="F21" si="32">+D20*$D$8</f>
        <v>1139.5041927</v>
      </c>
      <c r="G21" s="579"/>
      <c r="H21" s="575">
        <f>F21+G21+J20</f>
        <v>2110.6005600999997</v>
      </c>
      <c r="I21" s="999">
        <f>+D86</f>
        <v>1051.2359999999999</v>
      </c>
      <c r="J21" s="575">
        <f t="shared" si="0"/>
        <v>1059.3645600999998</v>
      </c>
      <c r="K21" s="20">
        <f t="shared" si="10"/>
        <v>0.49807434901381464</v>
      </c>
      <c r="L21" s="746"/>
      <c r="M21" s="746"/>
      <c r="N21" s="747"/>
      <c r="O21" s="746"/>
      <c r="P21" s="746"/>
      <c r="Q21" s="748"/>
      <c r="R21" s="780">
        <f t="shared" si="1"/>
        <v>4.7016331088780086E-4</v>
      </c>
    </row>
    <row r="22" spans="2:18" s="13" customFormat="1" ht="15.6" hidden="1" customHeight="1">
      <c r="B22" s="750"/>
      <c r="C22" s="745" t="s">
        <v>57</v>
      </c>
      <c r="D22" s="745">
        <v>0</v>
      </c>
      <c r="E22" s="19" t="s">
        <v>52</v>
      </c>
      <c r="F22" s="575">
        <f t="shared" ref="F22" si="33">+D22*$D$6</f>
        <v>0</v>
      </c>
      <c r="G22" s="580"/>
      <c r="H22" s="575">
        <f t="shared" ref="H22" si="34">F22+G22</f>
        <v>0</v>
      </c>
      <c r="I22" s="576"/>
      <c r="J22" s="575">
        <f t="shared" si="0"/>
        <v>0</v>
      </c>
      <c r="K22" s="20">
        <v>0</v>
      </c>
      <c r="L22" s="746">
        <f>F22+F23</f>
        <v>0</v>
      </c>
      <c r="M22" s="746">
        <f>G22+G23</f>
        <v>0</v>
      </c>
      <c r="N22" s="747">
        <f t="shared" ref="N22" si="35">L22+M22</f>
        <v>0</v>
      </c>
      <c r="O22" s="746">
        <f>I22+I23</f>
        <v>0</v>
      </c>
      <c r="P22" s="746">
        <f t="shared" ref="P22" si="36">N22-O22</f>
        <v>0</v>
      </c>
      <c r="Q22" s="748">
        <v>0</v>
      </c>
      <c r="R22" s="780" t="e">
        <f t="shared" ref="R22" si="37">+(((O22*1)+M22)/L22)*1</f>
        <v>#DIV/0!</v>
      </c>
    </row>
    <row r="23" spans="2:18" s="13" customFormat="1" ht="15.6" hidden="1" customHeight="1">
      <c r="B23" s="750"/>
      <c r="C23" s="735"/>
      <c r="D23" s="735"/>
      <c r="E23" s="19" t="s">
        <v>38</v>
      </c>
      <c r="F23" s="575">
        <f t="shared" ref="F23" si="38">+D22*$D$8</f>
        <v>0</v>
      </c>
      <c r="G23" s="580"/>
      <c r="H23" s="575">
        <f>F23+G23+J22</f>
        <v>0</v>
      </c>
      <c r="I23" s="576"/>
      <c r="J23" s="575">
        <f t="shared" si="0"/>
        <v>0</v>
      </c>
      <c r="K23" s="20">
        <v>0</v>
      </c>
      <c r="L23" s="746"/>
      <c r="M23" s="746"/>
      <c r="N23" s="747"/>
      <c r="O23" s="746"/>
      <c r="P23" s="746"/>
      <c r="Q23" s="748"/>
      <c r="R23" s="780" t="e">
        <f t="shared" si="1"/>
        <v>#DIV/0!</v>
      </c>
    </row>
    <row r="24" spans="2:18" s="13" customFormat="1" ht="15.6" hidden="1" customHeight="1">
      <c r="B24" s="750"/>
      <c r="C24" s="745" t="s">
        <v>58</v>
      </c>
      <c r="D24" s="745">
        <v>0</v>
      </c>
      <c r="E24" s="19" t="s">
        <v>52</v>
      </c>
      <c r="F24" s="575">
        <f t="shared" ref="F24" si="39">+D24*$D$6</f>
        <v>0</v>
      </c>
      <c r="G24" s="580"/>
      <c r="H24" s="575">
        <f t="shared" ref="H24" si="40">F24+G24</f>
        <v>0</v>
      </c>
      <c r="I24" s="576"/>
      <c r="J24" s="575">
        <f t="shared" si="0"/>
        <v>0</v>
      </c>
      <c r="K24" s="20">
        <v>0</v>
      </c>
      <c r="L24" s="746">
        <f>F24+F25</f>
        <v>0</v>
      </c>
      <c r="M24" s="746">
        <f>G24+G25</f>
        <v>0</v>
      </c>
      <c r="N24" s="747">
        <f t="shared" ref="N24" si="41">L24+M24</f>
        <v>0</v>
      </c>
      <c r="O24" s="746">
        <f>I24+I25</f>
        <v>0</v>
      </c>
      <c r="P24" s="746">
        <f t="shared" ref="P24" si="42">N24-O24</f>
        <v>0</v>
      </c>
      <c r="Q24" s="748">
        <v>0</v>
      </c>
      <c r="R24" s="780" t="e">
        <f t="shared" ref="R24" si="43">+(((O24*1)+M24)/L24)*1</f>
        <v>#DIV/0!</v>
      </c>
    </row>
    <row r="25" spans="2:18" s="13" customFormat="1" ht="15.6" hidden="1" customHeight="1">
      <c r="B25" s="750"/>
      <c r="C25" s="735"/>
      <c r="D25" s="735"/>
      <c r="E25" s="19" t="s">
        <v>38</v>
      </c>
      <c r="F25" s="575">
        <f t="shared" ref="F25" si="44">+D24*$D$8</f>
        <v>0</v>
      </c>
      <c r="G25" s="580"/>
      <c r="H25" s="575">
        <f>F25+G25+J24</f>
        <v>0</v>
      </c>
      <c r="I25" s="576"/>
      <c r="J25" s="575">
        <f t="shared" si="0"/>
        <v>0</v>
      </c>
      <c r="K25" s="20">
        <v>0</v>
      </c>
      <c r="L25" s="746"/>
      <c r="M25" s="746"/>
      <c r="N25" s="747"/>
      <c r="O25" s="746"/>
      <c r="P25" s="746"/>
      <c r="Q25" s="748"/>
      <c r="R25" s="780" t="e">
        <f t="shared" si="1"/>
        <v>#DIV/0!</v>
      </c>
    </row>
    <row r="26" spans="2:18" s="13" customFormat="1" ht="15.6" hidden="1" customHeight="1">
      <c r="B26" s="750"/>
      <c r="C26" s="745" t="s">
        <v>59</v>
      </c>
      <c r="D26" s="745">
        <v>0</v>
      </c>
      <c r="E26" s="19" t="s">
        <v>52</v>
      </c>
      <c r="F26" s="575">
        <f t="shared" ref="F26" si="45">+D26*$D$6</f>
        <v>0</v>
      </c>
      <c r="G26" s="580"/>
      <c r="H26" s="575">
        <f t="shared" ref="H26" si="46">F26+G26</f>
        <v>0</v>
      </c>
      <c r="I26" s="576"/>
      <c r="J26" s="575">
        <f t="shared" si="0"/>
        <v>0</v>
      </c>
      <c r="K26" s="20">
        <v>0</v>
      </c>
      <c r="L26" s="746">
        <f>F26+F27</f>
        <v>0</v>
      </c>
      <c r="M26" s="746">
        <f>G26+G27</f>
        <v>0</v>
      </c>
      <c r="N26" s="747">
        <f t="shared" ref="N26" si="47">L26+M26</f>
        <v>0</v>
      </c>
      <c r="O26" s="746">
        <f>I26+I27</f>
        <v>0</v>
      </c>
      <c r="P26" s="746">
        <f t="shared" ref="P26" si="48">N26-O26</f>
        <v>0</v>
      </c>
      <c r="Q26" s="748">
        <v>0</v>
      </c>
      <c r="R26" s="780" t="e">
        <f t="shared" ref="R26" si="49">+(((O26*1)+M26)/L26)*1</f>
        <v>#DIV/0!</v>
      </c>
    </row>
    <row r="27" spans="2:18" s="13" customFormat="1" ht="15.6" hidden="1" customHeight="1">
      <c r="B27" s="750"/>
      <c r="C27" s="735"/>
      <c r="D27" s="735"/>
      <c r="E27" s="19" t="s">
        <v>38</v>
      </c>
      <c r="F27" s="575">
        <f t="shared" ref="F27" si="50">+D26*$D$8</f>
        <v>0</v>
      </c>
      <c r="G27" s="580"/>
      <c r="H27" s="575">
        <f>F27+G27+J26</f>
        <v>0</v>
      </c>
      <c r="I27" s="576"/>
      <c r="J27" s="575">
        <f t="shared" si="0"/>
        <v>0</v>
      </c>
      <c r="K27" s="20">
        <v>0</v>
      </c>
      <c r="L27" s="746"/>
      <c r="M27" s="746"/>
      <c r="N27" s="747"/>
      <c r="O27" s="746"/>
      <c r="P27" s="746"/>
      <c r="Q27" s="748"/>
      <c r="R27" s="780" t="e">
        <f t="shared" si="1"/>
        <v>#DIV/0!</v>
      </c>
    </row>
    <row r="28" spans="2:18" s="13" customFormat="1" ht="15.75">
      <c r="B28" s="750"/>
      <c r="C28" s="745" t="s">
        <v>60</v>
      </c>
      <c r="D28" s="745">
        <v>3.8000000000000002E-5</v>
      </c>
      <c r="E28" s="282" t="s">
        <v>52</v>
      </c>
      <c r="F28" s="575">
        <f t="shared" ref="F28" si="51">+D28*$D$6</f>
        <v>6.3308000000000003E-2</v>
      </c>
      <c r="G28" s="79">
        <v>-0.18084200000000003</v>
      </c>
      <c r="H28" s="575">
        <f t="shared" ref="H28" si="52">F28+G28</f>
        <v>-0.11753400000000003</v>
      </c>
      <c r="I28" s="576"/>
      <c r="J28" s="575">
        <f t="shared" si="0"/>
        <v>-0.11753400000000003</v>
      </c>
      <c r="K28" s="20">
        <f t="shared" si="10"/>
        <v>0</v>
      </c>
      <c r="L28" s="752">
        <f>F28+F29</f>
        <v>0.180842</v>
      </c>
      <c r="M28" s="752">
        <f t="shared" ref="M28" si="53">G28+G29</f>
        <v>-0.18084200000000003</v>
      </c>
      <c r="N28" s="752">
        <f t="shared" ref="N28" si="54">L28+M28</f>
        <v>0</v>
      </c>
      <c r="O28" s="752">
        <f t="shared" ref="O28" si="55">I28+I29</f>
        <v>0</v>
      </c>
      <c r="P28" s="752">
        <f t="shared" ref="P28" si="56">N28-O28</f>
        <v>0</v>
      </c>
      <c r="Q28" s="748">
        <v>0</v>
      </c>
      <c r="R28" s="779">
        <f>+(((O28*1)+M28)/L28)*1</f>
        <v>-1.0000000000000002</v>
      </c>
    </row>
    <row r="29" spans="2:18" s="13" customFormat="1" ht="15.75">
      <c r="B29" s="750"/>
      <c r="C29" s="735"/>
      <c r="D29" s="735"/>
      <c r="E29" s="282" t="s">
        <v>38</v>
      </c>
      <c r="F29" s="575">
        <f t="shared" ref="F29" si="57">+D28*$D$8</f>
        <v>0.117534</v>
      </c>
      <c r="G29" s="579"/>
      <c r="H29" s="575">
        <f>F29+G29+J28</f>
        <v>0</v>
      </c>
      <c r="I29" s="576"/>
      <c r="J29" s="575">
        <f t="shared" si="0"/>
        <v>0</v>
      </c>
      <c r="K29" s="20">
        <v>0</v>
      </c>
      <c r="L29" s="752"/>
      <c r="M29" s="752"/>
      <c r="N29" s="752"/>
      <c r="O29" s="752"/>
      <c r="P29" s="752"/>
      <c r="Q29" s="748"/>
      <c r="R29" s="779" t="e">
        <f t="shared" si="1"/>
        <v>#DIV/0!</v>
      </c>
    </row>
    <row r="30" spans="2:18" s="13" customFormat="1" ht="15.75">
      <c r="B30" s="750"/>
      <c r="C30" s="745" t="s">
        <v>61</v>
      </c>
      <c r="D30" s="745">
        <v>4.7500000000000003E-5</v>
      </c>
      <c r="E30" s="19" t="s">
        <v>52</v>
      </c>
      <c r="F30" s="575">
        <f>+D30*$D$6</f>
        <v>7.9135000000000011E-2</v>
      </c>
      <c r="G30" s="581"/>
      <c r="H30" s="575">
        <f t="shared" ref="H30" si="58">F30+G30</f>
        <v>7.9135000000000011E-2</v>
      </c>
      <c r="I30" s="576"/>
      <c r="J30" s="575">
        <f t="shared" si="0"/>
        <v>7.9135000000000011E-2</v>
      </c>
      <c r="K30" s="20">
        <f t="shared" si="10"/>
        <v>0</v>
      </c>
      <c r="L30" s="746">
        <f t="shared" ref="L30:M30" si="59">F30+F31</f>
        <v>0.22605250000000002</v>
      </c>
      <c r="M30" s="746">
        <f t="shared" si="59"/>
        <v>0</v>
      </c>
      <c r="N30" s="747">
        <f t="shared" ref="N30" si="60">L30+M30</f>
        <v>0.22605250000000002</v>
      </c>
      <c r="O30" s="746">
        <f t="shared" ref="O30" si="61">I30+I31</f>
        <v>0</v>
      </c>
      <c r="P30" s="746">
        <f t="shared" ref="P30" si="62">N30-O30</f>
        <v>0.22605250000000002</v>
      </c>
      <c r="Q30" s="748">
        <f t="shared" si="30"/>
        <v>0</v>
      </c>
      <c r="R30" s="780">
        <f>+(((O30*1)+M30)/L30)*1</f>
        <v>0</v>
      </c>
    </row>
    <row r="31" spans="2:18" s="13" customFormat="1" ht="15.75">
      <c r="B31" s="750"/>
      <c r="C31" s="735"/>
      <c r="D31" s="735"/>
      <c r="E31" s="19" t="s">
        <v>38</v>
      </c>
      <c r="F31" s="575">
        <f>+D30*$D$8</f>
        <v>0.14691750000000001</v>
      </c>
      <c r="G31" s="581"/>
      <c r="H31" s="575">
        <f>F31+G31+J30</f>
        <v>0.22605250000000002</v>
      </c>
      <c r="I31" s="576"/>
      <c r="J31" s="575">
        <f t="shared" si="0"/>
        <v>0.22605250000000002</v>
      </c>
      <c r="K31" s="20">
        <f t="shared" si="10"/>
        <v>0</v>
      </c>
      <c r="L31" s="746"/>
      <c r="M31" s="746"/>
      <c r="N31" s="747"/>
      <c r="O31" s="746"/>
      <c r="P31" s="746"/>
      <c r="Q31" s="748"/>
      <c r="R31" s="780">
        <f t="shared" si="1"/>
        <v>0</v>
      </c>
    </row>
    <row r="32" spans="2:18" s="13" customFormat="1" ht="15.75">
      <c r="B32" s="750"/>
      <c r="C32" s="745" t="s">
        <v>443</v>
      </c>
      <c r="D32" s="749">
        <v>1.4999999999999999E-2</v>
      </c>
      <c r="E32" s="19" t="s">
        <v>52</v>
      </c>
      <c r="F32" s="575">
        <f t="shared" ref="F32" si="63">+D32*$D$6</f>
        <v>24.99</v>
      </c>
      <c r="G32" s="581"/>
      <c r="H32" s="575">
        <f t="shared" ref="H32" si="64">F32+G32</f>
        <v>24.99</v>
      </c>
      <c r="I32" s="576"/>
      <c r="J32" s="575">
        <f t="shared" si="0"/>
        <v>24.99</v>
      </c>
      <c r="K32" s="20">
        <f t="shared" si="10"/>
        <v>0</v>
      </c>
      <c r="L32" s="746">
        <f>F32+F33</f>
        <v>71.384999999999991</v>
      </c>
      <c r="M32" s="746">
        <f>G32+G33</f>
        <v>0</v>
      </c>
      <c r="N32" s="747">
        <f t="shared" ref="N32" si="65">L32+M32</f>
        <v>71.384999999999991</v>
      </c>
      <c r="O32" s="746">
        <f>I32+I33</f>
        <v>0</v>
      </c>
      <c r="P32" s="746">
        <f t="shared" ref="P32" si="66">N32-O32</f>
        <v>71.384999999999991</v>
      </c>
      <c r="Q32" s="748">
        <f t="shared" si="30"/>
        <v>0</v>
      </c>
      <c r="R32" s="780">
        <f t="shared" ref="R32" si="67">+(((O32*1)+M32)/L32)*1</f>
        <v>0</v>
      </c>
    </row>
    <row r="33" spans="2:18" s="13" customFormat="1" ht="15.75">
      <c r="B33" s="750"/>
      <c r="C33" s="735"/>
      <c r="D33" s="735"/>
      <c r="E33" s="19" t="s">
        <v>38</v>
      </c>
      <c r="F33" s="575">
        <f t="shared" ref="F33" si="68">+D32*$D$8</f>
        <v>46.394999999999996</v>
      </c>
      <c r="G33" s="581"/>
      <c r="H33" s="575">
        <f>F33+G33+J32</f>
        <v>71.384999999999991</v>
      </c>
      <c r="I33" s="576"/>
      <c r="J33" s="575">
        <f t="shared" si="0"/>
        <v>71.384999999999991</v>
      </c>
      <c r="K33" s="20">
        <f t="shared" si="10"/>
        <v>0</v>
      </c>
      <c r="L33" s="746"/>
      <c r="M33" s="746"/>
      <c r="N33" s="747"/>
      <c r="O33" s="746"/>
      <c r="P33" s="746"/>
      <c r="Q33" s="748"/>
      <c r="R33" s="780">
        <f t="shared" si="1"/>
        <v>0</v>
      </c>
    </row>
    <row r="34" spans="2:18" s="13" customFormat="1" ht="15.75">
      <c r="B34" s="750"/>
      <c r="C34" s="749" t="s">
        <v>447</v>
      </c>
      <c r="D34" s="749">
        <v>1.4999999999999999E-2</v>
      </c>
      <c r="E34" s="273" t="s">
        <v>52</v>
      </c>
      <c r="F34" s="575">
        <f t="shared" ref="F34" si="69">+D34*$D$6</f>
        <v>24.99</v>
      </c>
      <c r="G34" s="582">
        <f>-35.6925*2</f>
        <v>-71.385000000000005</v>
      </c>
      <c r="H34" s="575">
        <f t="shared" ref="H34" si="70">F34+G34</f>
        <v>-46.39500000000001</v>
      </c>
      <c r="I34" s="576"/>
      <c r="J34" s="575">
        <f t="shared" ref="J34:J35" si="71">H34-I34</f>
        <v>-46.39500000000001</v>
      </c>
      <c r="K34" s="20">
        <f t="shared" ref="K34" si="72">+I34/H34</f>
        <v>0</v>
      </c>
      <c r="L34" s="757">
        <f>F34+F35</f>
        <v>71.384999999999991</v>
      </c>
      <c r="M34" s="757">
        <f>G34+G35</f>
        <v>-71.385000000000005</v>
      </c>
      <c r="N34" s="757">
        <f t="shared" ref="N34" si="73">L34+M34</f>
        <v>0</v>
      </c>
      <c r="O34" s="757">
        <f>I34+I35</f>
        <v>0</v>
      </c>
      <c r="P34" s="757">
        <f t="shared" ref="P34" si="74">N34-O34</f>
        <v>0</v>
      </c>
      <c r="Q34" s="759">
        <v>0</v>
      </c>
      <c r="R34" s="779">
        <f t="shared" ref="R34" si="75">+(((O34*1)+M34)/L34)*1</f>
        <v>-1.0000000000000002</v>
      </c>
    </row>
    <row r="35" spans="2:18" s="13" customFormat="1" ht="15.75">
      <c r="B35" s="735"/>
      <c r="C35" s="735"/>
      <c r="D35" s="735"/>
      <c r="E35" s="273" t="s">
        <v>38</v>
      </c>
      <c r="F35" s="575">
        <f t="shared" ref="F35" si="76">+D34*$D$8</f>
        <v>46.394999999999996</v>
      </c>
      <c r="G35" s="581"/>
      <c r="H35" s="575">
        <f>F35+G35+J34</f>
        <v>0</v>
      </c>
      <c r="I35" s="576"/>
      <c r="J35" s="575">
        <f t="shared" si="71"/>
        <v>0</v>
      </c>
      <c r="K35" s="20">
        <v>0</v>
      </c>
      <c r="L35" s="758"/>
      <c r="M35" s="758"/>
      <c r="N35" s="758"/>
      <c r="O35" s="758"/>
      <c r="P35" s="758"/>
      <c r="Q35" s="760"/>
      <c r="R35" s="779" t="e">
        <f t="shared" si="1"/>
        <v>#DIV/0!</v>
      </c>
    </row>
    <row r="36" spans="2:18" s="13" customFormat="1" ht="15.75">
      <c r="B36" s="753" t="s">
        <v>420</v>
      </c>
      <c r="C36" s="753"/>
      <c r="D36" s="753">
        <f>SUM(D12:D35)</f>
        <v>1.0000002000000001</v>
      </c>
      <c r="E36" s="19" t="s">
        <v>52</v>
      </c>
      <c r="F36" s="22">
        <f>+F12+F14+F16+F18+F20+F22+F24+F26+F28+F30+F32+F34</f>
        <v>1666.0003332000001</v>
      </c>
      <c r="G36" s="22">
        <f>+G12+G14+G16+G18+G20+G22+G24+G26+G28+G30+G32+G34</f>
        <v>5933.5648106500003</v>
      </c>
      <c r="H36" s="236">
        <f>F36+G36</f>
        <v>7599.5651438500008</v>
      </c>
      <c r="I36" s="22">
        <f>+I12+I14+I16+I18+I20+I22+I24+I26+I28+I30+I32+I34</f>
        <v>360.75525999999996</v>
      </c>
      <c r="J36" s="22">
        <f>H36-I36</f>
        <v>7238.8098838500009</v>
      </c>
      <c r="K36" s="20">
        <f>(I36/H36)</f>
        <v>4.7470513532204349E-2</v>
      </c>
      <c r="L36" s="754">
        <f>F36+F37</f>
        <v>4759.0009518000006</v>
      </c>
      <c r="M36" s="754">
        <f>G36+G37</f>
        <v>5933.5648106500003</v>
      </c>
      <c r="N36" s="754">
        <f>L36+M36</f>
        <v>10692.565762450002</v>
      </c>
      <c r="O36" s="755">
        <f>I36+I37</f>
        <v>4118.9014900000002</v>
      </c>
      <c r="P36" s="755">
        <f>N36-O36</f>
        <v>6573.6642724500016</v>
      </c>
      <c r="Q36" s="756">
        <f t="shared" si="30"/>
        <v>0.38521170517039971</v>
      </c>
      <c r="R36" s="781">
        <f t="shared" ref="R36" si="77">+M36/L36</f>
        <v>1.246808914464651</v>
      </c>
    </row>
    <row r="37" spans="2:18" s="13" customFormat="1" ht="15.75">
      <c r="B37" s="753"/>
      <c r="C37" s="753"/>
      <c r="D37" s="753"/>
      <c r="E37" s="19" t="s">
        <v>38</v>
      </c>
      <c r="F37" s="22">
        <f>+F13+F15+F17+F19+F21+F23+F25+F27+F29+F31+F33+F35</f>
        <v>3093.0006186000001</v>
      </c>
      <c r="G37" s="22">
        <f>+G13+G15+G17+G19+G21+G23+G25+G27+G29+G31+G33+G35</f>
        <v>0</v>
      </c>
      <c r="H37" s="236">
        <f>F37+G37+J36</f>
        <v>10331.81050245</v>
      </c>
      <c r="I37" s="22">
        <f>+I13+I15+I17+I19+I21+I23+I25+I27+I29+I31+I33+I35</f>
        <v>3758.1462299999998</v>
      </c>
      <c r="J37" s="22">
        <f>H37-I37</f>
        <v>6573.6642724499998</v>
      </c>
      <c r="K37" s="20">
        <f>(I37/H37)</f>
        <v>0.3637451760375226</v>
      </c>
      <c r="L37" s="754"/>
      <c r="M37" s="755"/>
      <c r="N37" s="755"/>
      <c r="O37" s="755"/>
      <c r="P37" s="755"/>
      <c r="Q37" s="756"/>
      <c r="R37" s="782"/>
    </row>
    <row r="38" spans="2:18" s="13" customFormat="1" ht="15.75">
      <c r="B38" s="23">
        <v>4.0000000000000003E-5</v>
      </c>
      <c r="C38" s="23">
        <f>+B38*D9*95%</f>
        <v>0.18084200000000003</v>
      </c>
      <c r="D38" s="23"/>
      <c r="E38" s="23"/>
      <c r="F38" s="23"/>
      <c r="G38" s="23"/>
      <c r="H38" s="237"/>
      <c r="I38" s="23"/>
      <c r="J38" s="23"/>
      <c r="K38" s="23"/>
      <c r="L38" s="23"/>
      <c r="M38" s="23"/>
      <c r="N38" s="23"/>
      <c r="O38" s="23"/>
      <c r="P38" s="23"/>
      <c r="Q38" s="23"/>
      <c r="R38" s="24"/>
    </row>
    <row r="39" spans="2:18" s="13" customFormat="1" ht="16.149999999999999" customHeight="1">
      <c r="B39" s="755" t="s">
        <v>536</v>
      </c>
      <c r="C39" s="755"/>
      <c r="D39" s="755"/>
      <c r="E39" s="755"/>
      <c r="F39" s="25">
        <f>SUM(F12:F35)</f>
        <v>4759.0009518000006</v>
      </c>
      <c r="G39" s="25">
        <f>SUM(G12:G35)</f>
        <v>5933.5648106500003</v>
      </c>
      <c r="H39" s="238">
        <f>+F39+G39</f>
        <v>10692.565762450002</v>
      </c>
      <c r="I39" s="10">
        <f>SUM(I12:I35)</f>
        <v>4118.9014900000002</v>
      </c>
      <c r="J39" s="25">
        <f>H39-I39</f>
        <v>6573.6642724500016</v>
      </c>
      <c r="K39" s="26">
        <f>(I39/H39)</f>
        <v>0.38521170517039971</v>
      </c>
      <c r="L39" s="27"/>
      <c r="M39" s="27"/>
      <c r="N39" s="27"/>
      <c r="O39" s="27"/>
      <c r="P39" s="27"/>
      <c r="Q39" s="27"/>
      <c r="R39" s="24"/>
    </row>
    <row r="40" spans="2:18" s="13" customFormat="1" ht="11.65" customHeight="1">
      <c r="B40" s="28"/>
      <c r="C40" s="29"/>
      <c r="D40" s="30"/>
      <c r="E40" s="30"/>
      <c r="F40" s="30"/>
      <c r="G40" s="30"/>
      <c r="H40" s="239"/>
      <c r="I40" s="30"/>
      <c r="J40" s="31"/>
      <c r="K40" s="32"/>
      <c r="L40" s="27"/>
      <c r="M40" s="27"/>
      <c r="N40" s="27"/>
      <c r="O40" s="27"/>
      <c r="P40" s="27"/>
      <c r="Q40" s="27"/>
      <c r="R40" s="24"/>
    </row>
    <row r="41" spans="2:18" s="13" customFormat="1" ht="13.15" customHeight="1">
      <c r="B41" s="28"/>
      <c r="C41" s="29"/>
      <c r="D41" s="30"/>
      <c r="E41" s="30"/>
      <c r="F41" s="30"/>
      <c r="G41" s="30"/>
      <c r="H41" s="239"/>
      <c r="I41" s="458">
        <f>33.118+46.125</f>
        <v>79.242999999999995</v>
      </c>
      <c r="J41" s="31"/>
      <c r="K41" s="32"/>
      <c r="L41" s="27"/>
      <c r="M41" s="27"/>
      <c r="N41" s="27"/>
      <c r="O41" s="27"/>
      <c r="P41" s="27"/>
      <c r="Q41" s="27"/>
      <c r="R41" s="24"/>
    </row>
    <row r="42" spans="2:18" s="13" customFormat="1" ht="31.5">
      <c r="B42" s="10" t="s">
        <v>32</v>
      </c>
      <c r="C42" s="10" t="s">
        <v>33</v>
      </c>
      <c r="D42" s="11" t="s">
        <v>3</v>
      </c>
      <c r="E42" s="30"/>
      <c r="F42" s="30"/>
      <c r="G42" s="30"/>
      <c r="H42" s="239"/>
      <c r="I42" s="30"/>
      <c r="J42" s="31"/>
      <c r="K42" s="32"/>
      <c r="L42" s="27"/>
      <c r="M42" s="27"/>
      <c r="N42" s="27"/>
      <c r="O42" s="27"/>
      <c r="P42" s="27"/>
      <c r="Q42" s="27"/>
      <c r="R42" s="24"/>
    </row>
    <row r="43" spans="2:18" s="13" customFormat="1" ht="15.75">
      <c r="B43" s="761" t="s">
        <v>63</v>
      </c>
      <c r="C43" s="15" t="s">
        <v>35</v>
      </c>
      <c r="D43" s="16">
        <v>1065</v>
      </c>
      <c r="E43" s="30"/>
      <c r="F43" s="30"/>
      <c r="G43" s="30"/>
      <c r="H43" s="239"/>
      <c r="I43" s="30"/>
      <c r="J43" s="31"/>
      <c r="K43" s="32"/>
      <c r="L43" s="27"/>
      <c r="M43" s="27"/>
      <c r="N43" s="27"/>
      <c r="O43" s="27"/>
      <c r="P43" s="27"/>
      <c r="Q43" s="27"/>
      <c r="R43" s="24"/>
    </row>
    <row r="44" spans="2:18" s="13" customFormat="1" ht="15.75">
      <c r="B44" s="761"/>
      <c r="C44" s="15" t="s">
        <v>36</v>
      </c>
      <c r="D44" s="16" t="s">
        <v>37</v>
      </c>
      <c r="E44" s="30"/>
      <c r="F44" s="30"/>
      <c r="G44" s="30"/>
      <c r="H44" s="239"/>
      <c r="I44" s="30"/>
      <c r="J44" s="31"/>
      <c r="K44" s="32"/>
      <c r="L44" s="30"/>
      <c r="M44" s="30"/>
      <c r="N44" s="30"/>
      <c r="O44" s="30"/>
      <c r="P44" s="30"/>
      <c r="Q44" s="32"/>
    </row>
    <row r="45" spans="2:18" s="7" customFormat="1" ht="15.75">
      <c r="B45" s="761"/>
      <c r="C45" s="15" t="s">
        <v>38</v>
      </c>
      <c r="D45" s="16">
        <v>1978</v>
      </c>
      <c r="E45" s="30"/>
      <c r="F45" s="33"/>
      <c r="G45" s="33"/>
      <c r="H45" s="240"/>
      <c r="I45" s="34"/>
      <c r="J45" s="34"/>
      <c r="K45" s="35"/>
      <c r="L45" s="33"/>
      <c r="M45" s="33"/>
      <c r="N45" s="33"/>
      <c r="O45" s="33"/>
      <c r="P45" s="33"/>
      <c r="Q45" s="35"/>
    </row>
    <row r="46" spans="2:18" s="7" customFormat="1" ht="15.75">
      <c r="B46" s="761"/>
      <c r="C46" s="10" t="s">
        <v>39</v>
      </c>
      <c r="D46" s="17">
        <f>SUM(D43:D45)</f>
        <v>3043</v>
      </c>
      <c r="E46" s="30"/>
      <c r="F46" s="33"/>
      <c r="G46" s="33"/>
      <c r="H46" s="240"/>
      <c r="I46" s="33"/>
      <c r="J46" s="34"/>
      <c r="K46" s="35"/>
      <c r="L46" s="33"/>
      <c r="M46" s="33"/>
      <c r="N46" s="33"/>
      <c r="O46" s="33"/>
      <c r="P46" s="33"/>
      <c r="Q46" s="35"/>
    </row>
    <row r="47" spans="2:18" s="7" customFormat="1" ht="15.75">
      <c r="B47" s="36"/>
      <c r="C47" s="37"/>
      <c r="D47" s="33"/>
      <c r="E47" s="30"/>
      <c r="F47" s="33"/>
      <c r="G47" s="33"/>
      <c r="H47" s="240"/>
      <c r="I47" s="33"/>
      <c r="J47" s="34"/>
      <c r="K47" s="35"/>
      <c r="L47" s="33"/>
      <c r="M47" s="33"/>
      <c r="N47" s="33"/>
      <c r="O47" s="33"/>
      <c r="P47" s="33"/>
      <c r="Q47" s="35"/>
    </row>
    <row r="48" spans="2:18" s="7" customFormat="1" ht="16.5" thickBot="1">
      <c r="B48" s="36"/>
      <c r="C48" s="37"/>
      <c r="D48" s="38"/>
      <c r="E48" s="30"/>
      <c r="F48" s="33"/>
      <c r="G48" s="33"/>
      <c r="H48" s="240"/>
      <c r="I48" s="33"/>
      <c r="J48" s="34"/>
      <c r="K48" s="35"/>
      <c r="L48" s="33"/>
      <c r="M48" s="33"/>
      <c r="N48" s="33"/>
      <c r="O48" s="33"/>
      <c r="P48" s="33"/>
      <c r="Q48" s="35"/>
    </row>
    <row r="49" spans="2:18" s="7" customFormat="1" ht="38.450000000000003" customHeight="1">
      <c r="B49" s="10" t="s">
        <v>40</v>
      </c>
      <c r="C49" s="10" t="s">
        <v>41</v>
      </c>
      <c r="D49" s="10" t="s">
        <v>42</v>
      </c>
      <c r="E49" s="39" t="s">
        <v>33</v>
      </c>
      <c r="F49" s="39" t="s">
        <v>43</v>
      </c>
      <c r="G49" s="39" t="s">
        <v>4</v>
      </c>
      <c r="H49" s="241" t="s">
        <v>44</v>
      </c>
      <c r="I49" s="39" t="s">
        <v>6</v>
      </c>
      <c r="J49" s="39" t="s">
        <v>45</v>
      </c>
      <c r="K49" s="39" t="s">
        <v>46</v>
      </c>
      <c r="L49" s="40" t="s">
        <v>47</v>
      </c>
      <c r="M49" s="40" t="s">
        <v>4</v>
      </c>
      <c r="N49" s="40" t="s">
        <v>5</v>
      </c>
      <c r="O49" s="40" t="s">
        <v>48</v>
      </c>
      <c r="P49" s="40" t="s">
        <v>49</v>
      </c>
      <c r="Q49" s="154" t="s">
        <v>518</v>
      </c>
      <c r="R49" s="154" t="s">
        <v>517</v>
      </c>
    </row>
    <row r="50" spans="2:18" s="7" customFormat="1" ht="15.75">
      <c r="B50" s="745" t="s">
        <v>64</v>
      </c>
      <c r="C50" s="745" t="s">
        <v>51</v>
      </c>
      <c r="D50" s="745">
        <f>0.3173116</f>
        <v>0.31731160000000003</v>
      </c>
      <c r="E50" s="19" t="s">
        <v>52</v>
      </c>
      <c r="F50" s="581">
        <f>+D50*$D$43</f>
        <v>337.93685400000004</v>
      </c>
      <c r="G50" s="578"/>
      <c r="H50" s="583">
        <f>F50+G50</f>
        <v>337.93685400000004</v>
      </c>
      <c r="I50" s="578"/>
      <c r="J50" s="578">
        <f>H50-I50</f>
        <v>337.93685400000004</v>
      </c>
      <c r="K50" s="272">
        <f>I50/H50</f>
        <v>0</v>
      </c>
      <c r="L50" s="762">
        <f>F50+F51</f>
        <v>965.57919880000009</v>
      </c>
      <c r="M50" s="763">
        <f>G50+G51</f>
        <v>0</v>
      </c>
      <c r="N50" s="766">
        <f>L50+M50</f>
        <v>965.57919880000009</v>
      </c>
      <c r="O50" s="763">
        <f>I50+I51</f>
        <v>196.161</v>
      </c>
      <c r="P50" s="764">
        <f>N50-O50</f>
        <v>769.41819880000003</v>
      </c>
      <c r="Q50" s="765">
        <f>O50/N50</f>
        <v>0.20315371358847045</v>
      </c>
      <c r="R50" s="780">
        <f>+(((O50*1)+M50)/L50)*1</f>
        <v>0.20315371358847045</v>
      </c>
    </row>
    <row r="51" spans="2:18" s="7" customFormat="1" ht="15.75">
      <c r="B51" s="750"/>
      <c r="C51" s="735"/>
      <c r="D51" s="735"/>
      <c r="E51" s="19" t="s">
        <v>38</v>
      </c>
      <c r="F51" s="581">
        <f>+D50*$D$45</f>
        <v>627.64234480000005</v>
      </c>
      <c r="G51" s="578"/>
      <c r="H51" s="583">
        <f>F51+G51+J50</f>
        <v>965.57919880000009</v>
      </c>
      <c r="I51" s="1000">
        <f>+E87</f>
        <v>196.161</v>
      </c>
      <c r="J51" s="578">
        <f t="shared" ref="J51:J63" si="78">H51-I51</f>
        <v>769.41819880000003</v>
      </c>
      <c r="K51" s="272">
        <f>I51/H51</f>
        <v>0.20315371358847045</v>
      </c>
      <c r="L51" s="763"/>
      <c r="M51" s="763"/>
      <c r="N51" s="766"/>
      <c r="O51" s="763"/>
      <c r="P51" s="764"/>
      <c r="Q51" s="765"/>
      <c r="R51" s="780">
        <f t="shared" ref="R51:R63" si="79">+((M51*-1)+K51)/J51</f>
        <v>2.6403549318863661E-4</v>
      </c>
    </row>
    <row r="52" spans="2:18" s="7" customFormat="1" ht="15.75">
      <c r="B52" s="750"/>
      <c r="C52" s="745" t="s">
        <v>53</v>
      </c>
      <c r="D52" s="745">
        <v>5.3330000000000001E-4</v>
      </c>
      <c r="E52" s="19" t="s">
        <v>52</v>
      </c>
      <c r="F52" s="581">
        <f t="shared" ref="F52" si="80">+D52*$D$43</f>
        <v>0.56796449999999998</v>
      </c>
      <c r="G52" s="578"/>
      <c r="H52" s="583">
        <f>F52+G52</f>
        <v>0.56796449999999998</v>
      </c>
      <c r="I52" s="578"/>
      <c r="J52" s="578">
        <f t="shared" si="78"/>
        <v>0.56796449999999998</v>
      </c>
      <c r="K52" s="272">
        <f t="shared" ref="K52:K62" si="81">I52/H52</f>
        <v>0</v>
      </c>
      <c r="L52" s="762">
        <f>F52+F53</f>
        <v>1.6228319</v>
      </c>
      <c r="M52" s="763">
        <f t="shared" ref="M52" si="82">G52+G53</f>
        <v>0</v>
      </c>
      <c r="N52" s="766">
        <f t="shared" ref="N52" si="83">L52+M52</f>
        <v>1.6228319</v>
      </c>
      <c r="O52" s="763">
        <f t="shared" ref="O52" si="84">I52+I53</f>
        <v>0</v>
      </c>
      <c r="P52" s="764">
        <f t="shared" ref="P52" si="85">N52-O52</f>
        <v>1.6228319</v>
      </c>
      <c r="Q52" s="765">
        <f t="shared" ref="Q52" si="86">O52/N52</f>
        <v>0</v>
      </c>
      <c r="R52" s="780">
        <f t="shared" ref="R52" si="87">+(((O52*1)+M52)/L52)*1</f>
        <v>0</v>
      </c>
    </row>
    <row r="53" spans="2:18" s="7" customFormat="1" ht="15.75">
      <c r="B53" s="750"/>
      <c r="C53" s="735"/>
      <c r="D53" s="735"/>
      <c r="E53" s="19" t="s">
        <v>38</v>
      </c>
      <c r="F53" s="581">
        <f t="shared" ref="F53" si="88">+D52*$D$45</f>
        <v>1.0548674</v>
      </c>
      <c r="G53" s="578"/>
      <c r="H53" s="583">
        <f>F53+G53+J52</f>
        <v>1.6228319</v>
      </c>
      <c r="I53" s="578"/>
      <c r="J53" s="578">
        <f t="shared" si="78"/>
        <v>1.6228319</v>
      </c>
      <c r="K53" s="272">
        <f t="shared" si="81"/>
        <v>0</v>
      </c>
      <c r="L53" s="763"/>
      <c r="M53" s="763"/>
      <c r="N53" s="766"/>
      <c r="O53" s="763"/>
      <c r="P53" s="764"/>
      <c r="Q53" s="765"/>
      <c r="R53" s="780">
        <f t="shared" si="79"/>
        <v>0</v>
      </c>
    </row>
    <row r="54" spans="2:18" s="7" customFormat="1" ht="15.75">
      <c r="B54" s="750"/>
      <c r="C54" s="745" t="s">
        <v>54</v>
      </c>
      <c r="D54" s="745">
        <v>7.6574600000000007E-2</v>
      </c>
      <c r="E54" s="19" t="s">
        <v>52</v>
      </c>
      <c r="F54" s="581">
        <f t="shared" ref="F54" si="89">+D54*$D$43</f>
        <v>81.551949000000008</v>
      </c>
      <c r="G54" s="581">
        <f>+Movimientos_cuotas!J23</f>
        <v>300.94557937999997</v>
      </c>
      <c r="H54" s="583">
        <f>F54+G54</f>
        <v>382.49752837999995</v>
      </c>
      <c r="I54" s="578"/>
      <c r="J54" s="578">
        <f t="shared" si="78"/>
        <v>382.49752837999995</v>
      </c>
      <c r="K54" s="272">
        <f t="shared" si="81"/>
        <v>0</v>
      </c>
      <c r="L54" s="762">
        <f>F54+F55</f>
        <v>233.01650780000003</v>
      </c>
      <c r="M54" s="762">
        <f t="shared" ref="M54" si="90">G54+G55</f>
        <v>300.94557937999997</v>
      </c>
      <c r="N54" s="766">
        <f>L54+M54</f>
        <v>533.96208718000003</v>
      </c>
      <c r="O54" s="763">
        <f t="shared" ref="O54" si="91">I54+I55</f>
        <v>0</v>
      </c>
      <c r="P54" s="764">
        <f t="shared" ref="P54" si="92">N54-O54</f>
        <v>533.96208718000003</v>
      </c>
      <c r="Q54" s="765">
        <f t="shared" ref="Q54" si="93">O54/N54</f>
        <v>0</v>
      </c>
      <c r="R54" s="780">
        <f t="shared" ref="R54" si="94">+(((O54*1)+M54)/L54)*1</f>
        <v>1.2915204258331088</v>
      </c>
    </row>
    <row r="55" spans="2:18" s="7" customFormat="1" ht="15.75">
      <c r="B55" s="750"/>
      <c r="C55" s="735"/>
      <c r="D55" s="735"/>
      <c r="E55" s="19" t="s">
        <v>38</v>
      </c>
      <c r="F55" s="581">
        <f t="shared" ref="F55" si="95">+D54*$D$45</f>
        <v>151.46455880000002</v>
      </c>
      <c r="G55" s="578"/>
      <c r="H55" s="583">
        <f>F55+G55+J54</f>
        <v>533.96208718000003</v>
      </c>
      <c r="I55" s="578"/>
      <c r="J55" s="578">
        <f t="shared" si="78"/>
        <v>533.96208718000003</v>
      </c>
      <c r="K55" s="272">
        <f t="shared" si="81"/>
        <v>0</v>
      </c>
      <c r="L55" s="763"/>
      <c r="M55" s="762"/>
      <c r="N55" s="766"/>
      <c r="O55" s="763"/>
      <c r="P55" s="764"/>
      <c r="Q55" s="765"/>
      <c r="R55" s="780">
        <f t="shared" si="79"/>
        <v>0</v>
      </c>
    </row>
    <row r="56" spans="2:18" s="7" customFormat="1" ht="15.75">
      <c r="B56" s="750"/>
      <c r="C56" s="745" t="s">
        <v>55</v>
      </c>
      <c r="D56" s="745">
        <v>3.9747999999999997E-3</v>
      </c>
      <c r="E56" s="19" t="s">
        <v>52</v>
      </c>
      <c r="F56" s="581">
        <f t="shared" ref="F56" si="96">+D56*$D$43</f>
        <v>4.2331620000000001</v>
      </c>
      <c r="G56" s="578"/>
      <c r="H56" s="583">
        <f t="shared" ref="H56" si="97">F56+G56</f>
        <v>4.2331620000000001</v>
      </c>
      <c r="I56" s="578"/>
      <c r="J56" s="578">
        <f t="shared" si="78"/>
        <v>4.2331620000000001</v>
      </c>
      <c r="K56" s="272">
        <f t="shared" si="81"/>
        <v>0</v>
      </c>
      <c r="L56" s="762">
        <f>F56+F57</f>
        <v>12.0953164</v>
      </c>
      <c r="M56" s="763">
        <f t="shared" ref="M56" si="98">G56+G57</f>
        <v>0</v>
      </c>
      <c r="N56" s="766">
        <f t="shared" ref="N56" si="99">L56+M56</f>
        <v>12.0953164</v>
      </c>
      <c r="O56" s="763">
        <f t="shared" ref="O56" si="100">I56+I57</f>
        <v>0</v>
      </c>
      <c r="P56" s="764">
        <f t="shared" ref="P56" si="101">N56-O56</f>
        <v>12.0953164</v>
      </c>
      <c r="Q56" s="765">
        <f t="shared" ref="Q56" si="102">O56/N56</f>
        <v>0</v>
      </c>
      <c r="R56" s="780">
        <f t="shared" ref="R56" si="103">+(((O56*1)+M56)/L56)*1</f>
        <v>0</v>
      </c>
    </row>
    <row r="57" spans="2:18" s="7" customFormat="1" ht="15.75">
      <c r="B57" s="750"/>
      <c r="C57" s="735"/>
      <c r="D57" s="735"/>
      <c r="E57" s="19" t="s">
        <v>38</v>
      </c>
      <c r="F57" s="581">
        <f t="shared" ref="F57" si="104">+D56*$D$45</f>
        <v>7.8621543999999997</v>
      </c>
      <c r="G57" s="578"/>
      <c r="H57" s="583">
        <f>F57+G57+J56</f>
        <v>12.0953164</v>
      </c>
      <c r="I57" s="578">
        <f>+E89</f>
        <v>0</v>
      </c>
      <c r="J57" s="578">
        <f t="shared" si="78"/>
        <v>12.0953164</v>
      </c>
      <c r="K57" s="272">
        <f t="shared" si="81"/>
        <v>0</v>
      </c>
      <c r="L57" s="763"/>
      <c r="M57" s="763"/>
      <c r="N57" s="766"/>
      <c r="O57" s="763"/>
      <c r="P57" s="764"/>
      <c r="Q57" s="765"/>
      <c r="R57" s="780">
        <f t="shared" si="79"/>
        <v>0</v>
      </c>
    </row>
    <row r="58" spans="2:18" s="7" customFormat="1" ht="15.75">
      <c r="B58" s="750"/>
      <c r="C58" s="745" t="s">
        <v>56</v>
      </c>
      <c r="D58" s="745">
        <v>0.57160580000000005</v>
      </c>
      <c r="E58" s="19" t="s">
        <v>52</v>
      </c>
      <c r="F58" s="581">
        <f t="shared" ref="F58" si="105">+D58*$D$43</f>
        <v>608.76017700000011</v>
      </c>
      <c r="G58" s="576">
        <f>54.508+185.767</f>
        <v>240.27500000000001</v>
      </c>
      <c r="H58" s="583">
        <f t="shared" ref="H58" si="106">F58+G58</f>
        <v>849.03517700000009</v>
      </c>
      <c r="I58" s="1000">
        <f>+E76</f>
        <v>29.187999999999999</v>
      </c>
      <c r="J58" s="578">
        <f t="shared" si="78"/>
        <v>819.8471770000001</v>
      </c>
      <c r="K58" s="272">
        <f t="shared" si="81"/>
        <v>3.4377845336318727E-2</v>
      </c>
      <c r="L58" s="762">
        <f>F58+F59</f>
        <v>1739.3964494000002</v>
      </c>
      <c r="M58" s="763">
        <f t="shared" ref="M58" si="107">G58+G59</f>
        <v>-2.5260000000000389</v>
      </c>
      <c r="N58" s="766">
        <f t="shared" ref="N58" si="108">L58+M58</f>
        <v>1736.8704494000001</v>
      </c>
      <c r="O58" s="763">
        <f t="shared" ref="O58" si="109">I58+I59</f>
        <v>144.63200000000001</v>
      </c>
      <c r="P58" s="764">
        <f t="shared" ref="P58" si="110">N58-O58</f>
        <v>1592.2384494</v>
      </c>
      <c r="Q58" s="765">
        <f t="shared" ref="Q58" si="111">O58/N58</f>
        <v>8.3271610758282502E-2</v>
      </c>
      <c r="R58" s="780">
        <f t="shared" ref="R58" si="112">+(((O58*1)+M58)/L58)*1</f>
        <v>8.1698453534856316E-2</v>
      </c>
    </row>
    <row r="59" spans="2:18" s="7" customFormat="1" ht="15.75">
      <c r="B59" s="750"/>
      <c r="C59" s="735"/>
      <c r="D59" s="735"/>
      <c r="E59" s="19" t="s">
        <v>38</v>
      </c>
      <c r="F59" s="581">
        <f t="shared" ref="F59" si="113">+D58*$D$45</f>
        <v>1130.6362724000001</v>
      </c>
      <c r="G59" s="587">
        <f>-300.946+22.8225+22.8225+12.5</f>
        <v>-242.80100000000004</v>
      </c>
      <c r="H59" s="583">
        <f>F59+G59+J58</f>
        <v>1707.6824494000002</v>
      </c>
      <c r="I59" s="1000">
        <f>+E86</f>
        <v>115.444</v>
      </c>
      <c r="J59" s="578">
        <f t="shared" si="78"/>
        <v>1592.2384494000003</v>
      </c>
      <c r="K59" s="272">
        <f t="shared" si="81"/>
        <v>6.7602732604391189E-2</v>
      </c>
      <c r="L59" s="763"/>
      <c r="M59" s="763"/>
      <c r="N59" s="766"/>
      <c r="O59" s="763"/>
      <c r="P59" s="764"/>
      <c r="Q59" s="765"/>
      <c r="R59" s="780">
        <f t="shared" si="79"/>
        <v>4.2457668717814077E-5</v>
      </c>
    </row>
    <row r="60" spans="2:18" s="7" customFormat="1" ht="15.75">
      <c r="B60" s="750"/>
      <c r="C60" s="745" t="s">
        <v>443</v>
      </c>
      <c r="D60" s="745">
        <v>1.4999999999999999E-2</v>
      </c>
      <c r="E60" s="273" t="s">
        <v>52</v>
      </c>
      <c r="F60" s="581">
        <f t="shared" ref="F60" si="114">+D60*$D$43</f>
        <v>15.975</v>
      </c>
      <c r="G60" s="578"/>
      <c r="H60" s="583">
        <f t="shared" ref="H60" si="115">F60+G60</f>
        <v>15.975</v>
      </c>
      <c r="I60" s="578"/>
      <c r="J60" s="578">
        <f t="shared" ref="J60:J61" si="116">H60-I60</f>
        <v>15.975</v>
      </c>
      <c r="K60" s="272">
        <f t="shared" ref="K60:K61" si="117">I60/H60</f>
        <v>0</v>
      </c>
      <c r="L60" s="762">
        <f>F60+F61</f>
        <v>45.644999999999996</v>
      </c>
      <c r="M60" s="763">
        <f t="shared" ref="M60" si="118">G60+G61</f>
        <v>0</v>
      </c>
      <c r="N60" s="766">
        <f t="shared" ref="N60" si="119">L60+M60</f>
        <v>45.644999999999996</v>
      </c>
      <c r="O60" s="763">
        <f t="shared" ref="O60" si="120">I60+I61</f>
        <v>0</v>
      </c>
      <c r="P60" s="764">
        <f t="shared" ref="P60" si="121">N60-O60</f>
        <v>45.644999999999996</v>
      </c>
      <c r="Q60" s="765">
        <f t="shared" ref="Q60" si="122">O60/N60</f>
        <v>0</v>
      </c>
      <c r="R60" s="780">
        <f t="shared" ref="R60" si="123">+(((O60*1)+M60)/L60)*1</f>
        <v>0</v>
      </c>
    </row>
    <row r="61" spans="2:18" s="7" customFormat="1" ht="15.75">
      <c r="B61" s="750"/>
      <c r="C61" s="735"/>
      <c r="D61" s="735"/>
      <c r="E61" s="273" t="s">
        <v>38</v>
      </c>
      <c r="F61" s="581">
        <f t="shared" ref="F61" si="124">+D60*$D$45</f>
        <v>29.669999999999998</v>
      </c>
      <c r="G61" s="578"/>
      <c r="H61" s="583">
        <f>F61+G61+J60</f>
        <v>45.644999999999996</v>
      </c>
      <c r="I61" s="578"/>
      <c r="J61" s="578">
        <f t="shared" si="116"/>
        <v>45.644999999999996</v>
      </c>
      <c r="K61" s="272">
        <f t="shared" si="117"/>
        <v>0</v>
      </c>
      <c r="L61" s="763"/>
      <c r="M61" s="763"/>
      <c r="N61" s="766"/>
      <c r="O61" s="763"/>
      <c r="P61" s="764"/>
      <c r="Q61" s="765"/>
      <c r="R61" s="780">
        <f t="shared" si="79"/>
        <v>0</v>
      </c>
    </row>
    <row r="62" spans="2:18" s="7" customFormat="1" ht="15.75">
      <c r="B62" s="750"/>
      <c r="C62" s="745" t="s">
        <v>65</v>
      </c>
      <c r="D62" s="745">
        <v>1.4999999999999999E-2</v>
      </c>
      <c r="E62" s="19" t="s">
        <v>52</v>
      </c>
      <c r="F62" s="584">
        <f t="shared" ref="F62" si="125">+D62*$D$43</f>
        <v>15.975</v>
      </c>
      <c r="G62" s="585"/>
      <c r="H62" s="586">
        <f t="shared" ref="H62" si="126">F62+G62</f>
        <v>15.975</v>
      </c>
      <c r="I62" s="585"/>
      <c r="J62" s="585">
        <f t="shared" si="78"/>
        <v>15.975</v>
      </c>
      <c r="K62" s="357">
        <f t="shared" si="81"/>
        <v>0</v>
      </c>
      <c r="L62" s="778">
        <f>F62+F63</f>
        <v>45.644999999999996</v>
      </c>
      <c r="M62" s="775">
        <f t="shared" ref="M62" si="127">G62+G63</f>
        <v>-45.645000000000003</v>
      </c>
      <c r="N62" s="766">
        <f t="shared" ref="N62" si="128">L62+M62</f>
        <v>0</v>
      </c>
      <c r="O62" s="775">
        <f t="shared" ref="O62" si="129">I62+I63</f>
        <v>0</v>
      </c>
      <c r="P62" s="776">
        <f t="shared" ref="P62" si="130">N62-O62</f>
        <v>0</v>
      </c>
      <c r="Q62" s="777">
        <v>0</v>
      </c>
      <c r="R62" s="780">
        <f t="shared" ref="R62" si="131">+(((O62*1)+M62)/L62)*1</f>
        <v>-1.0000000000000002</v>
      </c>
    </row>
    <row r="63" spans="2:18" s="7" customFormat="1" ht="15.75">
      <c r="B63" s="735"/>
      <c r="C63" s="735"/>
      <c r="D63" s="735"/>
      <c r="E63" s="19" t="s">
        <v>38</v>
      </c>
      <c r="F63" s="584">
        <f t="shared" ref="F63" si="132">+D62*$D$45</f>
        <v>29.669999999999998</v>
      </c>
      <c r="G63" s="585">
        <f>-22.8225-22.8225</f>
        <v>-45.645000000000003</v>
      </c>
      <c r="H63" s="586">
        <f>F63+G63+J62</f>
        <v>0</v>
      </c>
      <c r="I63" s="585"/>
      <c r="J63" s="585">
        <f t="shared" si="78"/>
        <v>0</v>
      </c>
      <c r="K63" s="357">
        <v>0</v>
      </c>
      <c r="L63" s="775"/>
      <c r="M63" s="775"/>
      <c r="N63" s="766"/>
      <c r="O63" s="775"/>
      <c r="P63" s="776"/>
      <c r="Q63" s="777"/>
      <c r="R63" s="780" t="e">
        <f t="shared" si="79"/>
        <v>#DIV/0!</v>
      </c>
    </row>
    <row r="64" spans="2:18" s="13" customFormat="1" ht="15.75">
      <c r="B64" s="753" t="s">
        <v>420</v>
      </c>
      <c r="C64" s="753"/>
      <c r="D64" s="753">
        <f>SUM(D50:D63)</f>
        <v>1.0000001000000001</v>
      </c>
      <c r="E64" s="19" t="s">
        <v>52</v>
      </c>
      <c r="F64" s="22">
        <f>F50+F52+F54+F56+F58++F60+F62</f>
        <v>1065.0001065000001</v>
      </c>
      <c r="G64" s="22">
        <f>G50+G52+G54+G56+G58++G60+G62</f>
        <v>541.22057938</v>
      </c>
      <c r="H64" s="236">
        <f>F64+G64</f>
        <v>1606.22068588</v>
      </c>
      <c r="I64" s="22">
        <f>I50+I52+I54+I56+I58++I60+I62</f>
        <v>29.187999999999999</v>
      </c>
      <c r="J64" s="22">
        <f>H64-I64</f>
        <v>1577.0326858799999</v>
      </c>
      <c r="K64" s="20">
        <f>(I64/H64)</f>
        <v>1.817184914662506E-2</v>
      </c>
      <c r="L64" s="754">
        <f>F64+F65</f>
        <v>3043.0003043000006</v>
      </c>
      <c r="M64" s="755">
        <f>G64+G65</f>
        <v>252.77457937999998</v>
      </c>
      <c r="N64" s="755">
        <f t="shared" ref="N64" si="133">L64+M64</f>
        <v>3295.7748836800006</v>
      </c>
      <c r="O64" s="755">
        <f>I64+I65</f>
        <v>340.79300000000001</v>
      </c>
      <c r="P64" s="755">
        <f>N64-O64</f>
        <v>2954.9818836800005</v>
      </c>
      <c r="Q64" s="756">
        <f t="shared" ref="Q64" si="134">O64/N64</f>
        <v>0.10340299687564732</v>
      </c>
      <c r="R64" s="756">
        <f t="shared" ref="R64" si="135">+M64/L64</f>
        <v>8.3067549820093498E-2</v>
      </c>
    </row>
    <row r="65" spans="2:18" s="13" customFormat="1" ht="15.75">
      <c r="B65" s="753"/>
      <c r="C65" s="753"/>
      <c r="D65" s="753"/>
      <c r="E65" s="19" t="s">
        <v>38</v>
      </c>
      <c r="F65" s="22">
        <f>F51+F53+F55+F57+F59++F61+F63</f>
        <v>1978.0001978000003</v>
      </c>
      <c r="G65" s="22">
        <f>G51+G53+G55+G57+G59++G61+G63</f>
        <v>-288.44600000000003</v>
      </c>
      <c r="H65" s="236">
        <f>F65+G65+J64</f>
        <v>3266.58688368</v>
      </c>
      <c r="I65" s="22">
        <f>I51+I53+I55+I57+I59++I61+I63</f>
        <v>311.60500000000002</v>
      </c>
      <c r="J65" s="22">
        <f>H65-I65</f>
        <v>2954.98188368</v>
      </c>
      <c r="K65" s="20">
        <f>(I65/H65)</f>
        <v>9.5391615498363502E-2</v>
      </c>
      <c r="L65" s="754"/>
      <c r="M65" s="755"/>
      <c r="N65" s="755"/>
      <c r="O65" s="755"/>
      <c r="P65" s="755"/>
      <c r="Q65" s="756"/>
      <c r="R65" s="756"/>
    </row>
    <row r="66" spans="2:18" ht="15.75" thickBot="1">
      <c r="B66" s="41"/>
      <c r="C66" s="41"/>
      <c r="D66" s="41"/>
      <c r="E66" s="41"/>
      <c r="F66" s="41"/>
      <c r="G66" s="41"/>
      <c r="H66" s="231"/>
      <c r="I66" s="41"/>
      <c r="J66" s="41"/>
      <c r="K66" s="41"/>
      <c r="L66" s="41"/>
      <c r="M66" s="41"/>
      <c r="N66" s="41"/>
      <c r="O66" s="41"/>
      <c r="P66" s="41"/>
      <c r="Q66" s="41"/>
    </row>
    <row r="67" spans="2:18" s="13" customFormat="1" ht="16.5" thickBot="1">
      <c r="B67" s="772" t="s">
        <v>535</v>
      </c>
      <c r="C67" s="773"/>
      <c r="D67" s="773"/>
      <c r="E67" s="774"/>
      <c r="F67" s="42">
        <f>SUM(F50:F63)</f>
        <v>3043.0003043000006</v>
      </c>
      <c r="G67" s="434">
        <f>SUM(G50:G63)</f>
        <v>252.77457937999995</v>
      </c>
      <c r="H67" s="242">
        <f>+F67+G67</f>
        <v>3295.7748836800006</v>
      </c>
      <c r="I67" s="43">
        <f>SUM(I50:I63)</f>
        <v>340.79300000000001</v>
      </c>
      <c r="J67" s="42">
        <f>H67-I67</f>
        <v>2954.9818836800005</v>
      </c>
      <c r="K67" s="44">
        <f>(I67/H67)</f>
        <v>0.10340299687564732</v>
      </c>
      <c r="L67" s="41"/>
      <c r="M67" s="41"/>
      <c r="N67" s="41"/>
      <c r="O67" s="41"/>
      <c r="P67" s="41"/>
      <c r="Q67" s="41"/>
      <c r="R67" s="24"/>
    </row>
    <row r="68" spans="2:18">
      <c r="B68" s="41"/>
      <c r="C68" s="41"/>
      <c r="D68" s="41"/>
      <c r="E68" s="41"/>
      <c r="F68" s="41"/>
      <c r="G68" s="41"/>
      <c r="H68" s="231"/>
      <c r="I68" s="41"/>
      <c r="J68" s="41"/>
      <c r="K68" s="41"/>
      <c r="L68" s="41"/>
      <c r="M68" s="41"/>
      <c r="N68" s="41"/>
      <c r="O68" s="41"/>
      <c r="P68" s="41"/>
      <c r="Q68" s="41"/>
    </row>
    <row r="69" spans="2:18">
      <c r="B69" s="41"/>
      <c r="C69" s="41"/>
      <c r="D69" s="41"/>
      <c r="E69" s="41"/>
      <c r="F69" s="41"/>
      <c r="G69" s="41"/>
      <c r="H69" s="231"/>
      <c r="I69" s="41"/>
      <c r="J69" s="41"/>
      <c r="K69" s="41"/>
      <c r="L69" s="41"/>
      <c r="M69" s="41"/>
      <c r="N69" s="41"/>
      <c r="O69" s="41"/>
      <c r="P69" s="41"/>
      <c r="Q69" s="41"/>
    </row>
    <row r="70" spans="2:18">
      <c r="B70" s="41"/>
      <c r="C70" s="41"/>
      <c r="D70" s="41"/>
      <c r="E70" s="41"/>
      <c r="F70" s="41"/>
      <c r="G70" s="41"/>
      <c r="H70" s="231"/>
      <c r="I70" s="41"/>
      <c r="J70" s="41"/>
      <c r="K70" s="41"/>
      <c r="L70" s="41"/>
      <c r="M70" s="41"/>
      <c r="N70" s="41"/>
      <c r="O70" s="41"/>
      <c r="P70" s="41"/>
      <c r="Q70" s="41"/>
    </row>
    <row r="71" spans="2:18">
      <c r="B71" s="41"/>
      <c r="C71" s="41"/>
      <c r="D71" s="41"/>
      <c r="E71" s="41"/>
      <c r="F71" s="41"/>
      <c r="G71" s="41"/>
      <c r="H71" s="231"/>
      <c r="I71" s="41"/>
      <c r="J71" s="41"/>
      <c r="K71" s="41"/>
      <c r="L71" s="41"/>
      <c r="M71" s="41"/>
      <c r="N71" s="41"/>
      <c r="O71" s="41"/>
      <c r="P71" s="41"/>
      <c r="Q71" s="41"/>
    </row>
    <row r="72" spans="2:18">
      <c r="B72" s="769" t="s">
        <v>423</v>
      </c>
      <c r="C72" s="770"/>
      <c r="D72" s="770"/>
      <c r="E72" s="770"/>
      <c r="F72" s="771"/>
      <c r="G72" s="41"/>
      <c r="H72" s="231"/>
      <c r="I72" s="41"/>
      <c r="J72" s="41"/>
      <c r="K72" s="41"/>
      <c r="L72" s="41"/>
      <c r="M72" s="41"/>
      <c r="N72" s="41"/>
      <c r="O72" s="41"/>
      <c r="P72" s="41"/>
      <c r="Q72" s="41"/>
    </row>
    <row r="73" spans="2:18" ht="14.65" customHeight="1">
      <c r="B73" s="768" t="s">
        <v>420</v>
      </c>
      <c r="C73" s="768" t="s">
        <v>424</v>
      </c>
      <c r="D73" s="218"/>
      <c r="E73" s="217"/>
      <c r="F73" s="218"/>
      <c r="G73" s="41"/>
      <c r="H73" s="231"/>
      <c r="I73" s="41"/>
      <c r="J73" s="41"/>
      <c r="K73" s="41"/>
      <c r="L73" s="41"/>
      <c r="M73" s="41"/>
      <c r="N73" s="41"/>
      <c r="O73" s="41"/>
      <c r="P73" s="41"/>
      <c r="Q73" s="41"/>
    </row>
    <row r="74" spans="2:18" ht="12" customHeight="1">
      <c r="B74" s="768"/>
      <c r="C74" s="768"/>
      <c r="D74" s="219" t="s">
        <v>384</v>
      </c>
      <c r="E74" s="220" t="s">
        <v>385</v>
      </c>
      <c r="F74" s="219" t="s">
        <v>386</v>
      </c>
      <c r="G74" s="41"/>
      <c r="H74" s="231"/>
      <c r="I74" s="41"/>
      <c r="J74" s="41"/>
      <c r="K74" s="41"/>
      <c r="L74" s="41"/>
      <c r="M74" s="41"/>
      <c r="N74" s="41"/>
      <c r="O74" s="41"/>
      <c r="P74" s="41"/>
      <c r="Q74" s="41"/>
    </row>
    <row r="75" spans="2:18" ht="14.65" customHeight="1">
      <c r="B75" s="693"/>
      <c r="C75" s="693"/>
      <c r="D75" s="693"/>
      <c r="E75" s="693"/>
      <c r="F75" s="693">
        <v>0</v>
      </c>
      <c r="G75" s="41"/>
      <c r="H75" s="231"/>
      <c r="I75" s="41"/>
      <c r="J75" s="41"/>
      <c r="K75" s="41"/>
      <c r="L75" s="41"/>
      <c r="M75" s="41"/>
      <c r="N75" s="41"/>
      <c r="O75" s="41"/>
      <c r="P75" s="41"/>
      <c r="Q75" s="41"/>
    </row>
    <row r="76" spans="2:18">
      <c r="B76" s="253" t="s">
        <v>56</v>
      </c>
      <c r="C76" s="682"/>
      <c r="D76" s="682">
        <v>66.421000000000006</v>
      </c>
      <c r="E76" s="683">
        <v>29.187999999999999</v>
      </c>
      <c r="F76" s="254">
        <f>SUM(C76:E76)</f>
        <v>95.609000000000009</v>
      </c>
      <c r="G76" s="41"/>
      <c r="H76" s="231"/>
      <c r="I76" s="41"/>
      <c r="J76" s="41"/>
      <c r="K76" s="41"/>
      <c r="L76" s="41"/>
      <c r="M76" s="41"/>
      <c r="N76" s="41"/>
      <c r="O76" s="41"/>
      <c r="P76" s="41"/>
      <c r="Q76" s="41"/>
    </row>
    <row r="77" spans="2:18">
      <c r="B77" s="253" t="s">
        <v>66</v>
      </c>
      <c r="C77" s="682"/>
      <c r="D77" s="682">
        <v>140.03981999999999</v>
      </c>
      <c r="E77" s="682"/>
      <c r="F77" s="254">
        <f t="shared" ref="F77:F79" si="136">SUM(C77:E77)</f>
        <v>140.03981999999999</v>
      </c>
      <c r="G77" s="41"/>
      <c r="H77" s="231"/>
      <c r="I77" s="41"/>
      <c r="J77" s="41"/>
      <c r="K77" s="41"/>
      <c r="L77" s="41"/>
      <c r="M77" s="41"/>
      <c r="N77" s="41"/>
      <c r="O77" s="41"/>
      <c r="P77" s="41"/>
      <c r="Q77" s="41"/>
    </row>
    <row r="78" spans="2:18">
      <c r="B78" s="253" t="s">
        <v>67</v>
      </c>
      <c r="C78" s="682"/>
      <c r="D78" s="682">
        <v>154.29444000000001</v>
      </c>
      <c r="E78" s="682"/>
      <c r="F78" s="254">
        <f t="shared" si="136"/>
        <v>154.29444000000001</v>
      </c>
      <c r="G78" s="41"/>
      <c r="H78" s="231"/>
      <c r="I78" s="231"/>
      <c r="J78" s="231"/>
      <c r="K78" s="231"/>
      <c r="L78" s="41"/>
      <c r="M78" s="41"/>
      <c r="N78" s="41"/>
      <c r="O78" s="41"/>
      <c r="P78" s="41"/>
      <c r="Q78" s="41"/>
    </row>
    <row r="79" spans="2:18">
      <c r="B79" s="493" t="s">
        <v>419</v>
      </c>
      <c r="C79" s="682">
        <v>0</v>
      </c>
      <c r="D79" s="682"/>
      <c r="E79" s="682"/>
      <c r="F79" s="494">
        <f t="shared" si="136"/>
        <v>0</v>
      </c>
      <c r="G79" s="41"/>
      <c r="H79" s="231"/>
      <c r="I79" s="231"/>
      <c r="J79" s="231"/>
      <c r="K79" s="231"/>
      <c r="L79" s="41"/>
      <c r="M79" s="41"/>
      <c r="N79" s="41"/>
      <c r="O79" s="41"/>
      <c r="P79" s="41"/>
      <c r="Q79" s="41"/>
    </row>
    <row r="80" spans="2:18">
      <c r="B80" s="495" t="s">
        <v>386</v>
      </c>
      <c r="C80" s="496">
        <v>0</v>
      </c>
      <c r="D80" s="674">
        <f>SUM(D76:D78)</f>
        <v>360.75526000000002</v>
      </c>
      <c r="E80" s="496">
        <f>SUM(E76:E78)</f>
        <v>29.187999999999999</v>
      </c>
      <c r="F80" s="496">
        <f>SUM(F75:F79)</f>
        <v>389.94326000000001</v>
      </c>
      <c r="G80" s="41"/>
      <c r="H80" s="231"/>
      <c r="I80" s="231"/>
      <c r="J80" s="231"/>
      <c r="K80" s="231"/>
      <c r="L80" s="41"/>
      <c r="M80" s="41"/>
      <c r="N80" s="41"/>
      <c r="O80" s="41"/>
      <c r="P80" s="41"/>
      <c r="Q80" s="41"/>
    </row>
    <row r="81" spans="2:17">
      <c r="B81" s="41"/>
      <c r="C81" s="41"/>
      <c r="D81" s="41"/>
      <c r="E81" s="41"/>
      <c r="F81" s="41"/>
      <c r="G81" s="41"/>
      <c r="H81" s="231"/>
      <c r="I81" s="231"/>
      <c r="J81" s="231"/>
      <c r="K81" s="231"/>
      <c r="L81" s="41"/>
      <c r="M81" s="41"/>
      <c r="N81" s="41"/>
      <c r="O81" s="41"/>
      <c r="P81" s="41"/>
      <c r="Q81" s="41"/>
    </row>
    <row r="82" spans="2:17">
      <c r="B82" s="767" t="s">
        <v>425</v>
      </c>
      <c r="C82" s="767"/>
      <c r="D82" s="767"/>
      <c r="E82" s="767"/>
      <c r="F82" s="767"/>
      <c r="G82" s="41"/>
      <c r="H82" s="231"/>
      <c r="I82" s="231"/>
      <c r="J82" s="231"/>
      <c r="K82" s="231"/>
      <c r="L82" s="41"/>
      <c r="M82" s="41"/>
      <c r="N82" s="41"/>
      <c r="O82" s="41"/>
      <c r="P82" s="41"/>
      <c r="Q82" s="41"/>
    </row>
    <row r="83" spans="2:17">
      <c r="B83" s="768" t="s">
        <v>420</v>
      </c>
      <c r="C83" s="768" t="s">
        <v>424</v>
      </c>
      <c r="D83" s="218"/>
      <c r="E83" s="217" t="s">
        <v>424</v>
      </c>
      <c r="F83" s="218"/>
      <c r="G83" s="41"/>
      <c r="H83" s="231"/>
      <c r="I83" s="231"/>
      <c r="J83" s="231"/>
      <c r="K83" s="231"/>
      <c r="L83" s="41"/>
      <c r="M83" s="41"/>
      <c r="N83" s="41"/>
      <c r="O83" s="41"/>
      <c r="P83" s="41"/>
      <c r="Q83" s="41"/>
    </row>
    <row r="84" spans="2:17" ht="12" customHeight="1">
      <c r="B84" s="768"/>
      <c r="C84" s="768"/>
      <c r="D84" s="219" t="s">
        <v>384</v>
      </c>
      <c r="E84" s="220" t="s">
        <v>385</v>
      </c>
      <c r="F84" s="219" t="s">
        <v>386</v>
      </c>
      <c r="G84" s="678"/>
      <c r="H84" s="231"/>
      <c r="I84" s="231"/>
      <c r="J84" s="231"/>
      <c r="K84" s="231"/>
      <c r="L84" s="41"/>
      <c r="M84" s="41"/>
      <c r="N84" s="41"/>
      <c r="O84" s="41"/>
      <c r="P84" s="41"/>
      <c r="Q84" s="41"/>
    </row>
    <row r="85" spans="2:17">
      <c r="B85" s="252"/>
      <c r="C85" s="252"/>
      <c r="D85" s="252"/>
      <c r="E85" s="252"/>
      <c r="F85" s="252">
        <v>0</v>
      </c>
      <c r="G85" s="678"/>
      <c r="H85" s="231"/>
      <c r="I85" s="41"/>
      <c r="J85" s="41"/>
      <c r="K85" s="41"/>
      <c r="L85" s="41"/>
      <c r="M85" s="41"/>
      <c r="N85" s="41"/>
      <c r="O85" s="41"/>
      <c r="P85" s="41"/>
      <c r="Q85" s="41"/>
    </row>
    <row r="86" spans="2:17">
      <c r="B86" s="253" t="s">
        <v>56</v>
      </c>
      <c r="C86" s="682"/>
      <c r="D86" s="998">
        <v>1051.2359999999999</v>
      </c>
      <c r="E86" s="998">
        <v>115.444</v>
      </c>
      <c r="F86" s="254">
        <f>SUM(C86:E86)</f>
        <v>1166.6799999999998</v>
      </c>
      <c r="G86" s="678"/>
      <c r="H86" s="231"/>
      <c r="I86" s="41"/>
      <c r="J86" s="41"/>
      <c r="K86" s="41"/>
      <c r="L86" s="41"/>
      <c r="M86" s="41"/>
      <c r="N86" s="41"/>
      <c r="O86" s="41"/>
      <c r="P86" s="41"/>
      <c r="Q86" s="41"/>
    </row>
    <row r="87" spans="2:17">
      <c r="B87" s="492" t="s">
        <v>51</v>
      </c>
      <c r="C87" s="682"/>
      <c r="D87" s="998">
        <v>704.952</v>
      </c>
      <c r="E87" s="998">
        <v>196.161</v>
      </c>
      <c r="F87" s="254">
        <f>SUM(C87:E87)</f>
        <v>901.11300000000006</v>
      </c>
      <c r="G87" s="678"/>
      <c r="H87" s="231"/>
      <c r="I87" s="41"/>
      <c r="J87" s="41"/>
      <c r="K87" s="41"/>
      <c r="L87" s="41"/>
      <c r="M87" s="41"/>
      <c r="N87" s="41"/>
      <c r="O87" s="41"/>
      <c r="P87" s="41"/>
      <c r="Q87" s="41"/>
    </row>
    <row r="88" spans="2:17">
      <c r="B88" s="253" t="s">
        <v>66</v>
      </c>
      <c r="C88" s="682"/>
      <c r="D88" s="998">
        <v>744.50250000000005</v>
      </c>
      <c r="E88" s="682"/>
      <c r="F88" s="254">
        <f t="shared" ref="F88" si="137">SUM(C88:E88)</f>
        <v>744.50250000000005</v>
      </c>
      <c r="G88" s="678"/>
      <c r="H88" s="231"/>
      <c r="I88" s="41"/>
      <c r="J88" s="41"/>
      <c r="K88" s="41"/>
      <c r="L88" s="41"/>
      <c r="M88" s="41"/>
      <c r="N88" s="41"/>
      <c r="O88" s="41"/>
      <c r="P88" s="41"/>
      <c r="Q88" s="41"/>
    </row>
    <row r="89" spans="2:17">
      <c r="B89" s="253" t="s">
        <v>515</v>
      </c>
      <c r="C89" s="998">
        <v>11.646000000000001</v>
      </c>
      <c r="D89" s="998">
        <v>1257.4557299999999</v>
      </c>
      <c r="E89" s="682"/>
      <c r="F89" s="254">
        <f>SUM(C89:D89)</f>
        <v>1269.1017299999999</v>
      </c>
      <c r="G89" s="678"/>
      <c r="H89" s="231"/>
      <c r="I89" s="41"/>
      <c r="J89" s="41"/>
      <c r="K89" s="41"/>
      <c r="L89" s="41"/>
      <c r="M89" s="41"/>
      <c r="N89" s="41"/>
      <c r="O89" s="41"/>
      <c r="P89" s="41"/>
      <c r="Q89" s="41"/>
    </row>
    <row r="90" spans="2:17">
      <c r="B90" s="253" t="s">
        <v>516</v>
      </c>
      <c r="C90" s="1001">
        <v>2.407</v>
      </c>
      <c r="D90" s="681"/>
      <c r="E90" s="681"/>
      <c r="F90" s="254">
        <f>SUM(C90:E90)</f>
        <v>2.407</v>
      </c>
      <c r="G90" s="678"/>
      <c r="H90" s="231"/>
      <c r="I90" s="41"/>
      <c r="J90" s="41"/>
      <c r="K90" s="41"/>
      <c r="L90" s="41"/>
      <c r="M90" s="41"/>
      <c r="N90" s="41"/>
      <c r="O90" s="41"/>
      <c r="P90" s="41"/>
      <c r="Q90" s="41"/>
    </row>
    <row r="91" spans="2:17">
      <c r="B91" s="255" t="s">
        <v>386</v>
      </c>
      <c r="C91" s="654">
        <f>SUM(C86:C90)</f>
        <v>14.053000000000001</v>
      </c>
      <c r="D91" s="256">
        <f>SUM(D86:D90)</f>
        <v>3758.1462299999994</v>
      </c>
      <c r="E91" s="256">
        <f>SUM(E86:E90)</f>
        <v>311.60500000000002</v>
      </c>
      <c r="F91" s="256">
        <f>SUM(F86:F90)</f>
        <v>4083.8042299999997</v>
      </c>
      <c r="G91" s="678"/>
      <c r="H91" s="231"/>
      <c r="I91" s="41"/>
      <c r="J91" s="41"/>
      <c r="K91" s="41"/>
      <c r="L91" s="41"/>
      <c r="M91" s="41"/>
      <c r="N91" s="41"/>
      <c r="O91" s="41"/>
      <c r="P91" s="41"/>
      <c r="Q91" s="41"/>
    </row>
    <row r="92" spans="2:17">
      <c r="B92" s="41"/>
      <c r="C92" s="41"/>
      <c r="D92" s="41"/>
      <c r="E92" s="41"/>
      <c r="F92" s="41"/>
      <c r="G92" s="678"/>
      <c r="H92" s="231"/>
      <c r="I92" s="41"/>
      <c r="J92" s="41"/>
      <c r="K92" s="41"/>
      <c r="L92" s="41"/>
      <c r="M92" s="41"/>
      <c r="N92" s="41"/>
      <c r="O92" s="41"/>
      <c r="P92" s="41"/>
      <c r="Q92" s="41"/>
    </row>
    <row r="93" spans="2:17">
      <c r="B93" s="41"/>
      <c r="C93" s="41"/>
      <c r="D93" s="41"/>
      <c r="E93" s="41"/>
      <c r="F93" s="41"/>
      <c r="G93" s="678"/>
      <c r="H93" s="231"/>
      <c r="I93" s="41"/>
      <c r="J93" s="41"/>
      <c r="K93" s="41"/>
      <c r="L93" s="41"/>
      <c r="M93" s="41"/>
      <c r="N93" s="41"/>
      <c r="O93" s="41"/>
      <c r="P93" s="41"/>
      <c r="Q93" s="41"/>
    </row>
    <row r="94" spans="2:17" ht="16.899999999999999" customHeight="1">
      <c r="B94" s="41"/>
      <c r="C94" s="732" t="s">
        <v>539</v>
      </c>
      <c r="D94" s="675" t="s">
        <v>538</v>
      </c>
      <c r="E94" s="676">
        <f>+I36+I64</f>
        <v>389.94325999999995</v>
      </c>
      <c r="F94" s="731">
        <f>+E94+E95</f>
        <v>4459.6944899999999</v>
      </c>
      <c r="G94" s="679">
        <f>+F94-'Resumen Cuota Global'!G15</f>
        <v>0</v>
      </c>
      <c r="H94" s="231"/>
      <c r="I94" s="41"/>
      <c r="J94" s="41"/>
      <c r="K94" s="41"/>
      <c r="L94" s="41"/>
      <c r="M94" s="41"/>
      <c r="N94" s="41"/>
      <c r="O94" s="41"/>
      <c r="P94" s="41"/>
      <c r="Q94" s="41"/>
    </row>
    <row r="95" spans="2:17">
      <c r="B95" s="41"/>
      <c r="C95" s="733"/>
      <c r="D95" s="675" t="s">
        <v>38</v>
      </c>
      <c r="E95" s="676">
        <f>+I37+I65</f>
        <v>4069.7512299999999</v>
      </c>
      <c r="F95" s="731"/>
      <c r="G95" s="678"/>
      <c r="H95" s="231"/>
      <c r="I95" s="41"/>
      <c r="J95" s="41"/>
      <c r="K95" s="41"/>
      <c r="L95" s="41"/>
      <c r="M95" s="41"/>
      <c r="N95" s="41"/>
      <c r="O95" s="41"/>
      <c r="P95" s="41"/>
      <c r="Q95" s="41"/>
    </row>
    <row r="96" spans="2:17">
      <c r="B96" s="41"/>
      <c r="C96" s="675" t="s">
        <v>540</v>
      </c>
      <c r="D96" s="675" t="s">
        <v>424</v>
      </c>
      <c r="E96" s="675">
        <f>+C91</f>
        <v>14.053000000000001</v>
      </c>
      <c r="F96" s="675">
        <f>+E96</f>
        <v>14.053000000000001</v>
      </c>
      <c r="G96" s="680">
        <f>+F96-'Resumen Cuota Global'!E30</f>
        <v>0</v>
      </c>
      <c r="H96" s="231"/>
      <c r="I96" s="41"/>
      <c r="J96" s="41"/>
      <c r="K96" s="41"/>
      <c r="L96" s="41"/>
      <c r="M96" s="41"/>
      <c r="N96" s="41"/>
      <c r="O96" s="41"/>
      <c r="P96" s="41"/>
      <c r="Q96" s="41"/>
    </row>
    <row r="97" spans="2:17">
      <c r="B97" s="41"/>
      <c r="C97" s="675"/>
      <c r="D97" s="675" t="s">
        <v>537</v>
      </c>
      <c r="E97" s="676">
        <f>SUM(E94:E96)</f>
        <v>4473.7474899999997</v>
      </c>
      <c r="F97" s="676">
        <f>SUM(F94:F96)</f>
        <v>4473.7474899999997</v>
      </c>
      <c r="G97" s="678"/>
      <c r="H97" s="231"/>
      <c r="I97" s="41"/>
      <c r="J97" s="41"/>
      <c r="K97" s="41"/>
      <c r="L97" s="41"/>
      <c r="M97" s="41"/>
      <c r="N97" s="41"/>
      <c r="O97" s="41"/>
      <c r="P97" s="41"/>
      <c r="Q97" s="41"/>
    </row>
    <row r="98" spans="2:17">
      <c r="B98" s="41"/>
      <c r="C98" s="41"/>
      <c r="D98" s="41"/>
      <c r="E98" s="41"/>
      <c r="F98" s="41"/>
      <c r="G98" s="678"/>
      <c r="H98" s="231"/>
      <c r="I98" s="41"/>
      <c r="J98" s="41"/>
      <c r="K98" s="41"/>
      <c r="L98" s="41"/>
      <c r="M98" s="41"/>
      <c r="N98" s="41"/>
      <c r="O98" s="41"/>
      <c r="P98" s="41"/>
      <c r="Q98" s="41"/>
    </row>
    <row r="99" spans="2:17">
      <c r="B99" s="41"/>
      <c r="C99" s="41"/>
      <c r="D99" s="41"/>
      <c r="E99" s="41"/>
      <c r="F99" s="41"/>
      <c r="G99" s="41"/>
      <c r="H99" s="231"/>
      <c r="I99" s="41"/>
      <c r="J99" s="41"/>
      <c r="K99" s="41"/>
      <c r="L99" s="41"/>
      <c r="M99" s="41"/>
      <c r="N99" s="41"/>
      <c r="O99" s="41"/>
      <c r="P99" s="41"/>
      <c r="Q99" s="41"/>
    </row>
    <row r="100" spans="2:17">
      <c r="B100" s="41"/>
      <c r="C100" s="41"/>
      <c r="D100" s="41"/>
      <c r="E100" s="41"/>
      <c r="F100" s="41"/>
      <c r="G100" s="41"/>
      <c r="H100" s="231"/>
      <c r="I100" s="41"/>
      <c r="J100" s="41"/>
      <c r="K100" s="41"/>
      <c r="L100" s="41"/>
      <c r="M100" s="41"/>
      <c r="N100" s="41"/>
      <c r="O100" s="41"/>
      <c r="P100" s="41"/>
      <c r="Q100" s="41"/>
    </row>
    <row r="101" spans="2:17">
      <c r="B101" s="41"/>
      <c r="C101" s="41"/>
      <c r="D101" s="41"/>
      <c r="E101" s="41"/>
      <c r="F101" s="41"/>
      <c r="G101" s="41"/>
      <c r="H101" s="231"/>
      <c r="I101" s="41"/>
      <c r="J101" s="41"/>
      <c r="K101" s="41"/>
      <c r="L101" s="41"/>
      <c r="M101" s="41"/>
      <c r="N101" s="41"/>
      <c r="O101" s="41"/>
      <c r="P101" s="41"/>
      <c r="Q101" s="41"/>
    </row>
    <row r="102" spans="2:17">
      <c r="B102" s="41"/>
      <c r="C102" s="41"/>
      <c r="D102" s="41"/>
      <c r="E102" s="41"/>
      <c r="F102" s="41"/>
      <c r="G102" s="41"/>
      <c r="H102" s="231"/>
      <c r="I102" s="41"/>
      <c r="J102" s="41"/>
      <c r="K102" s="41"/>
      <c r="L102" s="41"/>
      <c r="M102" s="41"/>
      <c r="N102" s="41"/>
      <c r="O102" s="41"/>
      <c r="P102" s="41"/>
      <c r="Q102" s="41"/>
    </row>
    <row r="103" spans="2:17">
      <c r="B103" s="41"/>
      <c r="C103" s="41"/>
      <c r="D103" s="41"/>
      <c r="E103" s="41"/>
      <c r="F103" s="41"/>
      <c r="G103" s="41"/>
      <c r="H103" s="231"/>
      <c r="I103" s="41"/>
      <c r="J103" s="41"/>
      <c r="K103" s="41"/>
      <c r="L103" s="41"/>
      <c r="M103" s="41"/>
      <c r="N103" s="41"/>
      <c r="O103" s="41"/>
      <c r="P103" s="41"/>
      <c r="Q103" s="41"/>
    </row>
    <row r="104" spans="2:17">
      <c r="B104" s="41"/>
      <c r="C104" s="41"/>
      <c r="D104" s="41"/>
      <c r="E104" s="41"/>
      <c r="F104" s="41"/>
      <c r="G104" s="41"/>
      <c r="H104" s="231"/>
      <c r="I104" s="41"/>
      <c r="J104" s="41"/>
      <c r="K104" s="41"/>
      <c r="L104" s="41"/>
      <c r="M104" s="41"/>
      <c r="N104" s="41"/>
      <c r="O104" s="41"/>
      <c r="P104" s="41"/>
      <c r="Q104" s="41"/>
    </row>
    <row r="105" spans="2:17">
      <c r="B105" s="41"/>
      <c r="C105" s="41"/>
      <c r="D105" s="41"/>
      <c r="E105" s="41"/>
      <c r="F105" s="41"/>
      <c r="G105" s="41"/>
      <c r="H105" s="231"/>
      <c r="I105" s="41"/>
      <c r="J105" s="41"/>
      <c r="K105" s="41"/>
      <c r="L105" s="41"/>
      <c r="M105" s="41"/>
      <c r="N105" s="41"/>
      <c r="O105" s="41"/>
      <c r="P105" s="41"/>
      <c r="Q105" s="41"/>
    </row>
    <row r="106" spans="2:17">
      <c r="B106" s="41"/>
      <c r="C106" s="41"/>
      <c r="D106" s="41"/>
      <c r="E106" s="41"/>
      <c r="F106" s="41"/>
      <c r="G106" s="41"/>
      <c r="H106" s="231"/>
      <c r="I106" s="41"/>
      <c r="J106" s="41"/>
      <c r="K106" s="41"/>
      <c r="L106" s="41"/>
      <c r="M106" s="41"/>
      <c r="N106" s="41"/>
      <c r="O106" s="41"/>
      <c r="P106" s="41"/>
      <c r="Q106" s="41"/>
    </row>
    <row r="107" spans="2:17">
      <c r="B107" s="41"/>
      <c r="C107" s="41"/>
      <c r="D107" s="41"/>
      <c r="E107" s="41"/>
      <c r="F107" s="41"/>
      <c r="G107" s="41"/>
      <c r="H107" s="231"/>
      <c r="I107" s="41"/>
      <c r="J107" s="41"/>
      <c r="K107" s="41"/>
      <c r="L107" s="41"/>
      <c r="M107" s="41"/>
      <c r="N107" s="41"/>
      <c r="O107" s="41"/>
      <c r="P107" s="41"/>
      <c r="Q107" s="41"/>
    </row>
    <row r="108" spans="2:17">
      <c r="B108" s="41"/>
      <c r="C108" s="41"/>
      <c r="D108" s="41"/>
      <c r="E108" s="41"/>
      <c r="F108" s="41"/>
      <c r="G108" s="41"/>
      <c r="H108" s="231"/>
      <c r="I108" s="41"/>
      <c r="J108" s="41"/>
      <c r="K108" s="41"/>
      <c r="L108" s="41"/>
      <c r="M108" s="41"/>
      <c r="N108" s="41"/>
      <c r="O108" s="41"/>
      <c r="P108" s="41"/>
      <c r="Q108" s="41"/>
    </row>
    <row r="109" spans="2:17">
      <c r="B109" s="41"/>
      <c r="C109" s="41"/>
      <c r="D109" s="41"/>
      <c r="E109" s="41"/>
      <c r="F109" s="41"/>
      <c r="G109" s="41"/>
      <c r="H109" s="231"/>
      <c r="I109" s="41"/>
      <c r="J109" s="41"/>
      <c r="K109" s="41"/>
      <c r="L109" s="41"/>
      <c r="M109" s="41"/>
      <c r="N109" s="41"/>
      <c r="O109" s="41"/>
      <c r="P109" s="41"/>
      <c r="Q109" s="41"/>
    </row>
    <row r="110" spans="2:17">
      <c r="B110" s="41"/>
      <c r="C110" s="41"/>
      <c r="D110" s="41"/>
      <c r="E110" s="41"/>
      <c r="F110" s="41"/>
      <c r="G110" s="41"/>
      <c r="H110" s="231"/>
      <c r="I110" s="41"/>
      <c r="J110" s="41"/>
      <c r="K110" s="41"/>
      <c r="L110" s="41"/>
      <c r="M110" s="41"/>
      <c r="N110" s="41"/>
      <c r="O110" s="41"/>
      <c r="P110" s="41"/>
      <c r="Q110" s="41"/>
    </row>
    <row r="111" spans="2:17">
      <c r="B111" s="41"/>
      <c r="C111" s="41"/>
      <c r="D111" s="41"/>
      <c r="E111" s="41"/>
      <c r="F111" s="41"/>
      <c r="G111" s="41"/>
      <c r="H111" s="231"/>
      <c r="I111" s="41"/>
      <c r="J111" s="41"/>
      <c r="K111" s="41"/>
      <c r="L111" s="41"/>
      <c r="M111" s="41"/>
      <c r="N111" s="41"/>
      <c r="O111" s="41"/>
      <c r="P111" s="41"/>
      <c r="Q111" s="41"/>
    </row>
    <row r="112" spans="2:17">
      <c r="B112" s="41"/>
      <c r="C112" s="41"/>
      <c r="D112" s="41"/>
      <c r="E112" s="41"/>
      <c r="F112" s="41"/>
      <c r="G112" s="41"/>
      <c r="H112" s="231"/>
      <c r="I112" s="41"/>
      <c r="J112" s="41"/>
      <c r="K112" s="41"/>
      <c r="L112" s="41"/>
      <c r="M112" s="41"/>
      <c r="N112" s="41"/>
      <c r="O112" s="41"/>
      <c r="P112" s="41"/>
      <c r="Q112" s="41"/>
    </row>
    <row r="113" spans="2:17">
      <c r="B113" s="41"/>
      <c r="C113" s="41"/>
      <c r="D113" s="41"/>
      <c r="E113" s="41"/>
      <c r="F113" s="41"/>
      <c r="G113" s="41"/>
      <c r="H113" s="231"/>
      <c r="I113" s="41"/>
      <c r="J113" s="41"/>
      <c r="K113" s="41"/>
      <c r="L113" s="41"/>
      <c r="M113" s="41"/>
      <c r="N113" s="41"/>
      <c r="O113" s="41"/>
      <c r="P113" s="41"/>
      <c r="Q113" s="41"/>
    </row>
    <row r="114" spans="2:17">
      <c r="B114" s="41"/>
      <c r="C114" s="41"/>
      <c r="D114" s="41"/>
      <c r="E114" s="41"/>
      <c r="F114" s="41"/>
      <c r="G114" s="41"/>
      <c r="H114" s="231"/>
      <c r="I114" s="41"/>
      <c r="J114" s="41"/>
      <c r="K114" s="41"/>
      <c r="L114" s="41"/>
      <c r="M114" s="41"/>
      <c r="N114" s="41"/>
      <c r="O114" s="41"/>
      <c r="P114" s="41"/>
      <c r="Q114" s="41"/>
    </row>
    <row r="115" spans="2:17">
      <c r="B115" s="41"/>
      <c r="C115" s="41"/>
      <c r="D115" s="41"/>
      <c r="E115" s="41"/>
      <c r="F115" s="41"/>
      <c r="G115" s="41"/>
      <c r="H115" s="231"/>
      <c r="I115" s="41"/>
      <c r="J115" s="41"/>
      <c r="K115" s="41"/>
      <c r="L115" s="41"/>
      <c r="M115" s="41"/>
      <c r="N115" s="41"/>
      <c r="O115" s="41"/>
      <c r="P115" s="41"/>
      <c r="Q115" s="41"/>
    </row>
    <row r="116" spans="2:17">
      <c r="B116" s="41"/>
      <c r="C116" s="41"/>
      <c r="D116" s="41"/>
      <c r="E116" s="41"/>
      <c r="F116" s="41"/>
      <c r="G116" s="41"/>
      <c r="H116" s="231"/>
      <c r="I116" s="41"/>
      <c r="J116" s="41"/>
      <c r="K116" s="41"/>
      <c r="L116" s="41"/>
      <c r="M116" s="41"/>
      <c r="N116" s="41"/>
      <c r="O116" s="41"/>
      <c r="P116" s="41"/>
      <c r="Q116" s="41"/>
    </row>
    <row r="117" spans="2:17">
      <c r="B117" s="41"/>
      <c r="C117" s="41"/>
      <c r="D117" s="41"/>
      <c r="E117" s="41"/>
      <c r="F117" s="41"/>
      <c r="G117" s="41"/>
      <c r="H117" s="231"/>
      <c r="I117" s="41"/>
      <c r="J117" s="41"/>
      <c r="K117" s="41"/>
      <c r="L117" s="41"/>
      <c r="M117" s="41"/>
      <c r="N117" s="41"/>
      <c r="O117" s="41"/>
      <c r="P117" s="41"/>
      <c r="Q117" s="41"/>
    </row>
    <row r="118" spans="2:17">
      <c r="B118" s="41"/>
      <c r="C118" s="41"/>
      <c r="D118" s="41"/>
      <c r="E118" s="41"/>
      <c r="F118" s="41"/>
      <c r="G118" s="41"/>
      <c r="H118" s="231"/>
      <c r="I118" s="41"/>
      <c r="J118" s="41"/>
      <c r="K118" s="41"/>
      <c r="L118" s="41"/>
      <c r="M118" s="41"/>
      <c r="N118" s="41"/>
      <c r="O118" s="41"/>
      <c r="P118" s="41"/>
      <c r="Q118" s="41"/>
    </row>
    <row r="119" spans="2:17">
      <c r="B119" s="41"/>
      <c r="C119" s="41"/>
      <c r="D119" s="41"/>
      <c r="E119" s="41"/>
      <c r="F119" s="41"/>
      <c r="G119" s="41"/>
      <c r="H119" s="231"/>
      <c r="I119" s="41"/>
      <c r="J119" s="41"/>
      <c r="K119" s="41"/>
      <c r="L119" s="41"/>
      <c r="M119" s="41"/>
      <c r="N119" s="41"/>
      <c r="O119" s="41"/>
      <c r="P119" s="41"/>
      <c r="Q119" s="41"/>
    </row>
    <row r="120" spans="2:17">
      <c r="B120" s="41"/>
      <c r="C120" s="41"/>
      <c r="D120" s="41"/>
      <c r="E120" s="41"/>
      <c r="F120" s="41"/>
      <c r="G120" s="41"/>
      <c r="H120" s="231"/>
      <c r="I120" s="41"/>
      <c r="J120" s="41"/>
      <c r="K120" s="41"/>
      <c r="L120" s="41"/>
      <c r="M120" s="41"/>
      <c r="N120" s="41"/>
      <c r="O120" s="41"/>
      <c r="P120" s="41"/>
      <c r="Q120" s="41"/>
    </row>
    <row r="121" spans="2:17">
      <c r="B121" s="41"/>
      <c r="C121" s="41"/>
      <c r="D121" s="41"/>
      <c r="E121" s="41"/>
      <c r="F121" s="41"/>
      <c r="G121" s="41"/>
      <c r="H121" s="231"/>
      <c r="I121" s="41"/>
      <c r="J121" s="41"/>
      <c r="K121" s="41"/>
      <c r="L121" s="41"/>
      <c r="M121" s="41"/>
      <c r="N121" s="41"/>
      <c r="O121" s="41"/>
      <c r="P121" s="41"/>
      <c r="Q121" s="41"/>
    </row>
    <row r="122" spans="2:17">
      <c r="B122" s="41"/>
      <c r="C122" s="41"/>
      <c r="D122" s="41"/>
      <c r="E122" s="41"/>
      <c r="F122" s="41"/>
      <c r="G122" s="41"/>
      <c r="H122" s="231"/>
      <c r="I122" s="41"/>
      <c r="J122" s="41"/>
      <c r="K122" s="41"/>
      <c r="L122" s="41"/>
      <c r="M122" s="41"/>
      <c r="N122" s="41"/>
      <c r="O122" s="41"/>
      <c r="P122" s="41"/>
      <c r="Q122" s="41"/>
    </row>
    <row r="123" spans="2:17">
      <c r="B123" s="41"/>
      <c r="C123" s="41"/>
      <c r="D123" s="41"/>
      <c r="E123" s="41"/>
      <c r="F123" s="41"/>
      <c r="G123" s="41"/>
      <c r="H123" s="231"/>
      <c r="I123" s="41"/>
      <c r="J123" s="41"/>
      <c r="K123" s="41"/>
      <c r="L123" s="41"/>
      <c r="M123" s="41"/>
      <c r="N123" s="41"/>
      <c r="O123" s="41"/>
      <c r="P123" s="41"/>
      <c r="Q123" s="41"/>
    </row>
    <row r="124" spans="2:17">
      <c r="B124" s="41"/>
      <c r="C124" s="41"/>
      <c r="D124" s="41"/>
      <c r="E124" s="41"/>
      <c r="F124" s="41"/>
      <c r="G124" s="41"/>
      <c r="H124" s="231"/>
      <c r="I124" s="41"/>
      <c r="J124" s="41"/>
      <c r="K124" s="41"/>
      <c r="L124" s="41"/>
      <c r="M124" s="41"/>
      <c r="N124" s="41"/>
      <c r="O124" s="41"/>
      <c r="P124" s="41"/>
      <c r="Q124" s="41"/>
    </row>
    <row r="125" spans="2:17">
      <c r="B125" s="41"/>
      <c r="C125" s="41"/>
      <c r="D125" s="41"/>
      <c r="E125" s="41"/>
      <c r="F125" s="41"/>
      <c r="G125" s="41"/>
      <c r="H125" s="231"/>
      <c r="I125" s="41"/>
      <c r="J125" s="41"/>
      <c r="K125" s="41"/>
      <c r="L125" s="41"/>
      <c r="M125" s="41"/>
      <c r="N125" s="41"/>
      <c r="O125" s="41"/>
      <c r="P125" s="41"/>
      <c r="Q125" s="41"/>
    </row>
    <row r="126" spans="2:17">
      <c r="B126" s="41"/>
      <c r="C126" s="41"/>
      <c r="D126" s="41"/>
      <c r="E126" s="41"/>
      <c r="F126" s="41"/>
      <c r="G126" s="41"/>
      <c r="H126" s="231"/>
      <c r="I126" s="41"/>
      <c r="J126" s="41"/>
      <c r="K126" s="41"/>
      <c r="L126" s="41"/>
      <c r="M126" s="41"/>
      <c r="N126" s="41"/>
      <c r="O126" s="41"/>
      <c r="P126" s="41"/>
      <c r="Q126" s="41"/>
    </row>
    <row r="127" spans="2:17">
      <c r="B127" s="41"/>
      <c r="C127" s="41"/>
      <c r="D127" s="41"/>
      <c r="E127" s="41"/>
      <c r="F127" s="41"/>
      <c r="G127" s="41"/>
      <c r="H127" s="231"/>
      <c r="I127" s="41"/>
      <c r="J127" s="41"/>
      <c r="K127" s="41"/>
      <c r="L127" s="41"/>
      <c r="M127" s="41"/>
      <c r="N127" s="41"/>
      <c r="O127" s="41"/>
      <c r="P127" s="41"/>
      <c r="Q127" s="41"/>
    </row>
    <row r="128" spans="2:17">
      <c r="B128" s="41"/>
      <c r="C128" s="41"/>
      <c r="D128" s="41"/>
      <c r="E128" s="41"/>
      <c r="F128" s="41"/>
      <c r="G128" s="41"/>
      <c r="H128" s="231"/>
      <c r="I128" s="41"/>
      <c r="J128" s="41"/>
      <c r="K128" s="41"/>
      <c r="L128" s="41"/>
      <c r="M128" s="41"/>
      <c r="N128" s="41"/>
      <c r="O128" s="41"/>
      <c r="P128" s="41"/>
      <c r="Q128" s="41"/>
    </row>
    <row r="129" spans="2:17">
      <c r="B129" s="41"/>
      <c r="C129" s="41"/>
      <c r="D129" s="41"/>
      <c r="E129" s="41"/>
      <c r="F129" s="41"/>
      <c r="G129" s="41"/>
      <c r="H129" s="231"/>
      <c r="I129" s="41"/>
      <c r="J129" s="41"/>
      <c r="K129" s="41"/>
      <c r="L129" s="41"/>
      <c r="M129" s="41"/>
      <c r="N129" s="41"/>
      <c r="O129" s="41"/>
      <c r="P129" s="41"/>
      <c r="Q129" s="41"/>
    </row>
    <row r="130" spans="2:17">
      <c r="B130" s="41"/>
      <c r="C130" s="41"/>
      <c r="D130" s="41"/>
      <c r="E130" s="41"/>
      <c r="F130" s="41"/>
      <c r="G130" s="41"/>
      <c r="H130" s="231"/>
      <c r="I130" s="41"/>
      <c r="J130" s="41"/>
      <c r="K130" s="41"/>
      <c r="L130" s="41"/>
      <c r="M130" s="41"/>
      <c r="N130" s="41"/>
      <c r="O130" s="41"/>
      <c r="P130" s="41"/>
      <c r="Q130" s="41"/>
    </row>
    <row r="131" spans="2:17">
      <c r="B131" s="41"/>
      <c r="C131" s="41"/>
      <c r="D131" s="41"/>
      <c r="E131" s="41"/>
      <c r="F131" s="41"/>
      <c r="G131" s="41"/>
      <c r="H131" s="231"/>
      <c r="I131" s="41"/>
      <c r="J131" s="41"/>
      <c r="K131" s="41"/>
      <c r="L131" s="41"/>
      <c r="M131" s="41"/>
      <c r="N131" s="41"/>
      <c r="O131" s="41"/>
      <c r="P131" s="41"/>
      <c r="Q131" s="41"/>
    </row>
    <row r="132" spans="2:17">
      <c r="B132" s="41"/>
      <c r="C132" s="41"/>
      <c r="D132" s="41"/>
      <c r="E132" s="41"/>
      <c r="F132" s="41"/>
      <c r="G132" s="41"/>
      <c r="H132" s="231"/>
      <c r="I132" s="41"/>
      <c r="J132" s="41"/>
      <c r="K132" s="41"/>
      <c r="L132" s="41"/>
      <c r="M132" s="41"/>
      <c r="N132" s="41"/>
      <c r="O132" s="41"/>
      <c r="P132" s="41"/>
      <c r="Q132" s="41"/>
    </row>
    <row r="133" spans="2:17">
      <c r="B133" s="41"/>
      <c r="C133" s="41"/>
      <c r="D133" s="41"/>
      <c r="E133" s="41"/>
      <c r="F133" s="41"/>
      <c r="G133" s="41"/>
      <c r="H133" s="231"/>
      <c r="I133" s="41"/>
      <c r="J133" s="41"/>
      <c r="K133" s="41"/>
      <c r="L133" s="41"/>
      <c r="M133" s="41"/>
      <c r="N133" s="41"/>
      <c r="O133" s="41"/>
      <c r="P133" s="41"/>
      <c r="Q133" s="41"/>
    </row>
    <row r="134" spans="2:17">
      <c r="B134" s="41"/>
      <c r="C134" s="41"/>
      <c r="D134" s="41"/>
      <c r="E134" s="41"/>
      <c r="F134" s="41"/>
      <c r="G134" s="41"/>
      <c r="H134" s="231"/>
      <c r="I134" s="41"/>
      <c r="J134" s="41"/>
      <c r="K134" s="41"/>
      <c r="L134" s="41"/>
      <c r="M134" s="41"/>
      <c r="N134" s="41"/>
      <c r="O134" s="41"/>
      <c r="P134" s="41"/>
      <c r="Q134" s="41"/>
    </row>
    <row r="135" spans="2:17">
      <c r="B135" s="41"/>
      <c r="C135" s="41"/>
      <c r="D135" s="41"/>
      <c r="E135" s="41"/>
      <c r="F135" s="41"/>
      <c r="G135" s="41"/>
      <c r="H135" s="231"/>
      <c r="I135" s="41"/>
      <c r="J135" s="41"/>
      <c r="K135" s="41"/>
      <c r="L135" s="41"/>
      <c r="M135" s="41"/>
      <c r="N135" s="41"/>
      <c r="O135" s="41"/>
      <c r="P135" s="41"/>
      <c r="Q135" s="41"/>
    </row>
    <row r="136" spans="2:17">
      <c r="B136" s="41"/>
      <c r="C136" s="41"/>
      <c r="D136" s="41"/>
      <c r="E136" s="41"/>
      <c r="F136" s="41"/>
      <c r="G136" s="41"/>
      <c r="H136" s="231"/>
      <c r="I136" s="41"/>
      <c r="J136" s="41"/>
      <c r="K136" s="41"/>
      <c r="L136" s="41"/>
      <c r="M136" s="41"/>
      <c r="N136" s="41"/>
      <c r="O136" s="41"/>
      <c r="P136" s="41"/>
      <c r="Q136" s="41"/>
    </row>
    <row r="137" spans="2:17">
      <c r="B137" s="41"/>
      <c r="C137" s="41"/>
      <c r="D137" s="41"/>
      <c r="E137" s="41"/>
      <c r="F137" s="41"/>
      <c r="G137" s="41"/>
      <c r="H137" s="231"/>
      <c r="I137" s="41"/>
      <c r="J137" s="41"/>
      <c r="K137" s="41"/>
      <c r="L137" s="41"/>
      <c r="M137" s="41"/>
      <c r="N137" s="41"/>
      <c r="O137" s="41"/>
      <c r="P137" s="41"/>
      <c r="Q137" s="41"/>
    </row>
    <row r="138" spans="2:17">
      <c r="B138" s="41"/>
      <c r="C138" s="41"/>
      <c r="D138" s="41"/>
      <c r="E138" s="41"/>
      <c r="F138" s="41"/>
      <c r="G138" s="41"/>
      <c r="H138" s="231"/>
      <c r="I138" s="41"/>
      <c r="J138" s="41"/>
      <c r="K138" s="41"/>
      <c r="L138" s="41"/>
      <c r="M138" s="41"/>
      <c r="N138" s="41"/>
      <c r="O138" s="41"/>
      <c r="P138" s="41"/>
      <c r="Q138" s="41"/>
    </row>
    <row r="139" spans="2:17">
      <c r="B139" s="41"/>
      <c r="C139" s="41"/>
      <c r="D139" s="41"/>
      <c r="E139" s="41"/>
      <c r="F139" s="41"/>
      <c r="G139" s="41"/>
      <c r="H139" s="231"/>
      <c r="I139" s="41"/>
      <c r="J139" s="41"/>
      <c r="K139" s="41"/>
      <c r="L139" s="41"/>
      <c r="M139" s="41"/>
      <c r="N139" s="41"/>
      <c r="O139" s="41"/>
      <c r="P139" s="41"/>
      <c r="Q139" s="41"/>
    </row>
    <row r="140" spans="2:17">
      <c r="B140" s="41"/>
      <c r="C140" s="41"/>
      <c r="D140" s="41"/>
      <c r="E140" s="41"/>
      <c r="F140" s="41"/>
      <c r="G140" s="41"/>
      <c r="H140" s="231"/>
      <c r="I140" s="41"/>
      <c r="J140" s="41"/>
      <c r="K140" s="41"/>
      <c r="L140" s="41"/>
      <c r="M140" s="41"/>
      <c r="N140" s="41"/>
      <c r="O140" s="41"/>
      <c r="P140" s="41"/>
      <c r="Q140" s="41"/>
    </row>
    <row r="141" spans="2:17">
      <c r="B141" s="41"/>
      <c r="C141" s="41"/>
      <c r="D141" s="41"/>
      <c r="E141" s="41"/>
      <c r="F141" s="41"/>
      <c r="G141" s="41"/>
      <c r="H141" s="231"/>
      <c r="I141" s="41"/>
      <c r="J141" s="41"/>
      <c r="K141" s="41"/>
      <c r="L141" s="41"/>
      <c r="M141" s="41"/>
      <c r="N141" s="41"/>
      <c r="O141" s="41"/>
      <c r="P141" s="41"/>
      <c r="Q141" s="41"/>
    </row>
    <row r="142" spans="2:17">
      <c r="B142" s="41"/>
      <c r="C142" s="41"/>
      <c r="D142" s="41"/>
      <c r="E142" s="41"/>
      <c r="F142" s="41"/>
      <c r="G142" s="41"/>
      <c r="H142" s="231"/>
      <c r="I142" s="41"/>
      <c r="J142" s="41"/>
      <c r="K142" s="41"/>
      <c r="L142" s="41"/>
      <c r="M142" s="41"/>
      <c r="N142" s="41"/>
      <c r="O142" s="41"/>
      <c r="P142" s="41"/>
      <c r="Q142" s="41"/>
    </row>
    <row r="143" spans="2:17">
      <c r="B143" s="41"/>
      <c r="C143" s="41"/>
      <c r="D143" s="41"/>
      <c r="E143" s="41"/>
      <c r="F143" s="41"/>
      <c r="G143" s="41"/>
      <c r="H143" s="231"/>
      <c r="I143" s="41"/>
      <c r="J143" s="41"/>
      <c r="K143" s="41"/>
      <c r="L143" s="41"/>
      <c r="M143" s="41"/>
      <c r="N143" s="41"/>
      <c r="O143" s="41"/>
      <c r="P143" s="41"/>
      <c r="Q143" s="41"/>
    </row>
    <row r="144" spans="2:17">
      <c r="B144" s="41"/>
      <c r="C144" s="41"/>
      <c r="D144" s="41"/>
      <c r="E144" s="41"/>
      <c r="F144" s="41"/>
      <c r="G144" s="41"/>
      <c r="H144" s="231"/>
      <c r="I144" s="41"/>
      <c r="J144" s="41"/>
      <c r="K144" s="41"/>
      <c r="L144" s="41"/>
      <c r="M144" s="41"/>
      <c r="N144" s="41"/>
      <c r="O144" s="41"/>
      <c r="P144" s="41"/>
      <c r="Q144" s="41"/>
    </row>
    <row r="145" spans="2:17">
      <c r="B145" s="41"/>
      <c r="C145" s="41"/>
      <c r="D145" s="41"/>
      <c r="E145" s="41"/>
      <c r="F145" s="41"/>
      <c r="G145" s="41"/>
      <c r="H145" s="231"/>
      <c r="I145" s="41"/>
      <c r="J145" s="41"/>
      <c r="K145" s="41"/>
      <c r="L145" s="41"/>
      <c r="M145" s="41"/>
      <c r="N145" s="41"/>
      <c r="O145" s="41"/>
      <c r="P145" s="41"/>
      <c r="Q145" s="41"/>
    </row>
    <row r="146" spans="2:17">
      <c r="B146" s="41"/>
      <c r="C146" s="41"/>
      <c r="D146" s="41"/>
      <c r="E146" s="41"/>
      <c r="F146" s="41"/>
      <c r="G146" s="41"/>
      <c r="H146" s="231"/>
      <c r="I146" s="41"/>
      <c r="J146" s="41"/>
      <c r="K146" s="41"/>
      <c r="L146" s="41"/>
      <c r="M146" s="41"/>
      <c r="N146" s="41"/>
      <c r="O146" s="41"/>
      <c r="P146" s="41"/>
      <c r="Q146" s="41"/>
    </row>
    <row r="147" spans="2:17">
      <c r="B147" s="41"/>
      <c r="C147" s="41"/>
      <c r="D147" s="41"/>
      <c r="E147" s="41"/>
      <c r="F147" s="41"/>
      <c r="G147" s="41"/>
      <c r="H147" s="231"/>
      <c r="I147" s="41"/>
      <c r="J147" s="41"/>
      <c r="K147" s="41"/>
      <c r="L147" s="41"/>
      <c r="M147" s="41"/>
      <c r="N147" s="41"/>
      <c r="O147" s="41"/>
      <c r="P147" s="41"/>
      <c r="Q147" s="41"/>
    </row>
    <row r="148" spans="2:17">
      <c r="B148" s="41"/>
      <c r="C148" s="41"/>
      <c r="D148" s="41"/>
      <c r="E148" s="41"/>
      <c r="F148" s="41"/>
      <c r="G148" s="41"/>
      <c r="H148" s="231"/>
      <c r="I148" s="41"/>
      <c r="J148" s="41"/>
      <c r="K148" s="41"/>
      <c r="L148" s="41"/>
      <c r="M148" s="41"/>
      <c r="N148" s="41"/>
      <c r="O148" s="41"/>
      <c r="P148" s="41"/>
      <c r="Q148" s="41"/>
    </row>
    <row r="149" spans="2:17">
      <c r="B149" s="41"/>
      <c r="C149" s="41"/>
      <c r="D149" s="41"/>
      <c r="E149" s="41"/>
      <c r="F149" s="41"/>
      <c r="G149" s="41"/>
      <c r="H149" s="231"/>
      <c r="I149" s="41"/>
      <c r="J149" s="41"/>
      <c r="K149" s="41"/>
      <c r="L149" s="41"/>
      <c r="M149" s="41"/>
      <c r="N149" s="41"/>
      <c r="O149" s="41"/>
      <c r="P149" s="41"/>
      <c r="Q149" s="41"/>
    </row>
    <row r="150" spans="2:17">
      <c r="B150" s="41"/>
      <c r="C150" s="41"/>
      <c r="D150" s="41"/>
      <c r="E150" s="41"/>
      <c r="F150" s="41"/>
      <c r="G150" s="41"/>
      <c r="H150" s="231"/>
      <c r="I150" s="41"/>
      <c r="J150" s="41"/>
      <c r="K150" s="41"/>
      <c r="L150" s="41"/>
      <c r="M150" s="41"/>
      <c r="N150" s="41"/>
      <c r="O150" s="41"/>
      <c r="P150" s="41"/>
      <c r="Q150" s="41"/>
    </row>
    <row r="151" spans="2:17">
      <c r="B151" s="41"/>
      <c r="C151" s="41"/>
      <c r="D151" s="41"/>
      <c r="E151" s="41"/>
      <c r="F151" s="41"/>
      <c r="G151" s="41"/>
      <c r="H151" s="231"/>
      <c r="I151" s="41"/>
      <c r="J151" s="41"/>
      <c r="K151" s="41"/>
      <c r="L151" s="41"/>
      <c r="M151" s="41"/>
      <c r="N151" s="41"/>
      <c r="O151" s="41"/>
      <c r="P151" s="41"/>
      <c r="Q151" s="41"/>
    </row>
    <row r="152" spans="2:17">
      <c r="B152" s="41"/>
      <c r="C152" s="41"/>
      <c r="D152" s="41"/>
      <c r="E152" s="41"/>
      <c r="F152" s="41"/>
      <c r="G152" s="41"/>
      <c r="H152" s="231"/>
      <c r="I152" s="41"/>
      <c r="J152" s="41"/>
      <c r="K152" s="41"/>
      <c r="L152" s="41"/>
      <c r="M152" s="41"/>
      <c r="N152" s="41"/>
      <c r="O152" s="41"/>
      <c r="P152" s="41"/>
      <c r="Q152" s="41"/>
    </row>
    <row r="153" spans="2:17">
      <c r="B153" s="41"/>
      <c r="C153" s="41"/>
      <c r="D153" s="41"/>
      <c r="E153" s="41"/>
      <c r="F153" s="41"/>
      <c r="G153" s="41"/>
      <c r="H153" s="231"/>
      <c r="I153" s="41"/>
      <c r="J153" s="41"/>
      <c r="K153" s="41"/>
      <c r="L153" s="41"/>
      <c r="M153" s="41"/>
      <c r="N153" s="41"/>
      <c r="O153" s="41"/>
      <c r="P153" s="41"/>
      <c r="Q153" s="41"/>
    </row>
    <row r="154" spans="2:17">
      <c r="B154" s="41"/>
      <c r="C154" s="41"/>
      <c r="D154" s="41"/>
      <c r="E154" s="41"/>
      <c r="F154" s="41"/>
      <c r="G154" s="41"/>
      <c r="H154" s="231"/>
      <c r="I154" s="41"/>
      <c r="J154" s="41"/>
      <c r="K154" s="41"/>
      <c r="L154" s="41"/>
      <c r="M154" s="41"/>
      <c r="N154" s="41"/>
      <c r="O154" s="41"/>
      <c r="P154" s="41"/>
      <c r="Q154" s="41"/>
    </row>
    <row r="155" spans="2:17">
      <c r="B155" s="41"/>
      <c r="C155" s="41"/>
      <c r="D155" s="41"/>
      <c r="E155" s="41"/>
      <c r="F155" s="41"/>
      <c r="G155" s="41"/>
      <c r="H155" s="231"/>
      <c r="I155" s="41"/>
      <c r="J155" s="41"/>
      <c r="K155" s="41"/>
      <c r="L155" s="41"/>
      <c r="M155" s="41"/>
      <c r="N155" s="41"/>
      <c r="O155" s="41"/>
      <c r="P155" s="41"/>
      <c r="Q155" s="41"/>
    </row>
    <row r="156" spans="2:17">
      <c r="B156" s="41"/>
      <c r="C156" s="41"/>
      <c r="D156" s="41"/>
      <c r="E156" s="41"/>
      <c r="F156" s="41"/>
      <c r="G156" s="41"/>
      <c r="H156" s="231"/>
      <c r="I156" s="41"/>
      <c r="J156" s="41"/>
      <c r="K156" s="41"/>
      <c r="L156" s="41"/>
      <c r="M156" s="41"/>
      <c r="N156" s="41"/>
      <c r="O156" s="41"/>
      <c r="P156" s="41"/>
      <c r="Q156" s="41"/>
    </row>
    <row r="157" spans="2:17">
      <c r="B157" s="41"/>
      <c r="C157" s="41"/>
      <c r="D157" s="41"/>
      <c r="E157" s="41"/>
      <c r="F157" s="41"/>
      <c r="G157" s="41"/>
      <c r="H157" s="231"/>
      <c r="I157" s="41"/>
      <c r="J157" s="41"/>
      <c r="K157" s="41"/>
      <c r="L157" s="41"/>
      <c r="M157" s="41"/>
      <c r="N157" s="41"/>
      <c r="O157" s="41"/>
      <c r="P157" s="41"/>
      <c r="Q157" s="41"/>
    </row>
    <row r="158" spans="2:17">
      <c r="B158" s="41"/>
      <c r="C158" s="41"/>
      <c r="D158" s="41"/>
      <c r="E158" s="41"/>
      <c r="F158" s="41"/>
      <c r="G158" s="41"/>
      <c r="H158" s="231"/>
      <c r="I158" s="41"/>
      <c r="J158" s="41"/>
      <c r="K158" s="41"/>
      <c r="L158" s="41"/>
      <c r="M158" s="41"/>
      <c r="N158" s="41"/>
      <c r="O158" s="41"/>
      <c r="P158" s="41"/>
      <c r="Q158" s="41"/>
    </row>
    <row r="159" spans="2:17">
      <c r="B159" s="41"/>
      <c r="C159" s="41"/>
      <c r="D159" s="41"/>
      <c r="E159" s="41"/>
      <c r="F159" s="41"/>
      <c r="G159" s="41"/>
      <c r="H159" s="231"/>
      <c r="I159" s="41"/>
      <c r="J159" s="41"/>
      <c r="K159" s="41"/>
      <c r="L159" s="41"/>
      <c r="M159" s="41"/>
      <c r="N159" s="41"/>
      <c r="O159" s="41"/>
      <c r="P159" s="41"/>
      <c r="Q159" s="41"/>
    </row>
    <row r="160" spans="2:17">
      <c r="B160" s="41"/>
      <c r="C160" s="41"/>
      <c r="D160" s="41"/>
      <c r="E160" s="41"/>
      <c r="F160" s="41"/>
      <c r="G160" s="41"/>
      <c r="H160" s="231"/>
      <c r="I160" s="41"/>
      <c r="J160" s="41"/>
      <c r="K160" s="41"/>
      <c r="L160" s="41"/>
      <c r="M160" s="41"/>
      <c r="N160" s="41"/>
      <c r="O160" s="41"/>
      <c r="P160" s="41"/>
      <c r="Q160" s="41"/>
    </row>
    <row r="161" spans="2:17">
      <c r="B161" s="41"/>
      <c r="C161" s="41"/>
      <c r="D161" s="41"/>
      <c r="E161" s="41"/>
      <c r="F161" s="41"/>
      <c r="G161" s="41"/>
      <c r="H161" s="231"/>
      <c r="I161" s="41"/>
      <c r="J161" s="41"/>
      <c r="K161" s="41"/>
      <c r="L161" s="41"/>
      <c r="M161" s="41"/>
      <c r="N161" s="41"/>
      <c r="O161" s="41"/>
      <c r="P161" s="41"/>
      <c r="Q161" s="41"/>
    </row>
    <row r="162" spans="2:17">
      <c r="B162" s="41"/>
      <c r="C162" s="41"/>
      <c r="D162" s="41"/>
      <c r="E162" s="41"/>
      <c r="F162" s="41"/>
      <c r="G162" s="41"/>
      <c r="H162" s="231"/>
      <c r="I162" s="41"/>
      <c r="J162" s="41"/>
      <c r="K162" s="41"/>
      <c r="L162" s="41"/>
      <c r="M162" s="41"/>
      <c r="N162" s="41"/>
      <c r="O162" s="41"/>
      <c r="P162" s="41"/>
      <c r="Q162" s="41"/>
    </row>
    <row r="163" spans="2:17">
      <c r="B163" s="41"/>
      <c r="C163" s="41"/>
      <c r="D163" s="41"/>
      <c r="E163" s="41"/>
      <c r="F163" s="41"/>
      <c r="G163" s="41"/>
      <c r="H163" s="231"/>
      <c r="I163" s="41"/>
      <c r="J163" s="41"/>
      <c r="K163" s="41"/>
      <c r="L163" s="41"/>
      <c r="M163" s="41"/>
      <c r="N163" s="41"/>
      <c r="O163" s="41"/>
      <c r="P163" s="41"/>
      <c r="Q163" s="41"/>
    </row>
    <row r="164" spans="2:17">
      <c r="B164" s="41"/>
      <c r="C164" s="41"/>
      <c r="D164" s="41"/>
      <c r="E164" s="41"/>
      <c r="F164" s="41"/>
      <c r="G164" s="41"/>
      <c r="H164" s="231"/>
      <c r="I164" s="41"/>
      <c r="J164" s="41"/>
      <c r="K164" s="41"/>
      <c r="L164" s="41"/>
      <c r="M164" s="41"/>
      <c r="N164" s="41"/>
      <c r="O164" s="41"/>
      <c r="P164" s="41"/>
      <c r="Q164" s="41"/>
    </row>
    <row r="165" spans="2:17">
      <c r="B165" s="41"/>
      <c r="C165" s="41"/>
      <c r="D165" s="41"/>
      <c r="E165" s="41"/>
      <c r="F165" s="41"/>
      <c r="G165" s="41"/>
      <c r="H165" s="231"/>
      <c r="I165" s="41"/>
      <c r="J165" s="41"/>
      <c r="K165" s="41"/>
      <c r="L165" s="41"/>
      <c r="M165" s="41"/>
      <c r="N165" s="41"/>
      <c r="O165" s="41"/>
      <c r="P165" s="41"/>
      <c r="Q165" s="41"/>
    </row>
    <row r="166" spans="2:17">
      <c r="B166" s="41"/>
      <c r="C166" s="41"/>
      <c r="D166" s="41"/>
      <c r="E166" s="41"/>
      <c r="F166" s="41"/>
      <c r="G166" s="41"/>
      <c r="H166" s="231"/>
      <c r="I166" s="41"/>
      <c r="J166" s="41"/>
      <c r="K166" s="41"/>
      <c r="L166" s="41"/>
      <c r="M166" s="41"/>
      <c r="N166" s="41"/>
      <c r="O166" s="41"/>
      <c r="P166" s="41"/>
      <c r="Q166" s="41"/>
    </row>
    <row r="167" spans="2:17">
      <c r="B167" s="41"/>
      <c r="C167" s="41"/>
      <c r="D167" s="41"/>
      <c r="E167" s="41"/>
      <c r="F167" s="41"/>
      <c r="G167" s="41"/>
      <c r="H167" s="231"/>
      <c r="I167" s="41"/>
      <c r="J167" s="41"/>
      <c r="K167" s="41"/>
      <c r="L167" s="41"/>
      <c r="M167" s="41"/>
      <c r="N167" s="41"/>
      <c r="O167" s="41"/>
      <c r="P167" s="41"/>
      <c r="Q167" s="41"/>
    </row>
    <row r="168" spans="2:17">
      <c r="B168" s="41"/>
      <c r="C168" s="41"/>
      <c r="D168" s="41"/>
      <c r="E168" s="41"/>
      <c r="F168" s="41"/>
      <c r="G168" s="41"/>
      <c r="H168" s="231"/>
      <c r="I168" s="41"/>
      <c r="J168" s="41"/>
      <c r="K168" s="41"/>
      <c r="L168" s="41"/>
      <c r="M168" s="41"/>
      <c r="N168" s="41"/>
      <c r="O168" s="41"/>
      <c r="P168" s="41"/>
      <c r="Q168" s="41"/>
    </row>
    <row r="169" spans="2:17">
      <c r="B169" s="41"/>
      <c r="C169" s="41"/>
      <c r="D169" s="41"/>
      <c r="E169" s="41"/>
      <c r="F169" s="41"/>
      <c r="G169" s="41"/>
      <c r="H169" s="231"/>
      <c r="I169" s="41"/>
      <c r="J169" s="41"/>
      <c r="K169" s="41"/>
      <c r="L169" s="41"/>
      <c r="M169" s="41"/>
      <c r="N169" s="41"/>
      <c r="O169" s="41"/>
      <c r="P169" s="41"/>
      <c r="Q169" s="41"/>
    </row>
    <row r="170" spans="2:17">
      <c r="B170" s="41"/>
      <c r="C170" s="41"/>
      <c r="D170" s="41"/>
      <c r="E170" s="41"/>
      <c r="F170" s="41"/>
      <c r="G170" s="41"/>
      <c r="H170" s="231"/>
      <c r="I170" s="41"/>
      <c r="J170" s="41"/>
      <c r="K170" s="41"/>
      <c r="L170" s="41"/>
      <c r="M170" s="41"/>
      <c r="N170" s="41"/>
      <c r="O170" s="41"/>
      <c r="P170" s="41"/>
      <c r="Q170" s="41"/>
    </row>
    <row r="171" spans="2:17">
      <c r="B171" s="41"/>
      <c r="C171" s="41"/>
      <c r="D171" s="41"/>
      <c r="E171" s="41"/>
      <c r="F171" s="41"/>
      <c r="G171" s="41"/>
      <c r="H171" s="231"/>
      <c r="I171" s="41"/>
      <c r="J171" s="41"/>
      <c r="K171" s="41"/>
      <c r="L171" s="41"/>
      <c r="M171" s="41"/>
      <c r="N171" s="41"/>
      <c r="O171" s="41"/>
      <c r="P171" s="41"/>
      <c r="Q171" s="41"/>
    </row>
    <row r="172" spans="2:17">
      <c r="B172" s="41"/>
      <c r="C172" s="41"/>
      <c r="D172" s="41"/>
      <c r="E172" s="41"/>
      <c r="F172" s="41"/>
      <c r="G172" s="41"/>
      <c r="H172" s="231"/>
      <c r="I172" s="41"/>
      <c r="J172" s="41"/>
      <c r="K172" s="41"/>
      <c r="L172" s="41"/>
      <c r="M172" s="41"/>
      <c r="N172" s="41"/>
      <c r="O172" s="41"/>
      <c r="P172" s="41"/>
      <c r="Q172" s="41"/>
    </row>
    <row r="173" spans="2:17">
      <c r="B173" s="41"/>
      <c r="C173" s="41"/>
      <c r="D173" s="41"/>
      <c r="E173" s="41"/>
      <c r="F173" s="41"/>
      <c r="G173" s="41"/>
      <c r="H173" s="231"/>
      <c r="I173" s="41"/>
      <c r="J173" s="41"/>
      <c r="K173" s="41"/>
      <c r="L173" s="41"/>
      <c r="M173" s="41"/>
      <c r="N173" s="41"/>
      <c r="O173" s="41"/>
      <c r="P173" s="41"/>
      <c r="Q173" s="41"/>
    </row>
    <row r="174" spans="2:17">
      <c r="B174" s="41"/>
      <c r="C174" s="41"/>
      <c r="D174" s="41"/>
      <c r="E174" s="41"/>
      <c r="F174" s="41"/>
      <c r="G174" s="41"/>
      <c r="H174" s="231"/>
      <c r="I174" s="41"/>
      <c r="J174" s="41"/>
      <c r="K174" s="41"/>
      <c r="L174" s="41"/>
      <c r="M174" s="41"/>
      <c r="N174" s="41"/>
      <c r="O174" s="41"/>
      <c r="P174" s="41"/>
      <c r="Q174" s="41"/>
    </row>
    <row r="175" spans="2:17">
      <c r="B175" s="41"/>
      <c r="C175" s="41"/>
      <c r="D175" s="41"/>
      <c r="E175" s="41"/>
      <c r="F175" s="41"/>
      <c r="G175" s="41"/>
      <c r="H175" s="231"/>
      <c r="I175" s="41"/>
      <c r="J175" s="41"/>
      <c r="K175" s="41"/>
      <c r="L175" s="41"/>
      <c r="M175" s="41"/>
      <c r="N175" s="41"/>
      <c r="O175" s="41"/>
      <c r="P175" s="41"/>
      <c r="Q175" s="41"/>
    </row>
    <row r="176" spans="2:17">
      <c r="B176" s="41"/>
      <c r="C176" s="41"/>
      <c r="D176" s="41"/>
      <c r="E176" s="41"/>
      <c r="F176" s="41"/>
      <c r="G176" s="41"/>
      <c r="H176" s="231"/>
      <c r="I176" s="41"/>
      <c r="J176" s="41"/>
      <c r="K176" s="41"/>
      <c r="L176" s="41"/>
      <c r="M176" s="41"/>
      <c r="N176" s="41"/>
      <c r="O176" s="41"/>
      <c r="P176" s="41"/>
      <c r="Q176" s="41"/>
    </row>
    <row r="177" spans="2:17">
      <c r="B177" s="41"/>
      <c r="C177" s="41"/>
      <c r="D177" s="41"/>
      <c r="E177" s="41"/>
      <c r="F177" s="41"/>
      <c r="G177" s="41"/>
      <c r="H177" s="231"/>
      <c r="I177" s="41"/>
      <c r="J177" s="41"/>
      <c r="K177" s="41"/>
      <c r="L177" s="41"/>
      <c r="M177" s="41"/>
      <c r="N177" s="41"/>
      <c r="O177" s="41"/>
      <c r="P177" s="41"/>
      <c r="Q177" s="41"/>
    </row>
    <row r="178" spans="2:17">
      <c r="B178" s="41"/>
      <c r="C178" s="41"/>
      <c r="D178" s="41"/>
      <c r="E178" s="41"/>
      <c r="F178" s="41"/>
      <c r="G178" s="41"/>
      <c r="H178" s="231"/>
      <c r="I178" s="41"/>
      <c r="J178" s="41"/>
      <c r="K178" s="41"/>
      <c r="L178" s="41"/>
      <c r="M178" s="41"/>
      <c r="N178" s="41"/>
      <c r="O178" s="41"/>
      <c r="P178" s="41"/>
      <c r="Q178" s="41"/>
    </row>
    <row r="179" spans="2:17">
      <c r="B179" s="41"/>
      <c r="C179" s="41"/>
      <c r="D179" s="41"/>
      <c r="E179" s="41"/>
      <c r="F179" s="41"/>
      <c r="G179" s="41"/>
      <c r="H179" s="231"/>
      <c r="I179" s="41"/>
      <c r="J179" s="41"/>
      <c r="K179" s="41"/>
      <c r="L179" s="41"/>
      <c r="M179" s="41"/>
      <c r="N179" s="41"/>
      <c r="O179" s="41"/>
      <c r="P179" s="41"/>
      <c r="Q179" s="41"/>
    </row>
    <row r="180" spans="2:17">
      <c r="B180" s="41"/>
      <c r="C180" s="41"/>
      <c r="D180" s="41"/>
      <c r="E180" s="41"/>
      <c r="F180" s="41"/>
      <c r="G180" s="41"/>
      <c r="H180" s="231"/>
      <c r="I180" s="41"/>
      <c r="J180" s="41"/>
      <c r="K180" s="41"/>
      <c r="L180" s="41"/>
      <c r="M180" s="41"/>
      <c r="N180" s="41"/>
      <c r="O180" s="41"/>
      <c r="P180" s="41"/>
      <c r="Q180" s="41"/>
    </row>
    <row r="181" spans="2:17">
      <c r="B181" s="41"/>
      <c r="C181" s="41"/>
      <c r="D181" s="41"/>
      <c r="E181" s="41"/>
      <c r="F181" s="41"/>
      <c r="G181" s="41"/>
      <c r="H181" s="231"/>
      <c r="I181" s="41"/>
      <c r="J181" s="41"/>
      <c r="K181" s="41"/>
      <c r="L181" s="41"/>
      <c r="M181" s="41"/>
      <c r="N181" s="41"/>
      <c r="O181" s="41"/>
      <c r="P181" s="41"/>
      <c r="Q181" s="41"/>
    </row>
    <row r="182" spans="2:17">
      <c r="B182" s="41"/>
      <c r="C182" s="41"/>
      <c r="D182" s="41"/>
      <c r="E182" s="41"/>
      <c r="F182" s="41"/>
      <c r="G182" s="41"/>
      <c r="H182" s="231"/>
      <c r="I182" s="41"/>
      <c r="J182" s="41"/>
      <c r="K182" s="41"/>
      <c r="L182" s="41"/>
      <c r="M182" s="41"/>
      <c r="N182" s="41"/>
      <c r="O182" s="41"/>
      <c r="P182" s="41"/>
      <c r="Q182" s="41"/>
    </row>
    <row r="183" spans="2:17">
      <c r="B183" s="41"/>
      <c r="C183" s="41"/>
      <c r="D183" s="41"/>
      <c r="E183" s="41"/>
      <c r="F183" s="41"/>
      <c r="G183" s="41"/>
      <c r="H183" s="231"/>
      <c r="I183" s="41"/>
      <c r="J183" s="41"/>
      <c r="K183" s="41"/>
      <c r="L183" s="41"/>
      <c r="M183" s="41"/>
      <c r="N183" s="41"/>
      <c r="O183" s="41"/>
      <c r="P183" s="41"/>
      <c r="Q183" s="41"/>
    </row>
    <row r="184" spans="2:17">
      <c r="B184" s="41"/>
      <c r="C184" s="41"/>
      <c r="D184" s="41"/>
      <c r="E184" s="41"/>
      <c r="F184" s="41"/>
      <c r="G184" s="41"/>
      <c r="H184" s="231"/>
      <c r="I184" s="41"/>
      <c r="J184" s="41"/>
      <c r="K184" s="41"/>
      <c r="L184" s="41"/>
      <c r="M184" s="41"/>
      <c r="N184" s="41"/>
      <c r="O184" s="41"/>
      <c r="P184" s="41"/>
      <c r="Q184" s="41"/>
    </row>
    <row r="185" spans="2:17">
      <c r="B185" s="41"/>
      <c r="C185" s="41"/>
      <c r="D185" s="41"/>
      <c r="E185" s="41"/>
      <c r="F185" s="41"/>
      <c r="G185" s="41"/>
      <c r="H185" s="231"/>
      <c r="I185" s="41"/>
      <c r="J185" s="41"/>
      <c r="K185" s="41"/>
      <c r="L185" s="41"/>
      <c r="M185" s="41"/>
      <c r="N185" s="41"/>
      <c r="O185" s="41"/>
      <c r="P185" s="41"/>
      <c r="Q185" s="41"/>
    </row>
    <row r="186" spans="2:17">
      <c r="B186" s="41"/>
      <c r="C186" s="41"/>
      <c r="D186" s="41"/>
      <c r="E186" s="41"/>
      <c r="F186" s="41"/>
      <c r="G186" s="41"/>
      <c r="H186" s="231"/>
      <c r="I186" s="41"/>
      <c r="J186" s="41"/>
      <c r="K186" s="41"/>
      <c r="L186" s="41"/>
      <c r="M186" s="41"/>
      <c r="N186" s="41"/>
      <c r="O186" s="41"/>
      <c r="P186" s="41"/>
      <c r="Q186" s="41"/>
    </row>
    <row r="187" spans="2:17">
      <c r="B187" s="41"/>
      <c r="C187" s="41"/>
      <c r="D187" s="41"/>
      <c r="E187" s="41"/>
      <c r="F187" s="41"/>
      <c r="G187" s="41"/>
      <c r="H187" s="231"/>
      <c r="I187" s="41"/>
      <c r="J187" s="41"/>
      <c r="K187" s="41"/>
      <c r="L187" s="41"/>
      <c r="M187" s="41"/>
      <c r="N187" s="41"/>
      <c r="O187" s="41"/>
      <c r="P187" s="41"/>
      <c r="Q187" s="41"/>
    </row>
    <row r="188" spans="2:17">
      <c r="B188" s="41"/>
      <c r="C188" s="41"/>
      <c r="D188" s="41"/>
      <c r="E188" s="41"/>
      <c r="F188" s="41"/>
      <c r="G188" s="41"/>
      <c r="H188" s="231"/>
      <c r="I188" s="41"/>
      <c r="J188" s="41"/>
      <c r="K188" s="41"/>
      <c r="L188" s="41"/>
      <c r="M188" s="41"/>
      <c r="N188" s="41"/>
      <c r="O188" s="41"/>
      <c r="P188" s="41"/>
      <c r="Q188" s="41"/>
    </row>
    <row r="189" spans="2:17">
      <c r="B189" s="41"/>
      <c r="C189" s="41"/>
      <c r="D189" s="41"/>
      <c r="E189" s="41"/>
      <c r="F189" s="41"/>
      <c r="G189" s="41"/>
      <c r="H189" s="231"/>
      <c r="I189" s="41"/>
      <c r="J189" s="41"/>
      <c r="K189" s="41"/>
      <c r="L189" s="41"/>
      <c r="M189" s="41"/>
      <c r="N189" s="41"/>
      <c r="O189" s="41"/>
      <c r="P189" s="41"/>
      <c r="Q189" s="41"/>
    </row>
    <row r="190" spans="2:17">
      <c r="B190" s="41"/>
      <c r="C190" s="41"/>
      <c r="D190" s="41"/>
      <c r="E190" s="41"/>
      <c r="F190" s="41"/>
      <c r="G190" s="41"/>
      <c r="H190" s="231"/>
      <c r="I190" s="41"/>
      <c r="J190" s="41"/>
      <c r="K190" s="41"/>
      <c r="L190" s="41"/>
      <c r="M190" s="41"/>
      <c r="N190" s="41"/>
      <c r="O190" s="41"/>
      <c r="P190" s="41"/>
      <c r="Q190" s="41"/>
    </row>
    <row r="191" spans="2:17">
      <c r="B191" s="41"/>
      <c r="C191" s="41"/>
      <c r="D191" s="41"/>
      <c r="E191" s="41"/>
      <c r="F191" s="41"/>
      <c r="G191" s="41"/>
      <c r="H191" s="231"/>
      <c r="I191" s="41"/>
      <c r="J191" s="41"/>
      <c r="K191" s="41"/>
      <c r="L191" s="41"/>
      <c r="M191" s="41"/>
      <c r="N191" s="41"/>
      <c r="O191" s="41"/>
      <c r="P191" s="41"/>
      <c r="Q191" s="41"/>
    </row>
    <row r="192" spans="2:17">
      <c r="B192" s="41"/>
      <c r="C192" s="41"/>
      <c r="D192" s="41"/>
      <c r="E192" s="41"/>
      <c r="F192" s="41"/>
      <c r="G192" s="41"/>
      <c r="H192" s="231"/>
      <c r="I192" s="41"/>
      <c r="J192" s="41"/>
      <c r="K192" s="41"/>
      <c r="L192" s="41"/>
      <c r="M192" s="41"/>
      <c r="N192" s="41"/>
      <c r="O192" s="41"/>
      <c r="P192" s="41"/>
      <c r="Q192" s="41"/>
    </row>
    <row r="193" spans="2:17">
      <c r="B193" s="41"/>
      <c r="C193" s="41"/>
      <c r="D193" s="41"/>
      <c r="E193" s="41"/>
      <c r="F193" s="41"/>
      <c r="G193" s="41"/>
      <c r="H193" s="231"/>
      <c r="I193" s="41"/>
      <c r="J193" s="41"/>
      <c r="K193" s="41"/>
      <c r="L193" s="41"/>
      <c r="M193" s="41"/>
      <c r="N193" s="41"/>
      <c r="O193" s="41"/>
      <c r="P193" s="41"/>
      <c r="Q193" s="41"/>
    </row>
    <row r="194" spans="2:17">
      <c r="B194" s="41"/>
      <c r="C194" s="41"/>
      <c r="D194" s="41"/>
      <c r="E194" s="41"/>
      <c r="F194" s="41"/>
      <c r="G194" s="41"/>
      <c r="H194" s="231"/>
      <c r="I194" s="41"/>
      <c r="J194" s="41"/>
      <c r="K194" s="41"/>
      <c r="L194" s="41"/>
      <c r="M194" s="41"/>
      <c r="N194" s="41"/>
      <c r="O194" s="41"/>
      <c r="P194" s="41"/>
      <c r="Q194" s="41"/>
    </row>
    <row r="195" spans="2:17">
      <c r="B195" s="41"/>
      <c r="C195" s="41"/>
      <c r="D195" s="41"/>
      <c r="E195" s="41"/>
      <c r="F195" s="41"/>
      <c r="G195" s="41"/>
      <c r="H195" s="231"/>
      <c r="I195" s="41"/>
      <c r="J195" s="41"/>
      <c r="K195" s="41"/>
      <c r="L195" s="41"/>
      <c r="M195" s="41"/>
      <c r="N195" s="41"/>
      <c r="O195" s="41"/>
      <c r="P195" s="41"/>
      <c r="Q195" s="41"/>
    </row>
    <row r="196" spans="2:17">
      <c r="B196" s="41"/>
      <c r="C196" s="41"/>
      <c r="D196" s="41"/>
      <c r="E196" s="41"/>
      <c r="F196" s="41"/>
      <c r="G196" s="41"/>
      <c r="H196" s="231"/>
      <c r="I196" s="41"/>
      <c r="J196" s="41"/>
      <c r="K196" s="41"/>
      <c r="L196" s="41"/>
      <c r="M196" s="41"/>
      <c r="N196" s="41"/>
      <c r="O196" s="41"/>
      <c r="P196" s="41"/>
      <c r="Q196" s="41"/>
    </row>
    <row r="197" spans="2:17">
      <c r="B197" s="41"/>
      <c r="C197" s="41"/>
      <c r="D197" s="41"/>
      <c r="E197" s="41"/>
      <c r="F197" s="41"/>
      <c r="G197" s="41"/>
      <c r="H197" s="231"/>
      <c r="I197" s="41"/>
      <c r="J197" s="41"/>
      <c r="K197" s="41"/>
      <c r="L197" s="41"/>
      <c r="M197" s="41"/>
      <c r="N197" s="41"/>
      <c r="O197" s="41"/>
      <c r="P197" s="41"/>
      <c r="Q197" s="41"/>
    </row>
    <row r="198" spans="2:17">
      <c r="B198" s="41"/>
      <c r="C198" s="41"/>
      <c r="D198" s="41"/>
      <c r="E198" s="41"/>
      <c r="F198" s="41"/>
      <c r="G198" s="41"/>
      <c r="H198" s="231"/>
      <c r="I198" s="41"/>
      <c r="J198" s="41"/>
      <c r="K198" s="41"/>
      <c r="L198" s="41"/>
      <c r="M198" s="41"/>
      <c r="N198" s="41"/>
      <c r="O198" s="41"/>
      <c r="P198" s="41"/>
      <c r="Q198" s="41"/>
    </row>
    <row r="199" spans="2:17">
      <c r="B199" s="41"/>
      <c r="C199" s="41"/>
      <c r="D199" s="41"/>
      <c r="E199" s="41"/>
      <c r="F199" s="41"/>
      <c r="G199" s="41"/>
      <c r="H199" s="231"/>
      <c r="I199" s="41"/>
      <c r="J199" s="41"/>
      <c r="K199" s="41"/>
      <c r="L199" s="41"/>
      <c r="M199" s="41"/>
      <c r="N199" s="41"/>
      <c r="O199" s="41"/>
      <c r="P199" s="41"/>
      <c r="Q199" s="41"/>
    </row>
    <row r="200" spans="2:17">
      <c r="B200" s="41"/>
      <c r="C200" s="41"/>
      <c r="D200" s="41"/>
      <c r="E200" s="41"/>
      <c r="F200" s="41"/>
      <c r="G200" s="41"/>
      <c r="H200" s="231"/>
      <c r="I200" s="41"/>
      <c r="J200" s="41"/>
      <c r="K200" s="41"/>
      <c r="L200" s="41"/>
      <c r="M200" s="41"/>
      <c r="N200" s="41"/>
      <c r="O200" s="41"/>
      <c r="P200" s="41"/>
      <c r="Q200" s="41"/>
    </row>
    <row r="201" spans="2:17">
      <c r="B201" s="41"/>
      <c r="C201" s="41"/>
      <c r="D201" s="41"/>
      <c r="E201" s="41"/>
      <c r="F201" s="41"/>
      <c r="G201" s="41"/>
      <c r="H201" s="231"/>
      <c r="I201" s="41"/>
      <c r="J201" s="41"/>
      <c r="K201" s="41"/>
      <c r="L201" s="41"/>
      <c r="M201" s="41"/>
      <c r="N201" s="41"/>
      <c r="O201" s="41"/>
      <c r="P201" s="41"/>
      <c r="Q201" s="41"/>
    </row>
    <row r="202" spans="2:17">
      <c r="B202" s="41"/>
      <c r="C202" s="41"/>
      <c r="D202" s="41"/>
      <c r="E202" s="41"/>
      <c r="F202" s="41"/>
      <c r="G202" s="41"/>
      <c r="H202" s="231"/>
      <c r="I202" s="41"/>
      <c r="J202" s="41"/>
      <c r="K202" s="41"/>
      <c r="L202" s="41"/>
      <c r="M202" s="41"/>
      <c r="N202" s="41"/>
      <c r="O202" s="41"/>
      <c r="P202" s="41"/>
      <c r="Q202" s="41"/>
    </row>
    <row r="203" spans="2:17">
      <c r="B203" s="41"/>
      <c r="C203" s="41"/>
      <c r="D203" s="41"/>
      <c r="E203" s="41"/>
      <c r="F203" s="41"/>
      <c r="G203" s="41"/>
      <c r="H203" s="231"/>
      <c r="I203" s="41"/>
      <c r="J203" s="41"/>
      <c r="K203" s="41"/>
      <c r="L203" s="41"/>
      <c r="M203" s="41"/>
      <c r="N203" s="41"/>
      <c r="O203" s="41"/>
      <c r="P203" s="41"/>
      <c r="Q203" s="41"/>
    </row>
    <row r="204" spans="2:17">
      <c r="B204" s="41"/>
      <c r="C204" s="41"/>
      <c r="D204" s="41"/>
      <c r="E204" s="41"/>
      <c r="F204" s="41"/>
      <c r="G204" s="41"/>
      <c r="H204" s="231"/>
      <c r="I204" s="41"/>
      <c r="J204" s="41"/>
      <c r="K204" s="41"/>
      <c r="L204" s="41"/>
      <c r="M204" s="41"/>
      <c r="N204" s="41"/>
      <c r="O204" s="41"/>
      <c r="P204" s="41"/>
      <c r="Q204" s="41"/>
    </row>
    <row r="205" spans="2:17">
      <c r="B205" s="41"/>
      <c r="C205" s="41"/>
      <c r="D205" s="41"/>
      <c r="E205" s="41"/>
      <c r="F205" s="41"/>
      <c r="G205" s="41"/>
      <c r="H205" s="231"/>
      <c r="I205" s="41"/>
      <c r="J205" s="41"/>
      <c r="K205" s="41"/>
      <c r="L205" s="41"/>
      <c r="M205" s="41"/>
      <c r="N205" s="41"/>
      <c r="O205" s="41"/>
      <c r="P205" s="41"/>
      <c r="Q205" s="41"/>
    </row>
    <row r="206" spans="2:17">
      <c r="B206" s="41"/>
      <c r="C206" s="41"/>
      <c r="D206" s="41"/>
      <c r="E206" s="41"/>
      <c r="F206" s="41"/>
      <c r="G206" s="41"/>
      <c r="H206" s="231"/>
      <c r="I206" s="41"/>
      <c r="J206" s="41"/>
      <c r="K206" s="41"/>
      <c r="L206" s="41"/>
      <c r="M206" s="41"/>
      <c r="N206" s="41"/>
      <c r="O206" s="41"/>
      <c r="P206" s="41"/>
      <c r="Q206" s="41"/>
    </row>
    <row r="207" spans="2:17">
      <c r="B207" s="41"/>
      <c r="C207" s="41"/>
      <c r="D207" s="41"/>
      <c r="E207" s="41"/>
      <c r="F207" s="41"/>
      <c r="G207" s="41"/>
      <c r="H207" s="231"/>
      <c r="I207" s="41"/>
      <c r="J207" s="41"/>
      <c r="K207" s="41"/>
      <c r="L207" s="41"/>
      <c r="M207" s="41"/>
      <c r="N207" s="41"/>
      <c r="O207" s="41"/>
      <c r="P207" s="41"/>
      <c r="Q207" s="41"/>
    </row>
    <row r="208" spans="2:17">
      <c r="B208" s="41"/>
      <c r="C208" s="41"/>
      <c r="D208" s="41"/>
      <c r="E208" s="41"/>
      <c r="F208" s="41"/>
      <c r="G208" s="41"/>
      <c r="H208" s="231"/>
      <c r="I208" s="41"/>
      <c r="J208" s="41"/>
      <c r="K208" s="41"/>
      <c r="L208" s="41"/>
      <c r="M208" s="41"/>
      <c r="N208" s="41"/>
      <c r="O208" s="41"/>
      <c r="P208" s="41"/>
      <c r="Q208" s="41"/>
    </row>
    <row r="209" spans="2:17">
      <c r="B209" s="41"/>
      <c r="C209" s="41"/>
      <c r="D209" s="41"/>
      <c r="E209" s="41"/>
      <c r="F209" s="41"/>
      <c r="G209" s="41"/>
      <c r="H209" s="231"/>
      <c r="I209" s="41"/>
      <c r="J209" s="41"/>
      <c r="K209" s="41"/>
      <c r="L209" s="41"/>
      <c r="M209" s="41"/>
      <c r="N209" s="41"/>
      <c r="O209" s="41"/>
      <c r="P209" s="41"/>
      <c r="Q209" s="41"/>
    </row>
    <row r="210" spans="2:17">
      <c r="B210" s="41"/>
      <c r="C210" s="41"/>
      <c r="D210" s="41"/>
      <c r="E210" s="41"/>
      <c r="F210" s="41"/>
      <c r="G210" s="41"/>
      <c r="H210" s="231"/>
      <c r="I210" s="41"/>
      <c r="J210" s="41"/>
      <c r="K210" s="41"/>
      <c r="L210" s="41"/>
      <c r="M210" s="41"/>
      <c r="N210" s="41"/>
      <c r="O210" s="41"/>
      <c r="P210" s="41"/>
      <c r="Q210" s="41"/>
    </row>
    <row r="211" spans="2:17">
      <c r="B211" s="41"/>
      <c r="C211" s="41"/>
      <c r="D211" s="41"/>
      <c r="E211" s="41"/>
      <c r="F211" s="41"/>
      <c r="G211" s="41"/>
      <c r="H211" s="231"/>
      <c r="I211" s="41"/>
      <c r="J211" s="41"/>
      <c r="K211" s="41"/>
      <c r="L211" s="41"/>
      <c r="M211" s="41"/>
      <c r="N211" s="41"/>
      <c r="O211" s="41"/>
      <c r="P211" s="41"/>
      <c r="Q211" s="41"/>
    </row>
    <row r="212" spans="2:17">
      <c r="B212" s="41"/>
      <c r="C212" s="41"/>
      <c r="D212" s="41"/>
      <c r="E212" s="41"/>
      <c r="F212" s="41"/>
      <c r="G212" s="41"/>
      <c r="H212" s="231"/>
      <c r="I212" s="41"/>
      <c r="J212" s="41"/>
      <c r="K212" s="41"/>
      <c r="L212" s="41"/>
      <c r="M212" s="41"/>
      <c r="N212" s="41"/>
      <c r="O212" s="41"/>
      <c r="P212" s="41"/>
      <c r="Q212" s="41"/>
    </row>
    <row r="213" spans="2:17">
      <c r="B213" s="41"/>
      <c r="C213" s="41"/>
      <c r="D213" s="41"/>
      <c r="E213" s="41"/>
      <c r="F213" s="41"/>
      <c r="G213" s="41"/>
      <c r="H213" s="231"/>
      <c r="I213" s="41"/>
      <c r="J213" s="41"/>
      <c r="K213" s="41"/>
      <c r="L213" s="41"/>
      <c r="M213" s="41"/>
      <c r="N213" s="41"/>
      <c r="O213" s="41"/>
      <c r="P213" s="41"/>
      <c r="Q213" s="41"/>
    </row>
    <row r="214" spans="2:17">
      <c r="B214" s="41"/>
      <c r="C214" s="41"/>
      <c r="D214" s="41"/>
      <c r="E214" s="41"/>
      <c r="F214" s="41"/>
      <c r="G214" s="41"/>
      <c r="H214" s="231"/>
      <c r="I214" s="41"/>
      <c r="J214" s="41"/>
      <c r="K214" s="41"/>
      <c r="L214" s="41"/>
      <c r="M214" s="41"/>
      <c r="N214" s="41"/>
      <c r="O214" s="41"/>
      <c r="P214" s="41"/>
      <c r="Q214" s="41"/>
    </row>
    <row r="215" spans="2:17">
      <c r="B215" s="41"/>
      <c r="C215" s="41"/>
      <c r="D215" s="41"/>
      <c r="E215" s="41"/>
      <c r="F215" s="41"/>
      <c r="G215" s="41"/>
      <c r="H215" s="231"/>
      <c r="I215" s="41"/>
      <c r="J215" s="41"/>
      <c r="K215" s="41"/>
      <c r="L215" s="41"/>
      <c r="M215" s="41"/>
      <c r="N215" s="41"/>
      <c r="O215" s="41"/>
      <c r="P215" s="41"/>
      <c r="Q215" s="41"/>
    </row>
    <row r="216" spans="2:17">
      <c r="B216" s="41"/>
      <c r="C216" s="41"/>
      <c r="D216" s="41"/>
      <c r="E216" s="41"/>
      <c r="F216" s="41"/>
      <c r="G216" s="41"/>
      <c r="H216" s="231"/>
      <c r="I216" s="41"/>
      <c r="J216" s="41"/>
      <c r="K216" s="41"/>
      <c r="L216" s="41"/>
      <c r="M216" s="41"/>
      <c r="N216" s="41"/>
      <c r="O216" s="41"/>
      <c r="P216" s="41"/>
      <c r="Q216" s="41"/>
    </row>
    <row r="217" spans="2:17">
      <c r="B217" s="41"/>
      <c r="C217" s="41"/>
      <c r="D217" s="41"/>
      <c r="E217" s="41"/>
      <c r="F217" s="41"/>
      <c r="G217" s="41"/>
      <c r="H217" s="231"/>
      <c r="I217" s="41"/>
      <c r="J217" s="41"/>
      <c r="K217" s="41"/>
      <c r="L217" s="41"/>
      <c r="M217" s="41"/>
      <c r="N217" s="41"/>
      <c r="O217" s="41"/>
      <c r="P217" s="41"/>
      <c r="Q217" s="41"/>
    </row>
    <row r="218" spans="2:17">
      <c r="B218" s="41"/>
      <c r="C218" s="41"/>
      <c r="D218" s="41"/>
      <c r="E218" s="41"/>
      <c r="F218" s="41"/>
      <c r="G218" s="41"/>
      <c r="H218" s="231"/>
      <c r="I218" s="41"/>
      <c r="J218" s="41"/>
      <c r="K218" s="41"/>
      <c r="L218" s="41"/>
      <c r="M218" s="41"/>
      <c r="N218" s="41"/>
      <c r="O218" s="41"/>
      <c r="P218" s="41"/>
      <c r="Q218" s="41"/>
    </row>
    <row r="219" spans="2:17">
      <c r="B219" s="41"/>
      <c r="C219" s="41"/>
      <c r="D219" s="41"/>
      <c r="E219" s="41"/>
      <c r="F219" s="41"/>
      <c r="G219" s="41"/>
      <c r="H219" s="231"/>
      <c r="I219" s="41"/>
      <c r="J219" s="41"/>
      <c r="K219" s="41"/>
      <c r="L219" s="41"/>
      <c r="M219" s="41"/>
      <c r="N219" s="41"/>
      <c r="O219" s="41"/>
      <c r="P219" s="41"/>
      <c r="Q219" s="41"/>
    </row>
    <row r="220" spans="2:17">
      <c r="B220" s="41"/>
      <c r="C220" s="41"/>
      <c r="D220" s="41"/>
      <c r="E220" s="41"/>
      <c r="F220" s="41"/>
      <c r="G220" s="41"/>
      <c r="H220" s="231"/>
      <c r="I220" s="41"/>
      <c r="J220" s="41"/>
      <c r="K220" s="41"/>
      <c r="L220" s="41"/>
      <c r="M220" s="41"/>
      <c r="N220" s="41"/>
      <c r="O220" s="41"/>
      <c r="P220" s="41"/>
      <c r="Q220" s="41"/>
    </row>
    <row r="221" spans="2:17">
      <c r="B221" s="41"/>
      <c r="C221" s="41"/>
      <c r="D221" s="41"/>
      <c r="E221" s="41"/>
      <c r="F221" s="41"/>
      <c r="G221" s="41"/>
      <c r="H221" s="231"/>
      <c r="I221" s="41"/>
      <c r="J221" s="41"/>
      <c r="K221" s="41"/>
      <c r="L221" s="41"/>
      <c r="M221" s="41"/>
      <c r="N221" s="41"/>
      <c r="O221" s="41"/>
      <c r="P221" s="41"/>
      <c r="Q221" s="41"/>
    </row>
    <row r="222" spans="2:17">
      <c r="B222" s="41"/>
      <c r="C222" s="41"/>
      <c r="D222" s="41"/>
      <c r="E222" s="41"/>
      <c r="F222" s="41"/>
      <c r="G222" s="41"/>
      <c r="H222" s="231"/>
      <c r="I222" s="41"/>
      <c r="J222" s="41"/>
      <c r="K222" s="41"/>
      <c r="L222" s="41"/>
      <c r="M222" s="41"/>
      <c r="N222" s="41"/>
      <c r="O222" s="41"/>
      <c r="P222" s="41"/>
      <c r="Q222" s="41"/>
    </row>
    <row r="223" spans="2:17">
      <c r="B223" s="41"/>
      <c r="C223" s="41"/>
      <c r="D223" s="41"/>
      <c r="E223" s="41"/>
      <c r="F223" s="41"/>
      <c r="G223" s="41"/>
      <c r="H223" s="231"/>
      <c r="I223" s="41"/>
      <c r="J223" s="41"/>
      <c r="K223" s="41"/>
      <c r="L223" s="41"/>
      <c r="M223" s="41"/>
      <c r="N223" s="41"/>
      <c r="O223" s="41"/>
      <c r="P223" s="41"/>
      <c r="Q223" s="41"/>
    </row>
    <row r="224" spans="2:17">
      <c r="B224" s="41"/>
      <c r="C224" s="41"/>
      <c r="D224" s="41"/>
      <c r="E224" s="41"/>
      <c r="F224" s="41"/>
      <c r="G224" s="41"/>
      <c r="H224" s="231"/>
      <c r="I224" s="41"/>
      <c r="J224" s="41"/>
      <c r="K224" s="41"/>
      <c r="L224" s="41"/>
      <c r="M224" s="41"/>
      <c r="N224" s="41"/>
      <c r="O224" s="41"/>
      <c r="P224" s="41"/>
      <c r="Q224" s="41"/>
    </row>
    <row r="225" spans="2:17">
      <c r="B225" s="41"/>
      <c r="C225" s="41"/>
      <c r="D225" s="41"/>
      <c r="E225" s="41"/>
      <c r="F225" s="41"/>
      <c r="G225" s="41"/>
      <c r="H225" s="231"/>
      <c r="I225" s="41"/>
      <c r="J225" s="41"/>
      <c r="K225" s="41"/>
      <c r="L225" s="41"/>
      <c r="M225" s="41"/>
      <c r="N225" s="41"/>
      <c r="O225" s="41"/>
      <c r="P225" s="41"/>
      <c r="Q225" s="41"/>
    </row>
    <row r="226" spans="2:17">
      <c r="B226" s="41"/>
      <c r="C226" s="41"/>
      <c r="D226" s="41"/>
      <c r="E226" s="41"/>
      <c r="F226" s="41"/>
      <c r="G226" s="41"/>
      <c r="H226" s="231"/>
      <c r="I226" s="41"/>
      <c r="J226" s="41"/>
      <c r="K226" s="41"/>
      <c r="L226" s="41"/>
      <c r="M226" s="41"/>
      <c r="N226" s="41"/>
      <c r="O226" s="41"/>
      <c r="P226" s="41"/>
      <c r="Q226" s="41"/>
    </row>
    <row r="227" spans="2:17">
      <c r="B227" s="41"/>
      <c r="C227" s="41"/>
      <c r="D227" s="41"/>
      <c r="E227" s="41"/>
      <c r="F227" s="41"/>
      <c r="G227" s="41"/>
      <c r="H227" s="231"/>
      <c r="I227" s="41"/>
      <c r="J227" s="41"/>
      <c r="K227" s="41"/>
      <c r="L227" s="41"/>
      <c r="M227" s="41"/>
      <c r="N227" s="41"/>
      <c r="O227" s="41"/>
      <c r="P227" s="41"/>
      <c r="Q227" s="41"/>
    </row>
    <row r="228" spans="2:17">
      <c r="B228" s="41"/>
      <c r="C228" s="41"/>
      <c r="D228" s="41"/>
      <c r="E228" s="41"/>
      <c r="F228" s="41"/>
      <c r="G228" s="41"/>
      <c r="H228" s="231"/>
      <c r="I228" s="41"/>
      <c r="J228" s="41"/>
      <c r="K228" s="41"/>
      <c r="L228" s="41"/>
      <c r="M228" s="41"/>
      <c r="N228" s="41"/>
      <c r="O228" s="41"/>
      <c r="P228" s="41"/>
      <c r="Q228" s="41"/>
    </row>
    <row r="229" spans="2:17">
      <c r="B229" s="41"/>
      <c r="C229" s="41"/>
      <c r="D229" s="41"/>
      <c r="E229" s="41"/>
      <c r="F229" s="41"/>
      <c r="G229" s="41"/>
      <c r="H229" s="231"/>
      <c r="I229" s="41"/>
      <c r="J229" s="41"/>
      <c r="K229" s="41"/>
      <c r="L229" s="41"/>
      <c r="M229" s="41"/>
      <c r="N229" s="41"/>
      <c r="O229" s="41"/>
      <c r="P229" s="41"/>
      <c r="Q229" s="41"/>
    </row>
    <row r="230" spans="2:17">
      <c r="B230" s="41"/>
      <c r="C230" s="41"/>
      <c r="D230" s="41"/>
      <c r="E230" s="41"/>
      <c r="F230" s="41"/>
      <c r="G230" s="41"/>
      <c r="H230" s="231"/>
      <c r="I230" s="41"/>
      <c r="J230" s="41"/>
      <c r="K230" s="41"/>
      <c r="L230" s="41"/>
      <c r="M230" s="41"/>
      <c r="N230" s="41"/>
      <c r="O230" s="41"/>
      <c r="P230" s="41"/>
      <c r="Q230" s="41"/>
    </row>
    <row r="231" spans="2:17">
      <c r="B231" s="41"/>
      <c r="C231" s="41"/>
      <c r="D231" s="41"/>
      <c r="E231" s="41"/>
      <c r="F231" s="41"/>
      <c r="G231" s="41"/>
      <c r="H231" s="231"/>
      <c r="I231" s="41"/>
      <c r="J231" s="41"/>
      <c r="K231" s="41"/>
      <c r="L231" s="41"/>
      <c r="M231" s="41"/>
      <c r="N231" s="41"/>
      <c r="O231" s="41"/>
      <c r="P231" s="41"/>
      <c r="Q231" s="41"/>
    </row>
    <row r="232" spans="2:17">
      <c r="B232" s="41"/>
      <c r="C232" s="41"/>
      <c r="D232" s="41"/>
      <c r="E232" s="41"/>
      <c r="F232" s="41"/>
      <c r="G232" s="41"/>
      <c r="H232" s="231"/>
      <c r="I232" s="41"/>
      <c r="J232" s="41"/>
      <c r="K232" s="41"/>
      <c r="L232" s="41"/>
      <c r="M232" s="41"/>
      <c r="N232" s="41"/>
      <c r="O232" s="41"/>
      <c r="P232" s="41"/>
      <c r="Q232" s="41"/>
    </row>
    <row r="233" spans="2:17">
      <c r="B233" s="41"/>
      <c r="C233" s="41"/>
      <c r="D233" s="41"/>
      <c r="E233" s="41"/>
      <c r="F233" s="41"/>
      <c r="G233" s="41"/>
      <c r="H233" s="231"/>
      <c r="I233" s="41"/>
      <c r="J233" s="41"/>
      <c r="K233" s="41"/>
      <c r="L233" s="41"/>
      <c r="M233" s="41"/>
      <c r="N233" s="41"/>
      <c r="O233" s="41"/>
      <c r="P233" s="41"/>
      <c r="Q233" s="41"/>
    </row>
    <row r="234" spans="2:17">
      <c r="B234" s="41"/>
      <c r="C234" s="41"/>
      <c r="D234" s="41"/>
      <c r="E234" s="41"/>
      <c r="F234" s="41"/>
      <c r="G234" s="41"/>
      <c r="H234" s="231"/>
      <c r="I234" s="41"/>
      <c r="J234" s="41"/>
      <c r="K234" s="41"/>
      <c r="L234" s="41"/>
      <c r="M234" s="41"/>
      <c r="N234" s="41"/>
      <c r="O234" s="41"/>
      <c r="P234" s="41"/>
      <c r="Q234" s="41"/>
    </row>
    <row r="235" spans="2:17">
      <c r="B235" s="41"/>
      <c r="C235" s="41"/>
      <c r="D235" s="41"/>
      <c r="E235" s="41"/>
      <c r="F235" s="41"/>
      <c r="G235" s="41"/>
      <c r="H235" s="231"/>
      <c r="I235" s="41"/>
      <c r="J235" s="41"/>
      <c r="K235" s="41"/>
      <c r="L235" s="41"/>
      <c r="M235" s="41"/>
      <c r="N235" s="41"/>
      <c r="O235" s="41"/>
      <c r="P235" s="41"/>
      <c r="Q235" s="41"/>
    </row>
    <row r="236" spans="2:17">
      <c r="B236" s="41"/>
      <c r="C236" s="41"/>
      <c r="D236" s="41"/>
      <c r="E236" s="41"/>
      <c r="F236" s="41"/>
      <c r="G236" s="41"/>
      <c r="H236" s="231"/>
      <c r="I236" s="41"/>
      <c r="J236" s="41"/>
      <c r="K236" s="41"/>
      <c r="L236" s="41"/>
      <c r="M236" s="41"/>
      <c r="N236" s="41"/>
      <c r="O236" s="41"/>
      <c r="P236" s="41"/>
      <c r="Q236" s="41"/>
    </row>
    <row r="237" spans="2:17">
      <c r="B237" s="41"/>
      <c r="C237" s="41"/>
      <c r="D237" s="41"/>
      <c r="E237" s="41"/>
      <c r="F237" s="41"/>
      <c r="G237" s="41"/>
      <c r="H237" s="231"/>
      <c r="I237" s="41"/>
      <c r="J237" s="41"/>
      <c r="K237" s="41"/>
      <c r="L237" s="41"/>
      <c r="M237" s="41"/>
      <c r="N237" s="41"/>
      <c r="O237" s="41"/>
      <c r="P237" s="41"/>
      <c r="Q237" s="41"/>
    </row>
    <row r="238" spans="2:17">
      <c r="B238" s="41"/>
      <c r="C238" s="41"/>
      <c r="D238" s="41"/>
      <c r="E238" s="41"/>
      <c r="F238" s="41"/>
      <c r="G238" s="41"/>
      <c r="H238" s="231"/>
      <c r="I238" s="41"/>
      <c r="J238" s="41"/>
      <c r="K238" s="41"/>
      <c r="L238" s="41"/>
      <c r="M238" s="41"/>
      <c r="N238" s="41"/>
      <c r="O238" s="41"/>
      <c r="P238" s="41"/>
      <c r="Q238" s="41"/>
    </row>
    <row r="239" spans="2:17">
      <c r="B239" s="41"/>
      <c r="C239" s="41"/>
      <c r="D239" s="41"/>
      <c r="E239" s="41"/>
      <c r="F239" s="41"/>
      <c r="G239" s="41"/>
      <c r="H239" s="231"/>
      <c r="I239" s="41"/>
      <c r="J239" s="41"/>
      <c r="K239" s="41"/>
      <c r="L239" s="41"/>
      <c r="M239" s="41"/>
      <c r="N239" s="41"/>
      <c r="O239" s="41"/>
      <c r="P239" s="41"/>
      <c r="Q239" s="41"/>
    </row>
    <row r="240" spans="2:17">
      <c r="B240" s="41"/>
      <c r="C240" s="41"/>
      <c r="D240" s="41"/>
      <c r="E240" s="41"/>
      <c r="F240" s="41"/>
      <c r="G240" s="41"/>
      <c r="H240" s="231"/>
      <c r="I240" s="41"/>
      <c r="J240" s="41"/>
      <c r="K240" s="41"/>
      <c r="L240" s="41"/>
      <c r="M240" s="41"/>
      <c r="N240" s="41"/>
      <c r="O240" s="41"/>
      <c r="P240" s="41"/>
      <c r="Q240" s="41"/>
    </row>
    <row r="241" spans="2:17">
      <c r="B241" s="41"/>
      <c r="C241" s="41"/>
      <c r="D241" s="41"/>
      <c r="E241" s="41"/>
      <c r="F241" s="41"/>
      <c r="G241" s="41"/>
      <c r="H241" s="231"/>
      <c r="I241" s="41"/>
      <c r="J241" s="41"/>
      <c r="K241" s="41"/>
      <c r="L241" s="41"/>
      <c r="M241" s="41"/>
      <c r="N241" s="41"/>
      <c r="O241" s="41"/>
      <c r="P241" s="41"/>
      <c r="Q241" s="41"/>
    </row>
    <row r="242" spans="2:17">
      <c r="B242" s="41"/>
      <c r="C242" s="41"/>
      <c r="D242" s="41"/>
      <c r="E242" s="41"/>
      <c r="F242" s="41"/>
      <c r="G242" s="41"/>
      <c r="H242" s="231"/>
      <c r="I242" s="41"/>
      <c r="J242" s="41"/>
      <c r="K242" s="41"/>
      <c r="L242" s="41"/>
      <c r="M242" s="41"/>
      <c r="N242" s="41"/>
      <c r="O242" s="41"/>
      <c r="P242" s="41"/>
      <c r="Q242" s="41"/>
    </row>
    <row r="243" spans="2:17">
      <c r="B243" s="41"/>
      <c r="C243" s="41"/>
      <c r="D243" s="41"/>
      <c r="E243" s="41"/>
      <c r="F243" s="41"/>
      <c r="G243" s="41"/>
      <c r="H243" s="231"/>
      <c r="I243" s="41"/>
      <c r="J243" s="41"/>
      <c r="K243" s="41"/>
      <c r="L243" s="41"/>
      <c r="M243" s="41"/>
      <c r="N243" s="41"/>
      <c r="O243" s="41"/>
      <c r="P243" s="41"/>
      <c r="Q243" s="41"/>
    </row>
    <row r="244" spans="2:17">
      <c r="B244" s="41"/>
      <c r="C244" s="41"/>
      <c r="D244" s="41"/>
      <c r="E244" s="41"/>
      <c r="F244" s="41"/>
      <c r="G244" s="41"/>
      <c r="H244" s="231"/>
      <c r="I244" s="41"/>
      <c r="J244" s="41"/>
      <c r="K244" s="41"/>
      <c r="L244" s="41"/>
      <c r="M244" s="41"/>
      <c r="N244" s="41"/>
      <c r="O244" s="41"/>
      <c r="P244" s="41"/>
      <c r="Q244" s="41"/>
    </row>
    <row r="245" spans="2:17">
      <c r="B245" s="41"/>
      <c r="C245" s="41"/>
      <c r="D245" s="41"/>
      <c r="E245" s="41"/>
      <c r="F245" s="41"/>
      <c r="G245" s="41"/>
      <c r="H245" s="231"/>
      <c r="I245" s="41"/>
      <c r="J245" s="41"/>
      <c r="K245" s="41"/>
      <c r="L245" s="41"/>
      <c r="M245" s="41"/>
      <c r="N245" s="41"/>
      <c r="O245" s="41"/>
      <c r="P245" s="41"/>
      <c r="Q245" s="41"/>
    </row>
    <row r="246" spans="2:17">
      <c r="B246" s="41"/>
      <c r="C246" s="41"/>
      <c r="D246" s="41"/>
      <c r="E246" s="41"/>
      <c r="F246" s="41"/>
      <c r="G246" s="41"/>
      <c r="H246" s="231"/>
      <c r="I246" s="41"/>
      <c r="J246" s="41"/>
      <c r="K246" s="41"/>
      <c r="L246" s="41"/>
      <c r="M246" s="41"/>
      <c r="N246" s="41"/>
      <c r="O246" s="41"/>
      <c r="P246" s="41"/>
      <c r="Q246" s="41"/>
    </row>
    <row r="247" spans="2:17">
      <c r="B247" s="41"/>
      <c r="C247" s="41"/>
      <c r="D247" s="41"/>
      <c r="E247" s="41"/>
      <c r="F247" s="41"/>
      <c r="G247" s="41"/>
      <c r="H247" s="231"/>
      <c r="I247" s="41"/>
      <c r="J247" s="41"/>
      <c r="K247" s="41"/>
      <c r="L247" s="41"/>
      <c r="M247" s="41"/>
      <c r="N247" s="41"/>
      <c r="O247" s="41"/>
      <c r="P247" s="41"/>
      <c r="Q247" s="41"/>
    </row>
    <row r="248" spans="2:17">
      <c r="B248" s="41"/>
      <c r="C248" s="41"/>
      <c r="D248" s="41"/>
      <c r="E248" s="41"/>
      <c r="F248" s="41"/>
      <c r="G248" s="41"/>
      <c r="H248" s="231"/>
      <c r="I248" s="41"/>
      <c r="J248" s="41"/>
      <c r="K248" s="41"/>
      <c r="L248" s="41"/>
      <c r="M248" s="41"/>
      <c r="N248" s="41"/>
      <c r="O248" s="41"/>
      <c r="P248" s="41"/>
      <c r="Q248" s="41"/>
    </row>
    <row r="249" spans="2:17">
      <c r="B249" s="41"/>
      <c r="C249" s="41"/>
      <c r="D249" s="41"/>
      <c r="E249" s="41"/>
      <c r="F249" s="41"/>
      <c r="G249" s="41"/>
      <c r="H249" s="231"/>
      <c r="I249" s="41"/>
      <c r="J249" s="41"/>
      <c r="K249" s="41"/>
      <c r="L249" s="41"/>
      <c r="M249" s="41"/>
      <c r="N249" s="41"/>
      <c r="O249" s="41"/>
      <c r="P249" s="41"/>
      <c r="Q249" s="41"/>
    </row>
    <row r="250" spans="2:17">
      <c r="B250" s="41"/>
      <c r="C250" s="41"/>
      <c r="D250" s="41"/>
      <c r="E250" s="41"/>
      <c r="F250" s="41"/>
      <c r="G250" s="41"/>
      <c r="H250" s="231"/>
      <c r="I250" s="41"/>
      <c r="J250" s="41"/>
      <c r="K250" s="41"/>
      <c r="L250" s="41"/>
      <c r="M250" s="41"/>
      <c r="N250" s="41"/>
      <c r="O250" s="41"/>
      <c r="P250" s="41"/>
      <c r="Q250" s="41"/>
    </row>
    <row r="251" spans="2:17">
      <c r="B251" s="41"/>
      <c r="C251" s="41"/>
      <c r="D251" s="41"/>
      <c r="E251" s="41"/>
      <c r="F251" s="41"/>
      <c r="G251" s="41"/>
      <c r="H251" s="231"/>
      <c r="I251" s="41"/>
      <c r="J251" s="41"/>
      <c r="K251" s="41"/>
      <c r="L251" s="41"/>
      <c r="M251" s="41"/>
      <c r="N251" s="41"/>
      <c r="O251" s="41"/>
      <c r="P251" s="41"/>
      <c r="Q251" s="41"/>
    </row>
    <row r="252" spans="2:17">
      <c r="B252" s="41"/>
      <c r="C252" s="41"/>
      <c r="D252" s="41"/>
      <c r="E252" s="41"/>
      <c r="F252" s="41"/>
      <c r="G252" s="41"/>
      <c r="H252" s="231"/>
      <c r="I252" s="41"/>
      <c r="J252" s="41"/>
      <c r="K252" s="41"/>
      <c r="L252" s="41"/>
      <c r="M252" s="41"/>
      <c r="N252" s="41"/>
      <c r="O252" s="41"/>
      <c r="P252" s="41"/>
      <c r="Q252" s="41"/>
    </row>
    <row r="253" spans="2:17">
      <c r="B253" s="41"/>
      <c r="C253" s="41"/>
      <c r="D253" s="41"/>
      <c r="E253" s="41"/>
      <c r="F253" s="41"/>
      <c r="G253" s="41"/>
      <c r="H253" s="231"/>
      <c r="I253" s="41"/>
      <c r="J253" s="41"/>
      <c r="K253" s="41"/>
      <c r="L253" s="41"/>
      <c r="M253" s="41"/>
      <c r="N253" s="41"/>
      <c r="O253" s="41"/>
      <c r="P253" s="41"/>
      <c r="Q253" s="41"/>
    </row>
    <row r="254" spans="2:17">
      <c r="B254" s="41"/>
      <c r="C254" s="41"/>
      <c r="D254" s="41"/>
      <c r="E254" s="41"/>
      <c r="F254" s="41"/>
      <c r="G254" s="41"/>
      <c r="H254" s="231"/>
      <c r="I254" s="41"/>
      <c r="J254" s="41"/>
      <c r="K254" s="41"/>
      <c r="L254" s="41"/>
      <c r="M254" s="41"/>
      <c r="N254" s="41"/>
      <c r="O254" s="41"/>
      <c r="P254" s="41"/>
      <c r="Q254" s="41"/>
    </row>
    <row r="255" spans="2:17">
      <c r="B255" s="41"/>
      <c r="C255" s="41"/>
      <c r="D255" s="41"/>
      <c r="E255" s="41"/>
      <c r="F255" s="41"/>
      <c r="G255" s="41"/>
      <c r="H255" s="231"/>
      <c r="I255" s="41"/>
      <c r="J255" s="41"/>
      <c r="K255" s="41"/>
      <c r="L255" s="41"/>
      <c r="M255" s="41"/>
      <c r="N255" s="41"/>
      <c r="O255" s="41"/>
      <c r="P255" s="41"/>
      <c r="Q255" s="41"/>
    </row>
    <row r="256" spans="2:17">
      <c r="B256" s="41"/>
      <c r="C256" s="41"/>
      <c r="D256" s="41"/>
      <c r="E256" s="41"/>
      <c r="F256" s="41"/>
      <c r="G256" s="41"/>
      <c r="H256" s="231"/>
      <c r="I256" s="41"/>
      <c r="J256" s="41"/>
      <c r="K256" s="41"/>
      <c r="L256" s="41"/>
      <c r="M256" s="41"/>
      <c r="N256" s="41"/>
      <c r="O256" s="41"/>
      <c r="P256" s="41"/>
      <c r="Q256" s="41"/>
    </row>
    <row r="257" spans="2:17">
      <c r="B257" s="41"/>
      <c r="C257" s="41"/>
      <c r="D257" s="41"/>
      <c r="E257" s="41"/>
      <c r="F257" s="41"/>
      <c r="G257" s="41"/>
      <c r="H257" s="231"/>
      <c r="I257" s="41"/>
      <c r="J257" s="41"/>
      <c r="K257" s="41"/>
      <c r="L257" s="41"/>
      <c r="M257" s="41"/>
      <c r="N257" s="41"/>
      <c r="O257" s="41"/>
      <c r="P257" s="41"/>
      <c r="Q257" s="41"/>
    </row>
    <row r="258" spans="2:17">
      <c r="B258" s="41"/>
      <c r="C258" s="41"/>
      <c r="D258" s="41"/>
      <c r="E258" s="41"/>
      <c r="F258" s="41"/>
      <c r="G258" s="41"/>
      <c r="H258" s="231"/>
      <c r="I258" s="41"/>
      <c r="J258" s="41"/>
      <c r="K258" s="41"/>
      <c r="L258" s="41"/>
      <c r="M258" s="41"/>
      <c r="N258" s="41"/>
      <c r="O258" s="41"/>
      <c r="P258" s="41"/>
      <c r="Q258" s="41"/>
    </row>
    <row r="259" spans="2:17">
      <c r="B259" s="41"/>
      <c r="C259" s="41"/>
      <c r="D259" s="41"/>
      <c r="E259" s="41"/>
      <c r="F259" s="41"/>
      <c r="G259" s="41"/>
      <c r="H259" s="231"/>
      <c r="I259" s="41"/>
      <c r="J259" s="41"/>
      <c r="K259" s="41"/>
      <c r="L259" s="41"/>
      <c r="M259" s="41"/>
      <c r="N259" s="41"/>
      <c r="O259" s="41"/>
      <c r="P259" s="41"/>
      <c r="Q259" s="41"/>
    </row>
    <row r="260" spans="2:17">
      <c r="B260" s="41"/>
      <c r="C260" s="41"/>
      <c r="D260" s="41"/>
      <c r="E260" s="41"/>
      <c r="F260" s="41"/>
      <c r="G260" s="41"/>
      <c r="H260" s="231"/>
      <c r="I260" s="41"/>
      <c r="J260" s="41"/>
      <c r="K260" s="41"/>
      <c r="L260" s="41"/>
      <c r="M260" s="41"/>
      <c r="N260" s="41"/>
      <c r="O260" s="41"/>
      <c r="P260" s="41"/>
      <c r="Q260" s="41"/>
    </row>
    <row r="261" spans="2:17">
      <c r="B261" s="41"/>
      <c r="C261" s="41"/>
      <c r="D261" s="41"/>
      <c r="E261" s="41"/>
      <c r="F261" s="41"/>
      <c r="G261" s="41"/>
      <c r="H261" s="231"/>
      <c r="I261" s="41"/>
      <c r="J261" s="41"/>
      <c r="K261" s="41"/>
      <c r="L261" s="41"/>
      <c r="M261" s="41"/>
      <c r="N261" s="41"/>
      <c r="O261" s="41"/>
      <c r="P261" s="41"/>
      <c r="Q261" s="41"/>
    </row>
    <row r="262" spans="2:17">
      <c r="B262" s="41"/>
      <c r="C262" s="41"/>
      <c r="D262" s="41"/>
      <c r="E262" s="41"/>
      <c r="F262" s="41"/>
      <c r="G262" s="41"/>
      <c r="H262" s="231"/>
      <c r="I262" s="41"/>
      <c r="J262" s="41"/>
      <c r="K262" s="41"/>
      <c r="L262" s="41"/>
      <c r="M262" s="41"/>
      <c r="N262" s="41"/>
      <c r="O262" s="41"/>
      <c r="P262" s="41"/>
      <c r="Q262" s="41"/>
    </row>
    <row r="263" spans="2:17">
      <c r="B263" s="41"/>
      <c r="C263" s="41"/>
      <c r="D263" s="41"/>
      <c r="E263" s="41"/>
      <c r="F263" s="41"/>
      <c r="G263" s="41"/>
      <c r="H263" s="231"/>
      <c r="I263" s="41"/>
      <c r="J263" s="41"/>
      <c r="K263" s="41"/>
      <c r="L263" s="41"/>
      <c r="M263" s="41"/>
      <c r="N263" s="41"/>
      <c r="O263" s="41"/>
      <c r="P263" s="41"/>
      <c r="Q263" s="41"/>
    </row>
    <row r="264" spans="2:17">
      <c r="B264" s="41"/>
      <c r="C264" s="41"/>
      <c r="D264" s="41"/>
      <c r="E264" s="41"/>
      <c r="F264" s="41"/>
      <c r="G264" s="41"/>
      <c r="H264" s="231"/>
      <c r="I264" s="41"/>
      <c r="J264" s="41"/>
      <c r="K264" s="41"/>
      <c r="L264" s="41"/>
      <c r="M264" s="41"/>
      <c r="N264" s="41"/>
      <c r="O264" s="41"/>
      <c r="P264" s="41"/>
      <c r="Q264" s="41"/>
    </row>
    <row r="265" spans="2:17">
      <c r="B265" s="41"/>
      <c r="C265" s="41"/>
      <c r="D265" s="41"/>
      <c r="E265" s="41"/>
      <c r="F265" s="41"/>
      <c r="G265" s="41"/>
      <c r="H265" s="231"/>
      <c r="I265" s="41"/>
      <c r="J265" s="41"/>
      <c r="K265" s="41"/>
      <c r="L265" s="41"/>
      <c r="M265" s="41"/>
      <c r="N265" s="41"/>
      <c r="O265" s="41"/>
      <c r="P265" s="41"/>
      <c r="Q265" s="41"/>
    </row>
    <row r="266" spans="2:17">
      <c r="B266" s="41"/>
      <c r="C266" s="41"/>
      <c r="D266" s="41"/>
      <c r="E266" s="41"/>
      <c r="F266" s="41"/>
      <c r="G266" s="41"/>
      <c r="H266" s="231"/>
      <c r="I266" s="41"/>
      <c r="J266" s="41"/>
      <c r="K266" s="41"/>
      <c r="L266" s="41"/>
      <c r="M266" s="41"/>
      <c r="N266" s="41"/>
      <c r="O266" s="41"/>
      <c r="P266" s="41"/>
      <c r="Q266" s="41"/>
    </row>
    <row r="267" spans="2:17">
      <c r="B267" s="41"/>
      <c r="C267" s="41"/>
      <c r="D267" s="41"/>
      <c r="E267" s="41"/>
      <c r="F267" s="41"/>
      <c r="G267" s="41"/>
      <c r="H267" s="231"/>
      <c r="I267" s="41"/>
      <c r="J267" s="41"/>
      <c r="K267" s="41"/>
      <c r="L267" s="41"/>
      <c r="M267" s="41"/>
      <c r="N267" s="41"/>
      <c r="O267" s="41"/>
      <c r="P267" s="41"/>
      <c r="Q267" s="41"/>
    </row>
    <row r="268" spans="2:17">
      <c r="B268" s="41"/>
      <c r="C268" s="41"/>
      <c r="D268" s="41"/>
      <c r="E268" s="41"/>
      <c r="F268" s="41"/>
      <c r="G268" s="41"/>
      <c r="H268" s="231"/>
      <c r="I268" s="41"/>
      <c r="J268" s="41"/>
      <c r="K268" s="41"/>
      <c r="L268" s="41"/>
      <c r="M268" s="41"/>
      <c r="N268" s="41"/>
      <c r="O268" s="41"/>
      <c r="P268" s="41"/>
      <c r="Q268" s="41"/>
    </row>
    <row r="269" spans="2:17">
      <c r="B269" s="41"/>
      <c r="C269" s="41"/>
      <c r="D269" s="41"/>
      <c r="E269" s="41"/>
      <c r="F269" s="41"/>
      <c r="G269" s="41"/>
      <c r="H269" s="231"/>
      <c r="I269" s="41"/>
      <c r="J269" s="41"/>
      <c r="K269" s="41"/>
      <c r="L269" s="41"/>
      <c r="M269" s="41"/>
      <c r="N269" s="41"/>
      <c r="O269" s="41"/>
      <c r="P269" s="41"/>
      <c r="Q269" s="41"/>
    </row>
    <row r="270" spans="2:17">
      <c r="B270" s="41"/>
      <c r="C270" s="41"/>
      <c r="D270" s="41"/>
      <c r="E270" s="41"/>
      <c r="F270" s="41"/>
      <c r="G270" s="41"/>
      <c r="H270" s="231"/>
      <c r="I270" s="41"/>
      <c r="J270" s="41"/>
      <c r="K270" s="41"/>
      <c r="L270" s="41"/>
      <c r="M270" s="41"/>
      <c r="N270" s="41"/>
      <c r="O270" s="41"/>
      <c r="P270" s="41"/>
      <c r="Q270" s="41"/>
    </row>
    <row r="271" spans="2:17">
      <c r="B271" s="41"/>
      <c r="C271" s="41"/>
      <c r="D271" s="41"/>
      <c r="E271" s="41"/>
      <c r="F271" s="41"/>
      <c r="G271" s="41"/>
      <c r="H271" s="231"/>
      <c r="I271" s="41"/>
      <c r="J271" s="41"/>
      <c r="K271" s="41"/>
      <c r="L271" s="41"/>
      <c r="M271" s="41"/>
      <c r="N271" s="41"/>
      <c r="O271" s="41"/>
      <c r="P271" s="41"/>
      <c r="Q271" s="41"/>
    </row>
    <row r="272" spans="2:17">
      <c r="B272" s="41"/>
      <c r="C272" s="41"/>
      <c r="D272" s="41"/>
      <c r="E272" s="41"/>
      <c r="F272" s="41"/>
      <c r="G272" s="41"/>
      <c r="H272" s="231"/>
      <c r="I272" s="41"/>
      <c r="J272" s="41"/>
      <c r="K272" s="41"/>
      <c r="L272" s="41"/>
      <c r="M272" s="41"/>
      <c r="N272" s="41"/>
      <c r="O272" s="41"/>
      <c r="P272" s="41"/>
      <c r="Q272" s="41"/>
    </row>
    <row r="273" spans="2:17">
      <c r="B273" s="41"/>
      <c r="C273" s="41"/>
      <c r="D273" s="41"/>
      <c r="E273" s="41"/>
      <c r="F273" s="41"/>
      <c r="G273" s="41"/>
      <c r="H273" s="231"/>
      <c r="I273" s="41"/>
      <c r="J273" s="41"/>
      <c r="K273" s="41"/>
      <c r="L273" s="41"/>
      <c r="M273" s="41"/>
      <c r="N273" s="41"/>
      <c r="O273" s="41"/>
      <c r="P273" s="41"/>
      <c r="Q273" s="41"/>
    </row>
    <row r="274" spans="2:17">
      <c r="B274" s="41"/>
      <c r="C274" s="41"/>
      <c r="D274" s="41"/>
      <c r="E274" s="41"/>
      <c r="F274" s="41"/>
      <c r="G274" s="41"/>
      <c r="H274" s="231"/>
      <c r="I274" s="41"/>
      <c r="J274" s="41"/>
      <c r="K274" s="41"/>
      <c r="L274" s="41"/>
      <c r="M274" s="41"/>
      <c r="N274" s="41"/>
      <c r="O274" s="41"/>
      <c r="P274" s="41"/>
      <c r="Q274" s="41"/>
    </row>
    <row r="275" spans="2:17">
      <c r="B275" s="41"/>
      <c r="C275" s="41"/>
      <c r="D275" s="41"/>
      <c r="E275" s="41"/>
      <c r="F275" s="41"/>
      <c r="G275" s="41"/>
      <c r="H275" s="231"/>
      <c r="I275" s="41"/>
      <c r="J275" s="41"/>
      <c r="K275" s="41"/>
      <c r="L275" s="41"/>
      <c r="M275" s="41"/>
      <c r="N275" s="41"/>
      <c r="O275" s="41"/>
      <c r="P275" s="41"/>
      <c r="Q275" s="41"/>
    </row>
    <row r="276" spans="2:17">
      <c r="B276" s="41"/>
      <c r="C276" s="41"/>
      <c r="D276" s="41"/>
      <c r="E276" s="41"/>
      <c r="F276" s="41"/>
      <c r="G276" s="41"/>
      <c r="H276" s="231"/>
      <c r="I276" s="41"/>
      <c r="J276" s="41"/>
      <c r="K276" s="41"/>
      <c r="L276" s="41"/>
      <c r="M276" s="41"/>
      <c r="N276" s="41"/>
      <c r="O276" s="41"/>
      <c r="P276" s="41"/>
      <c r="Q276" s="41"/>
    </row>
    <row r="277" spans="2:17">
      <c r="B277" s="41"/>
      <c r="C277" s="41"/>
      <c r="D277" s="41"/>
      <c r="E277" s="41"/>
      <c r="F277" s="41"/>
      <c r="G277" s="41"/>
      <c r="H277" s="231"/>
      <c r="I277" s="41"/>
      <c r="J277" s="41"/>
      <c r="K277" s="41"/>
      <c r="L277" s="41"/>
      <c r="M277" s="41"/>
      <c r="N277" s="41"/>
      <c r="O277" s="41"/>
      <c r="P277" s="41"/>
      <c r="Q277" s="41"/>
    </row>
    <row r="278" spans="2:17">
      <c r="B278" s="41"/>
      <c r="C278" s="41"/>
      <c r="D278" s="41"/>
      <c r="E278" s="41"/>
      <c r="F278" s="41"/>
      <c r="G278" s="41"/>
      <c r="H278" s="231"/>
      <c r="I278" s="41"/>
      <c r="J278" s="41"/>
      <c r="K278" s="41"/>
      <c r="L278" s="41"/>
      <c r="M278" s="41"/>
      <c r="N278" s="41"/>
      <c r="O278" s="41"/>
      <c r="P278" s="41"/>
      <c r="Q278" s="41"/>
    </row>
    <row r="279" spans="2:17">
      <c r="B279" s="41"/>
      <c r="C279" s="41"/>
      <c r="D279" s="41"/>
      <c r="E279" s="41"/>
      <c r="F279" s="41"/>
      <c r="G279" s="41"/>
      <c r="H279" s="231"/>
      <c r="I279" s="41"/>
      <c r="J279" s="41"/>
      <c r="K279" s="41"/>
      <c r="L279" s="41"/>
      <c r="M279" s="41"/>
      <c r="N279" s="41"/>
      <c r="O279" s="41"/>
      <c r="P279" s="41"/>
      <c r="Q279" s="41"/>
    </row>
    <row r="280" spans="2:17">
      <c r="B280" s="41"/>
      <c r="C280" s="41"/>
      <c r="D280" s="41"/>
      <c r="E280" s="41"/>
      <c r="F280" s="41"/>
      <c r="G280" s="41"/>
      <c r="H280" s="231"/>
      <c r="I280" s="41"/>
      <c r="J280" s="41"/>
      <c r="K280" s="41"/>
      <c r="L280" s="41"/>
      <c r="M280" s="41"/>
      <c r="N280" s="41"/>
      <c r="O280" s="41"/>
      <c r="P280" s="41"/>
      <c r="Q280" s="41"/>
    </row>
    <row r="281" spans="2:17">
      <c r="B281" s="41"/>
      <c r="C281" s="41"/>
      <c r="D281" s="41"/>
      <c r="E281" s="41"/>
      <c r="F281" s="41"/>
      <c r="G281" s="41"/>
      <c r="H281" s="231"/>
      <c r="I281" s="41"/>
      <c r="J281" s="41"/>
      <c r="K281" s="41"/>
      <c r="L281" s="41"/>
      <c r="M281" s="41"/>
      <c r="N281" s="41"/>
      <c r="O281" s="41"/>
      <c r="P281" s="41"/>
      <c r="Q281" s="41"/>
    </row>
    <row r="282" spans="2:17">
      <c r="B282" s="41"/>
      <c r="C282" s="41"/>
      <c r="D282" s="41"/>
      <c r="E282" s="41"/>
      <c r="F282" s="41"/>
      <c r="G282" s="41"/>
      <c r="H282" s="231"/>
      <c r="I282" s="41"/>
      <c r="J282" s="41"/>
      <c r="K282" s="41"/>
      <c r="L282" s="41"/>
      <c r="M282" s="41"/>
      <c r="N282" s="41"/>
      <c r="O282" s="41"/>
      <c r="P282" s="41"/>
      <c r="Q282" s="41"/>
    </row>
    <row r="283" spans="2:17">
      <c r="B283" s="41"/>
      <c r="C283" s="41"/>
      <c r="D283" s="41"/>
      <c r="E283" s="41"/>
      <c r="F283" s="41"/>
      <c r="G283" s="41"/>
      <c r="H283" s="231"/>
      <c r="I283" s="41"/>
      <c r="J283" s="41"/>
      <c r="K283" s="41"/>
      <c r="L283" s="41"/>
      <c r="M283" s="41"/>
      <c r="N283" s="41"/>
      <c r="O283" s="41"/>
      <c r="P283" s="41"/>
      <c r="Q283" s="41"/>
    </row>
    <row r="284" spans="2:17">
      <c r="B284" s="41"/>
      <c r="C284" s="41"/>
      <c r="D284" s="41"/>
      <c r="E284" s="41"/>
      <c r="F284" s="41"/>
      <c r="G284" s="41"/>
      <c r="H284" s="231"/>
      <c r="I284" s="41"/>
      <c r="J284" s="41"/>
      <c r="K284" s="41"/>
      <c r="L284" s="41"/>
      <c r="M284" s="41"/>
      <c r="N284" s="41"/>
      <c r="O284" s="41"/>
      <c r="P284" s="41"/>
      <c r="Q284" s="41"/>
    </row>
    <row r="285" spans="2:17">
      <c r="B285" s="41"/>
      <c r="C285" s="41"/>
      <c r="D285" s="41"/>
      <c r="E285" s="41"/>
      <c r="F285" s="41"/>
      <c r="G285" s="41"/>
      <c r="H285" s="231"/>
      <c r="I285" s="41"/>
      <c r="J285" s="41"/>
      <c r="K285" s="41"/>
      <c r="L285" s="41"/>
      <c r="M285" s="41"/>
      <c r="N285" s="41"/>
      <c r="O285" s="41"/>
      <c r="P285" s="41"/>
      <c r="Q285" s="41"/>
    </row>
    <row r="286" spans="2:17">
      <c r="B286" s="41"/>
      <c r="C286" s="41"/>
      <c r="D286" s="41"/>
      <c r="E286" s="41"/>
      <c r="F286" s="41"/>
      <c r="G286" s="41"/>
      <c r="H286" s="231"/>
      <c r="I286" s="41"/>
      <c r="J286" s="41"/>
      <c r="K286" s="41"/>
      <c r="L286" s="41"/>
      <c r="M286" s="41"/>
      <c r="N286" s="41"/>
      <c r="O286" s="41"/>
      <c r="P286" s="41"/>
      <c r="Q286" s="41"/>
    </row>
    <row r="287" spans="2:17">
      <c r="B287" s="41"/>
      <c r="C287" s="41"/>
      <c r="D287" s="41"/>
      <c r="E287" s="41"/>
      <c r="F287" s="41"/>
      <c r="G287" s="41"/>
      <c r="H287" s="231"/>
      <c r="I287" s="41"/>
      <c r="J287" s="41"/>
      <c r="K287" s="41"/>
      <c r="L287" s="41"/>
      <c r="M287" s="41"/>
      <c r="N287" s="41"/>
      <c r="O287" s="41"/>
      <c r="P287" s="41"/>
      <c r="Q287" s="41"/>
    </row>
    <row r="288" spans="2:17">
      <c r="B288" s="41"/>
      <c r="C288" s="41"/>
      <c r="D288" s="41"/>
      <c r="E288" s="41"/>
      <c r="F288" s="41"/>
      <c r="G288" s="41"/>
      <c r="H288" s="231"/>
      <c r="I288" s="41"/>
      <c r="J288" s="41"/>
      <c r="K288" s="41"/>
      <c r="L288" s="41"/>
      <c r="M288" s="41"/>
      <c r="N288" s="41"/>
      <c r="O288" s="41"/>
      <c r="P288" s="41"/>
      <c r="Q288" s="41"/>
    </row>
    <row r="289" spans="2:17">
      <c r="B289" s="41"/>
      <c r="C289" s="41"/>
      <c r="D289" s="41"/>
      <c r="E289" s="41"/>
      <c r="F289" s="41"/>
      <c r="G289" s="41"/>
      <c r="H289" s="231"/>
      <c r="I289" s="41"/>
      <c r="J289" s="41"/>
      <c r="K289" s="41"/>
      <c r="L289" s="41"/>
      <c r="M289" s="41"/>
      <c r="N289" s="41"/>
      <c r="O289" s="41"/>
      <c r="P289" s="41"/>
      <c r="Q289" s="41"/>
    </row>
    <row r="290" spans="2:17">
      <c r="B290" s="41"/>
      <c r="C290" s="41"/>
      <c r="D290" s="41"/>
      <c r="E290" s="41"/>
      <c r="F290" s="41"/>
      <c r="G290" s="41"/>
      <c r="H290" s="231"/>
      <c r="I290" s="41"/>
      <c r="J290" s="41"/>
      <c r="K290" s="41"/>
      <c r="L290" s="41"/>
      <c r="M290" s="41"/>
      <c r="N290" s="41"/>
      <c r="O290" s="41"/>
      <c r="P290" s="41"/>
      <c r="Q290" s="41"/>
    </row>
    <row r="291" spans="2:17">
      <c r="B291" s="41"/>
      <c r="C291" s="41"/>
      <c r="D291" s="41"/>
      <c r="E291" s="41"/>
      <c r="F291" s="41"/>
      <c r="G291" s="41"/>
      <c r="H291" s="231"/>
      <c r="I291" s="41"/>
      <c r="J291" s="41"/>
      <c r="K291" s="41"/>
      <c r="L291" s="41"/>
      <c r="M291" s="41"/>
      <c r="N291" s="41"/>
      <c r="O291" s="41"/>
      <c r="P291" s="41"/>
      <c r="Q291" s="41"/>
    </row>
    <row r="292" spans="2:17">
      <c r="B292" s="41"/>
      <c r="C292" s="41"/>
      <c r="D292" s="41"/>
      <c r="E292" s="41"/>
      <c r="F292" s="41"/>
      <c r="G292" s="41"/>
      <c r="H292" s="231"/>
      <c r="I292" s="41"/>
      <c r="J292" s="41"/>
      <c r="K292" s="41"/>
      <c r="L292" s="41"/>
      <c r="M292" s="41"/>
      <c r="N292" s="41"/>
      <c r="O292" s="41"/>
      <c r="P292" s="41"/>
      <c r="Q292" s="41"/>
    </row>
    <row r="293" spans="2:17">
      <c r="B293" s="41"/>
      <c r="C293" s="41"/>
      <c r="D293" s="41"/>
      <c r="E293" s="41"/>
      <c r="F293" s="41"/>
      <c r="G293" s="41"/>
      <c r="H293" s="231"/>
      <c r="I293" s="41"/>
      <c r="J293" s="41"/>
      <c r="K293" s="41"/>
      <c r="L293" s="41"/>
      <c r="M293" s="41"/>
      <c r="N293" s="41"/>
      <c r="O293" s="41"/>
      <c r="P293" s="41"/>
      <c r="Q293" s="41"/>
    </row>
    <row r="294" spans="2:17">
      <c r="B294" s="41"/>
      <c r="C294" s="41"/>
      <c r="D294" s="41"/>
      <c r="E294" s="41"/>
      <c r="F294" s="41"/>
      <c r="G294" s="41"/>
      <c r="H294" s="231"/>
      <c r="I294" s="41"/>
      <c r="J294" s="41"/>
      <c r="K294" s="41"/>
      <c r="L294" s="41"/>
      <c r="M294" s="41"/>
      <c r="N294" s="41"/>
      <c r="O294" s="41"/>
      <c r="P294" s="41"/>
      <c r="Q294" s="41"/>
    </row>
    <row r="295" spans="2:17">
      <c r="B295" s="41"/>
      <c r="C295" s="41"/>
      <c r="D295" s="41"/>
      <c r="E295" s="41"/>
      <c r="F295" s="41"/>
      <c r="G295" s="41"/>
      <c r="H295" s="231"/>
      <c r="I295" s="41"/>
      <c r="J295" s="41"/>
      <c r="K295" s="41"/>
      <c r="L295" s="41"/>
      <c r="M295" s="41"/>
      <c r="N295" s="41"/>
      <c r="O295" s="41"/>
      <c r="P295" s="41"/>
      <c r="Q295" s="41"/>
    </row>
    <row r="296" spans="2:17">
      <c r="B296" s="41"/>
      <c r="C296" s="41"/>
      <c r="D296" s="41"/>
      <c r="E296" s="41"/>
      <c r="F296" s="41"/>
      <c r="G296" s="41"/>
      <c r="H296" s="231"/>
      <c r="I296" s="41"/>
      <c r="J296" s="41"/>
      <c r="K296" s="41"/>
      <c r="L296" s="41"/>
      <c r="M296" s="41"/>
      <c r="N296" s="41"/>
      <c r="O296" s="41"/>
      <c r="P296" s="41"/>
      <c r="Q296" s="41"/>
    </row>
    <row r="297" spans="2:17">
      <c r="B297" s="41"/>
      <c r="C297" s="41"/>
      <c r="D297" s="41"/>
      <c r="E297" s="41"/>
      <c r="F297" s="41"/>
      <c r="G297" s="41"/>
      <c r="H297" s="231"/>
      <c r="I297" s="41"/>
      <c r="J297" s="41"/>
      <c r="K297" s="41"/>
      <c r="L297" s="41"/>
      <c r="M297" s="41"/>
      <c r="N297" s="41"/>
      <c r="O297" s="41"/>
      <c r="P297" s="41"/>
      <c r="Q297" s="41"/>
    </row>
    <row r="298" spans="2:17">
      <c r="B298" s="41"/>
      <c r="C298" s="41"/>
      <c r="D298" s="41"/>
      <c r="E298" s="41"/>
      <c r="F298" s="41"/>
      <c r="G298" s="41"/>
      <c r="H298" s="231"/>
      <c r="I298" s="41"/>
      <c r="J298" s="41"/>
      <c r="K298" s="41"/>
      <c r="L298" s="41"/>
      <c r="M298" s="41"/>
      <c r="N298" s="41"/>
      <c r="O298" s="41"/>
      <c r="P298" s="41"/>
      <c r="Q298" s="41"/>
    </row>
    <row r="299" spans="2:17">
      <c r="B299" s="41"/>
      <c r="C299" s="41"/>
      <c r="D299" s="41"/>
      <c r="E299" s="41"/>
      <c r="F299" s="41"/>
      <c r="G299" s="41"/>
      <c r="H299" s="231"/>
      <c r="I299" s="41"/>
      <c r="J299" s="41"/>
      <c r="K299" s="41"/>
      <c r="L299" s="41"/>
      <c r="M299" s="41"/>
      <c r="N299" s="41"/>
      <c r="O299" s="41"/>
      <c r="P299" s="41"/>
      <c r="Q299" s="41"/>
    </row>
    <row r="300" spans="2:17">
      <c r="B300" s="41"/>
      <c r="C300" s="41"/>
      <c r="D300" s="41"/>
      <c r="E300" s="41"/>
      <c r="F300" s="41"/>
      <c r="G300" s="41"/>
      <c r="H300" s="231"/>
      <c r="I300" s="41"/>
      <c r="J300" s="41"/>
      <c r="K300" s="41"/>
      <c r="L300" s="41"/>
      <c r="M300" s="41"/>
      <c r="N300" s="41"/>
      <c r="O300" s="41"/>
      <c r="P300" s="41"/>
      <c r="Q300" s="41"/>
    </row>
    <row r="301" spans="2:17">
      <c r="B301" s="41"/>
      <c r="C301" s="41"/>
      <c r="D301" s="41"/>
      <c r="E301" s="41"/>
      <c r="F301" s="41"/>
      <c r="G301" s="41"/>
      <c r="H301" s="231"/>
      <c r="I301" s="41"/>
      <c r="J301" s="41"/>
      <c r="K301" s="41"/>
      <c r="L301" s="41"/>
      <c r="M301" s="41"/>
      <c r="N301" s="41"/>
      <c r="O301" s="41"/>
      <c r="P301" s="41"/>
      <c r="Q301" s="41"/>
    </row>
    <row r="302" spans="2:17">
      <c r="B302" s="41"/>
      <c r="C302" s="41"/>
      <c r="D302" s="41"/>
      <c r="E302" s="41"/>
      <c r="F302" s="41"/>
      <c r="G302" s="41"/>
      <c r="H302" s="231"/>
      <c r="I302" s="41"/>
      <c r="J302" s="41"/>
      <c r="K302" s="41"/>
      <c r="L302" s="41"/>
      <c r="M302" s="41"/>
      <c r="N302" s="41"/>
      <c r="O302" s="41"/>
      <c r="P302" s="41"/>
      <c r="Q302" s="41"/>
    </row>
    <row r="303" spans="2:17">
      <c r="B303" s="41"/>
      <c r="C303" s="41"/>
      <c r="D303" s="41"/>
      <c r="E303" s="41"/>
      <c r="F303" s="41"/>
      <c r="G303" s="41"/>
      <c r="H303" s="231"/>
      <c r="I303" s="41"/>
      <c r="J303" s="41"/>
      <c r="K303" s="41"/>
      <c r="L303" s="41"/>
      <c r="M303" s="41"/>
      <c r="N303" s="41"/>
      <c r="O303" s="41"/>
      <c r="P303" s="41"/>
      <c r="Q303" s="41"/>
    </row>
    <row r="304" spans="2:17">
      <c r="B304" s="41"/>
      <c r="C304" s="41"/>
      <c r="D304" s="41"/>
      <c r="E304" s="41"/>
      <c r="F304" s="41"/>
      <c r="G304" s="41"/>
      <c r="H304" s="231"/>
      <c r="I304" s="41"/>
      <c r="J304" s="41"/>
      <c r="K304" s="41"/>
      <c r="L304" s="41"/>
      <c r="M304" s="41"/>
      <c r="N304" s="41"/>
      <c r="O304" s="41"/>
      <c r="P304" s="41"/>
      <c r="Q304" s="41"/>
    </row>
    <row r="305" spans="2:17">
      <c r="B305" s="41"/>
      <c r="C305" s="41"/>
      <c r="D305" s="41"/>
      <c r="E305" s="41"/>
      <c r="F305" s="41"/>
      <c r="G305" s="41"/>
      <c r="H305" s="231"/>
      <c r="I305" s="41"/>
      <c r="J305" s="41"/>
      <c r="K305" s="41"/>
      <c r="L305" s="41"/>
      <c r="M305" s="41"/>
      <c r="N305" s="41"/>
      <c r="O305" s="41"/>
      <c r="P305" s="41"/>
      <c r="Q305" s="41"/>
    </row>
    <row r="306" spans="2:17">
      <c r="B306" s="41"/>
      <c r="C306" s="41"/>
      <c r="D306" s="41"/>
      <c r="E306" s="41"/>
      <c r="F306" s="41"/>
      <c r="G306" s="41"/>
      <c r="H306" s="231"/>
      <c r="I306" s="41"/>
      <c r="J306" s="41"/>
      <c r="K306" s="41"/>
      <c r="L306" s="41"/>
      <c r="M306" s="41"/>
      <c r="N306" s="41"/>
      <c r="O306" s="41"/>
      <c r="P306" s="41"/>
      <c r="Q306" s="41"/>
    </row>
    <row r="307" spans="2:17">
      <c r="B307" s="41"/>
      <c r="C307" s="41"/>
      <c r="D307" s="41"/>
      <c r="E307" s="41"/>
      <c r="F307" s="41"/>
      <c r="G307" s="41"/>
      <c r="H307" s="231"/>
      <c r="I307" s="41"/>
      <c r="J307" s="41"/>
      <c r="K307" s="41"/>
      <c r="L307" s="41"/>
      <c r="M307" s="41"/>
      <c r="N307" s="41"/>
      <c r="O307" s="41"/>
      <c r="P307" s="41"/>
      <c r="Q307" s="41"/>
    </row>
    <row r="308" spans="2:17">
      <c r="B308" s="41"/>
      <c r="C308" s="41"/>
      <c r="D308" s="41"/>
      <c r="E308" s="41"/>
      <c r="F308" s="41"/>
      <c r="G308" s="41"/>
      <c r="H308" s="231"/>
      <c r="I308" s="41"/>
      <c r="J308" s="41"/>
      <c r="K308" s="41"/>
      <c r="L308" s="41"/>
      <c r="M308" s="41"/>
      <c r="N308" s="41"/>
      <c r="O308" s="41"/>
      <c r="P308" s="41"/>
      <c r="Q308" s="41"/>
    </row>
    <row r="309" spans="2:17">
      <c r="B309" s="41"/>
      <c r="C309" s="41"/>
      <c r="D309" s="41"/>
      <c r="E309" s="41"/>
      <c r="F309" s="41"/>
      <c r="G309" s="41"/>
      <c r="H309" s="231"/>
      <c r="I309" s="41"/>
      <c r="J309" s="41"/>
      <c r="K309" s="41"/>
      <c r="L309" s="41"/>
      <c r="M309" s="41"/>
      <c r="N309" s="41"/>
      <c r="O309" s="41"/>
      <c r="P309" s="41"/>
      <c r="Q309" s="41"/>
    </row>
    <row r="310" spans="2:17">
      <c r="B310" s="41"/>
      <c r="C310" s="41"/>
      <c r="D310" s="41"/>
      <c r="E310" s="41"/>
      <c r="F310" s="41"/>
      <c r="G310" s="41"/>
      <c r="H310" s="231"/>
      <c r="I310" s="41"/>
      <c r="J310" s="41"/>
      <c r="K310" s="41"/>
      <c r="L310" s="41"/>
      <c r="M310" s="41"/>
      <c r="N310" s="41"/>
      <c r="O310" s="41"/>
      <c r="P310" s="41"/>
      <c r="Q310" s="41"/>
    </row>
    <row r="311" spans="2:17">
      <c r="B311" s="41"/>
      <c r="C311" s="41"/>
      <c r="D311" s="41"/>
      <c r="E311" s="41"/>
      <c r="F311" s="41"/>
      <c r="G311" s="41"/>
      <c r="H311" s="231"/>
      <c r="I311" s="41"/>
      <c r="J311" s="41"/>
      <c r="K311" s="41"/>
      <c r="L311" s="41"/>
      <c r="M311" s="41"/>
      <c r="N311" s="41"/>
      <c r="O311" s="41"/>
      <c r="P311" s="41"/>
      <c r="Q311" s="41"/>
    </row>
    <row r="312" spans="2:17">
      <c r="B312" s="41"/>
      <c r="C312" s="41"/>
      <c r="D312" s="41"/>
      <c r="E312" s="41"/>
      <c r="F312" s="41"/>
      <c r="G312" s="41"/>
      <c r="H312" s="231"/>
      <c r="I312" s="41"/>
      <c r="J312" s="41"/>
      <c r="K312" s="41"/>
      <c r="L312" s="41"/>
      <c r="M312" s="41"/>
      <c r="N312" s="41"/>
      <c r="O312" s="41"/>
      <c r="P312" s="41"/>
      <c r="Q312" s="41"/>
    </row>
    <row r="313" spans="2:17">
      <c r="B313" s="41"/>
      <c r="C313" s="41"/>
      <c r="D313" s="41"/>
      <c r="E313" s="41"/>
      <c r="F313" s="41"/>
      <c r="G313" s="41"/>
      <c r="H313" s="231"/>
      <c r="I313" s="41"/>
      <c r="J313" s="41"/>
      <c r="K313" s="41"/>
      <c r="L313" s="41"/>
      <c r="M313" s="41"/>
      <c r="N313" s="41"/>
      <c r="O313" s="41"/>
      <c r="P313" s="41"/>
      <c r="Q313" s="41"/>
    </row>
    <row r="314" spans="2:17">
      <c r="B314" s="41"/>
      <c r="C314" s="41"/>
      <c r="D314" s="41"/>
      <c r="E314" s="41"/>
      <c r="F314" s="41"/>
      <c r="G314" s="41"/>
      <c r="H314" s="231"/>
      <c r="I314" s="41"/>
      <c r="J314" s="41"/>
      <c r="K314" s="41"/>
      <c r="L314" s="41"/>
      <c r="M314" s="41"/>
      <c r="N314" s="41"/>
      <c r="O314" s="41"/>
      <c r="P314" s="41"/>
      <c r="Q314" s="41"/>
    </row>
    <row r="315" spans="2:17">
      <c r="B315" s="41"/>
      <c r="C315" s="41"/>
      <c r="D315" s="41"/>
      <c r="E315" s="41"/>
      <c r="F315" s="41"/>
      <c r="G315" s="41"/>
      <c r="H315" s="231"/>
      <c r="I315" s="41"/>
      <c r="J315" s="41"/>
      <c r="K315" s="41"/>
      <c r="L315" s="41"/>
      <c r="M315" s="41"/>
      <c r="N315" s="41"/>
      <c r="O315" s="41"/>
      <c r="P315" s="41"/>
      <c r="Q315" s="41"/>
    </row>
    <row r="316" spans="2:17">
      <c r="B316" s="41"/>
      <c r="C316" s="41"/>
      <c r="D316" s="41"/>
      <c r="E316" s="41"/>
      <c r="F316" s="41"/>
      <c r="G316" s="41"/>
      <c r="H316" s="231"/>
      <c r="I316" s="41"/>
      <c r="J316" s="41"/>
      <c r="K316" s="41"/>
      <c r="L316" s="41"/>
      <c r="M316" s="41"/>
      <c r="N316" s="41"/>
      <c r="O316" s="41"/>
      <c r="P316" s="41"/>
      <c r="Q316" s="41"/>
    </row>
    <row r="317" spans="2:17">
      <c r="B317" s="41"/>
      <c r="C317" s="41"/>
      <c r="D317" s="41"/>
      <c r="E317" s="41"/>
      <c r="F317" s="41"/>
      <c r="G317" s="41"/>
      <c r="H317" s="231"/>
      <c r="I317" s="41"/>
      <c r="J317" s="41"/>
      <c r="K317" s="41"/>
      <c r="L317" s="41"/>
      <c r="M317" s="41"/>
      <c r="N317" s="41"/>
      <c r="O317" s="41"/>
      <c r="P317" s="41"/>
      <c r="Q317" s="41"/>
    </row>
    <row r="318" spans="2:17">
      <c r="B318" s="41"/>
      <c r="C318" s="41"/>
      <c r="D318" s="41"/>
      <c r="E318" s="41"/>
      <c r="F318" s="41"/>
      <c r="G318" s="41"/>
      <c r="H318" s="231"/>
      <c r="I318" s="41"/>
      <c r="J318" s="41"/>
      <c r="K318" s="41"/>
      <c r="L318" s="41"/>
      <c r="M318" s="41"/>
      <c r="N318" s="41"/>
      <c r="O318" s="41"/>
      <c r="P318" s="41"/>
      <c r="Q318" s="41"/>
    </row>
    <row r="319" spans="2:17">
      <c r="B319" s="41"/>
      <c r="C319" s="41"/>
      <c r="D319" s="41"/>
      <c r="E319" s="41"/>
      <c r="F319" s="41"/>
      <c r="G319" s="41"/>
      <c r="H319" s="231"/>
      <c r="I319" s="41"/>
      <c r="J319" s="41"/>
      <c r="K319" s="41"/>
      <c r="L319" s="41"/>
      <c r="M319" s="41"/>
      <c r="N319" s="41"/>
      <c r="O319" s="41"/>
      <c r="P319" s="41"/>
      <c r="Q319" s="41"/>
    </row>
    <row r="320" spans="2:17">
      <c r="B320" s="41"/>
      <c r="C320" s="41"/>
      <c r="D320" s="41"/>
      <c r="E320" s="41"/>
      <c r="F320" s="41"/>
      <c r="G320" s="41"/>
      <c r="H320" s="231"/>
      <c r="I320" s="41"/>
      <c r="J320" s="41"/>
      <c r="K320" s="41"/>
      <c r="L320" s="41"/>
      <c r="M320" s="41"/>
      <c r="N320" s="41"/>
      <c r="O320" s="41"/>
      <c r="P320" s="41"/>
      <c r="Q320" s="41"/>
    </row>
    <row r="321" spans="2:17">
      <c r="B321" s="41"/>
      <c r="C321" s="41"/>
      <c r="D321" s="41"/>
      <c r="E321" s="41"/>
      <c r="F321" s="41"/>
      <c r="G321" s="41"/>
      <c r="H321" s="231"/>
      <c r="I321" s="41"/>
      <c r="J321" s="41"/>
      <c r="K321" s="41"/>
      <c r="L321" s="41"/>
      <c r="M321" s="41"/>
      <c r="N321" s="41"/>
      <c r="O321" s="41"/>
      <c r="P321" s="41"/>
      <c r="Q321" s="41"/>
    </row>
    <row r="322" spans="2:17">
      <c r="B322" s="41"/>
      <c r="C322" s="41"/>
      <c r="D322" s="41"/>
      <c r="E322" s="41"/>
      <c r="F322" s="41"/>
      <c r="G322" s="41"/>
      <c r="H322" s="231"/>
      <c r="I322" s="41"/>
      <c r="J322" s="41"/>
      <c r="K322" s="41"/>
      <c r="L322" s="41"/>
      <c r="M322" s="41"/>
      <c r="N322" s="41"/>
      <c r="O322" s="41"/>
      <c r="P322" s="41"/>
      <c r="Q322" s="41"/>
    </row>
    <row r="323" spans="2:17">
      <c r="B323" s="41"/>
      <c r="C323" s="41"/>
      <c r="D323" s="41"/>
      <c r="E323" s="41"/>
      <c r="F323" s="41"/>
      <c r="G323" s="41"/>
      <c r="H323" s="231"/>
      <c r="I323" s="41"/>
      <c r="J323" s="41"/>
      <c r="K323" s="41"/>
      <c r="L323" s="41"/>
      <c r="M323" s="41"/>
      <c r="N323" s="41"/>
      <c r="O323" s="41"/>
      <c r="P323" s="41"/>
      <c r="Q323" s="41"/>
    </row>
    <row r="324" spans="2:17">
      <c r="B324" s="41"/>
      <c r="C324" s="41"/>
      <c r="D324" s="41"/>
      <c r="E324" s="41"/>
      <c r="F324" s="41"/>
      <c r="G324" s="41"/>
      <c r="H324" s="231"/>
      <c r="I324" s="41"/>
      <c r="J324" s="41"/>
      <c r="K324" s="41"/>
      <c r="L324" s="41"/>
      <c r="M324" s="41"/>
      <c r="N324" s="41"/>
      <c r="O324" s="41"/>
      <c r="P324" s="41"/>
      <c r="Q324" s="41"/>
    </row>
    <row r="325" spans="2:17">
      <c r="B325" s="41"/>
      <c r="C325" s="41"/>
      <c r="D325" s="41"/>
      <c r="E325" s="41"/>
      <c r="F325" s="41"/>
      <c r="G325" s="41"/>
      <c r="H325" s="231"/>
      <c r="I325" s="41"/>
      <c r="J325" s="41"/>
      <c r="K325" s="41"/>
      <c r="L325" s="41"/>
      <c r="M325" s="41"/>
      <c r="N325" s="41"/>
      <c r="O325" s="41"/>
      <c r="P325" s="41"/>
      <c r="Q325" s="41"/>
    </row>
    <row r="326" spans="2:17">
      <c r="B326" s="41"/>
      <c r="C326" s="41"/>
      <c r="D326" s="41"/>
      <c r="E326" s="41"/>
      <c r="F326" s="41"/>
      <c r="G326" s="41"/>
      <c r="H326" s="231"/>
      <c r="I326" s="41"/>
      <c r="J326" s="41"/>
      <c r="K326" s="41"/>
      <c r="L326" s="41"/>
      <c r="M326" s="41"/>
      <c r="N326" s="41"/>
      <c r="O326" s="41"/>
      <c r="P326" s="41"/>
      <c r="Q326" s="41"/>
    </row>
    <row r="327" spans="2:17">
      <c r="B327" s="41"/>
      <c r="C327" s="41"/>
      <c r="D327" s="41"/>
      <c r="E327" s="41"/>
      <c r="F327" s="41"/>
      <c r="G327" s="41"/>
      <c r="H327" s="231"/>
      <c r="I327" s="41"/>
      <c r="J327" s="41"/>
      <c r="K327" s="41"/>
      <c r="L327" s="41"/>
      <c r="M327" s="41"/>
      <c r="N327" s="41"/>
      <c r="O327" s="41"/>
      <c r="P327" s="41"/>
      <c r="Q327" s="41"/>
    </row>
    <row r="328" spans="2:17">
      <c r="B328" s="41"/>
      <c r="C328" s="41"/>
      <c r="D328" s="41"/>
      <c r="E328" s="41"/>
      <c r="F328" s="41"/>
      <c r="G328" s="41"/>
      <c r="H328" s="231"/>
      <c r="I328" s="41"/>
      <c r="J328" s="41"/>
      <c r="K328" s="41"/>
      <c r="L328" s="41"/>
      <c r="M328" s="41"/>
      <c r="N328" s="41"/>
      <c r="O328" s="41"/>
      <c r="P328" s="41"/>
      <c r="Q328" s="41"/>
    </row>
    <row r="329" spans="2:17">
      <c r="B329" s="41"/>
      <c r="C329" s="41"/>
      <c r="D329" s="41"/>
      <c r="E329" s="41"/>
      <c r="F329" s="41"/>
      <c r="G329" s="41"/>
      <c r="H329" s="231"/>
      <c r="I329" s="41"/>
      <c r="J329" s="41"/>
      <c r="K329" s="41"/>
      <c r="L329" s="41"/>
      <c r="M329" s="41"/>
      <c r="N329" s="41"/>
      <c r="O329" s="41"/>
      <c r="P329" s="41"/>
      <c r="Q329" s="41"/>
    </row>
    <row r="330" spans="2:17">
      <c r="B330" s="41"/>
      <c r="C330" s="41"/>
      <c r="D330" s="41"/>
      <c r="E330" s="41"/>
      <c r="F330" s="41"/>
      <c r="G330" s="41"/>
      <c r="H330" s="231"/>
      <c r="I330" s="41"/>
      <c r="J330" s="41"/>
      <c r="K330" s="41"/>
      <c r="L330" s="41"/>
      <c r="M330" s="41"/>
      <c r="N330" s="41"/>
      <c r="O330" s="41"/>
      <c r="P330" s="41"/>
      <c r="Q330" s="41"/>
    </row>
    <row r="331" spans="2:17">
      <c r="B331" s="41"/>
      <c r="C331" s="41"/>
      <c r="D331" s="41"/>
      <c r="E331" s="41"/>
      <c r="F331" s="41"/>
      <c r="G331" s="41"/>
      <c r="H331" s="231"/>
      <c r="I331" s="41"/>
      <c r="J331" s="41"/>
      <c r="K331" s="41"/>
      <c r="L331" s="41"/>
      <c r="M331" s="41"/>
      <c r="N331" s="41"/>
      <c r="O331" s="41"/>
      <c r="P331" s="41"/>
      <c r="Q331" s="41"/>
    </row>
    <row r="332" spans="2:17">
      <c r="B332" s="41"/>
      <c r="C332" s="41"/>
      <c r="D332" s="41"/>
      <c r="E332" s="41"/>
      <c r="F332" s="41"/>
      <c r="G332" s="41"/>
      <c r="H332" s="231"/>
      <c r="I332" s="41"/>
      <c r="J332" s="41"/>
      <c r="K332" s="41"/>
      <c r="L332" s="41"/>
      <c r="M332" s="41"/>
      <c r="N332" s="41"/>
      <c r="O332" s="41"/>
      <c r="P332" s="41"/>
      <c r="Q332" s="41"/>
    </row>
    <row r="333" spans="2:17">
      <c r="B333" s="41"/>
      <c r="C333" s="41"/>
      <c r="D333" s="41"/>
      <c r="E333" s="41"/>
      <c r="F333" s="41"/>
      <c r="G333" s="41"/>
      <c r="H333" s="231"/>
      <c r="I333" s="41"/>
      <c r="J333" s="41"/>
      <c r="K333" s="41"/>
      <c r="L333" s="41"/>
      <c r="M333" s="41"/>
      <c r="N333" s="41"/>
      <c r="O333" s="41"/>
      <c r="P333" s="41"/>
      <c r="Q333" s="41"/>
    </row>
    <row r="334" spans="2:17">
      <c r="B334" s="41"/>
      <c r="C334" s="41"/>
      <c r="D334" s="41"/>
      <c r="E334" s="41"/>
      <c r="F334" s="41"/>
      <c r="G334" s="41"/>
      <c r="H334" s="231"/>
      <c r="I334" s="41"/>
      <c r="J334" s="41"/>
      <c r="K334" s="41"/>
      <c r="L334" s="41"/>
      <c r="M334" s="41"/>
      <c r="N334" s="41"/>
      <c r="O334" s="41"/>
      <c r="P334" s="41"/>
      <c r="Q334" s="41"/>
    </row>
    <row r="335" spans="2:17">
      <c r="B335" s="41"/>
      <c r="C335" s="41"/>
      <c r="D335" s="41"/>
      <c r="E335" s="41"/>
      <c r="F335" s="41"/>
      <c r="G335" s="41"/>
      <c r="H335" s="231"/>
      <c r="I335" s="41"/>
      <c r="J335" s="41"/>
      <c r="K335" s="41"/>
      <c r="L335" s="41"/>
      <c r="M335" s="41"/>
      <c r="N335" s="41"/>
      <c r="O335" s="41"/>
      <c r="P335" s="41"/>
      <c r="Q335" s="41"/>
    </row>
    <row r="336" spans="2:17">
      <c r="B336" s="41"/>
      <c r="C336" s="41"/>
      <c r="D336" s="41"/>
      <c r="E336" s="41"/>
      <c r="F336" s="41"/>
      <c r="G336" s="41"/>
      <c r="H336" s="231"/>
      <c r="I336" s="41"/>
      <c r="J336" s="41"/>
      <c r="K336" s="41"/>
      <c r="L336" s="41"/>
      <c r="M336" s="41"/>
      <c r="N336" s="41"/>
      <c r="O336" s="41"/>
      <c r="P336" s="41"/>
      <c r="Q336" s="41"/>
    </row>
    <row r="337" spans="2:17">
      <c r="B337" s="41"/>
      <c r="C337" s="41"/>
      <c r="D337" s="41"/>
      <c r="E337" s="41"/>
      <c r="F337" s="41"/>
      <c r="G337" s="41"/>
      <c r="H337" s="231"/>
      <c r="I337" s="41"/>
      <c r="J337" s="41"/>
      <c r="K337" s="41"/>
      <c r="L337" s="41"/>
      <c r="M337" s="41"/>
      <c r="N337" s="41"/>
      <c r="O337" s="41"/>
      <c r="P337" s="41"/>
      <c r="Q337" s="41"/>
    </row>
    <row r="338" spans="2:17">
      <c r="B338" s="41"/>
      <c r="C338" s="41"/>
      <c r="D338" s="41"/>
      <c r="E338" s="41"/>
      <c r="F338" s="41"/>
      <c r="G338" s="41"/>
      <c r="H338" s="231"/>
      <c r="I338" s="41"/>
      <c r="J338" s="41"/>
      <c r="K338" s="41"/>
      <c r="L338" s="41"/>
      <c r="M338" s="41"/>
      <c r="N338" s="41"/>
      <c r="O338" s="41"/>
      <c r="P338" s="41"/>
      <c r="Q338" s="41"/>
    </row>
    <row r="339" spans="2:17">
      <c r="B339" s="41"/>
      <c r="C339" s="41"/>
      <c r="D339" s="41"/>
      <c r="E339" s="41"/>
      <c r="F339" s="41"/>
      <c r="G339" s="41"/>
      <c r="H339" s="231"/>
      <c r="I339" s="41"/>
      <c r="J339" s="41"/>
      <c r="K339" s="41"/>
      <c r="L339" s="41"/>
      <c r="M339" s="41"/>
      <c r="N339" s="41"/>
      <c r="O339" s="41"/>
      <c r="P339" s="41"/>
      <c r="Q339" s="41"/>
    </row>
    <row r="340" spans="2:17">
      <c r="B340" s="41"/>
      <c r="C340" s="41"/>
      <c r="D340" s="41"/>
      <c r="E340" s="41"/>
      <c r="F340" s="41"/>
      <c r="G340" s="41"/>
      <c r="H340" s="231"/>
      <c r="I340" s="41"/>
      <c r="J340" s="41"/>
      <c r="K340" s="41"/>
      <c r="L340" s="41"/>
      <c r="M340" s="41"/>
      <c r="N340" s="41"/>
      <c r="O340" s="41"/>
      <c r="P340" s="41"/>
      <c r="Q340" s="41"/>
    </row>
    <row r="341" spans="2:17">
      <c r="B341" s="41"/>
      <c r="C341" s="41"/>
      <c r="D341" s="41"/>
      <c r="E341" s="41"/>
      <c r="F341" s="41"/>
      <c r="G341" s="41"/>
      <c r="H341" s="231"/>
      <c r="I341" s="41"/>
      <c r="J341" s="41"/>
      <c r="K341" s="41"/>
      <c r="L341" s="41"/>
      <c r="M341" s="41"/>
      <c r="N341" s="41"/>
      <c r="O341" s="41"/>
      <c r="P341" s="41"/>
      <c r="Q341" s="41"/>
    </row>
    <row r="342" spans="2:17">
      <c r="B342" s="41"/>
      <c r="C342" s="41"/>
      <c r="D342" s="41"/>
      <c r="E342" s="41"/>
      <c r="F342" s="41"/>
      <c r="G342" s="41"/>
      <c r="H342" s="231"/>
      <c r="I342" s="41"/>
      <c r="J342" s="41"/>
      <c r="K342" s="41"/>
      <c r="L342" s="41"/>
      <c r="M342" s="41"/>
      <c r="N342" s="41"/>
      <c r="O342" s="41"/>
      <c r="P342" s="41"/>
      <c r="Q342" s="41"/>
    </row>
    <row r="343" spans="2:17">
      <c r="B343" s="41"/>
      <c r="C343" s="41"/>
      <c r="D343" s="41"/>
      <c r="E343" s="41"/>
      <c r="F343" s="41"/>
      <c r="G343" s="41"/>
      <c r="H343" s="231"/>
      <c r="I343" s="41"/>
      <c r="J343" s="41"/>
      <c r="K343" s="41"/>
      <c r="L343" s="41"/>
      <c r="M343" s="41"/>
      <c r="N343" s="41"/>
      <c r="O343" s="41"/>
      <c r="P343" s="41"/>
      <c r="Q343" s="41"/>
    </row>
    <row r="344" spans="2:17">
      <c r="B344" s="41"/>
      <c r="C344" s="41"/>
      <c r="D344" s="41"/>
      <c r="E344" s="41"/>
      <c r="F344" s="41"/>
      <c r="G344" s="41"/>
      <c r="H344" s="231"/>
      <c r="I344" s="41"/>
      <c r="J344" s="41"/>
      <c r="K344" s="41"/>
      <c r="L344" s="41"/>
      <c r="M344" s="41"/>
      <c r="N344" s="41"/>
      <c r="O344" s="41"/>
      <c r="P344" s="41"/>
      <c r="Q344" s="41"/>
    </row>
    <row r="345" spans="2:17">
      <c r="B345" s="41"/>
      <c r="C345" s="41"/>
      <c r="D345" s="41"/>
      <c r="E345" s="41"/>
      <c r="F345" s="41"/>
      <c r="G345" s="41"/>
      <c r="H345" s="231"/>
      <c r="I345" s="41"/>
      <c r="J345" s="41"/>
      <c r="K345" s="41"/>
      <c r="L345" s="41"/>
      <c r="M345" s="41"/>
      <c r="N345" s="41"/>
      <c r="O345" s="41"/>
      <c r="P345" s="41"/>
      <c r="Q345" s="41"/>
    </row>
    <row r="346" spans="2:17">
      <c r="B346" s="41"/>
      <c r="C346" s="41"/>
      <c r="D346" s="41"/>
      <c r="E346" s="41"/>
      <c r="F346" s="41"/>
      <c r="G346" s="41"/>
      <c r="H346" s="231"/>
      <c r="I346" s="41"/>
      <c r="J346" s="41"/>
      <c r="K346" s="41"/>
      <c r="L346" s="41"/>
      <c r="M346" s="41"/>
      <c r="N346" s="41"/>
      <c r="O346" s="41"/>
      <c r="P346" s="41"/>
      <c r="Q346" s="41"/>
    </row>
    <row r="347" spans="2:17">
      <c r="B347" s="41"/>
      <c r="C347" s="41"/>
      <c r="D347" s="41"/>
      <c r="E347" s="41"/>
      <c r="F347" s="41"/>
      <c r="G347" s="41"/>
      <c r="H347" s="231"/>
      <c r="I347" s="41"/>
      <c r="J347" s="41"/>
      <c r="K347" s="41"/>
      <c r="L347" s="41"/>
      <c r="M347" s="41"/>
      <c r="N347" s="41"/>
      <c r="O347" s="41"/>
      <c r="P347" s="41"/>
      <c r="Q347" s="41"/>
    </row>
    <row r="348" spans="2:17">
      <c r="B348" s="41"/>
      <c r="C348" s="41"/>
      <c r="D348" s="41"/>
      <c r="E348" s="41"/>
      <c r="F348" s="41"/>
      <c r="G348" s="41"/>
      <c r="H348" s="231"/>
      <c r="I348" s="41"/>
      <c r="J348" s="41"/>
      <c r="K348" s="41"/>
      <c r="L348" s="41"/>
      <c r="M348" s="41"/>
      <c r="N348" s="41"/>
      <c r="O348" s="41"/>
      <c r="P348" s="41"/>
      <c r="Q348" s="41"/>
    </row>
    <row r="349" spans="2:17">
      <c r="B349" s="41"/>
      <c r="C349" s="41"/>
      <c r="D349" s="41"/>
      <c r="E349" s="41"/>
      <c r="F349" s="41"/>
      <c r="G349" s="41"/>
      <c r="H349" s="231"/>
      <c r="I349" s="41"/>
      <c r="J349" s="41"/>
      <c r="K349" s="41"/>
      <c r="L349" s="41"/>
      <c r="M349" s="41"/>
      <c r="N349" s="41"/>
      <c r="O349" s="41"/>
      <c r="P349" s="41"/>
      <c r="Q349" s="41"/>
    </row>
    <row r="350" spans="2:17">
      <c r="B350" s="41"/>
      <c r="C350" s="41"/>
      <c r="D350" s="41"/>
      <c r="E350" s="41"/>
      <c r="F350" s="41"/>
      <c r="G350" s="41"/>
      <c r="H350" s="231"/>
      <c r="I350" s="41"/>
      <c r="J350" s="41"/>
      <c r="K350" s="41"/>
      <c r="L350" s="41"/>
      <c r="M350" s="41"/>
      <c r="N350" s="41"/>
      <c r="O350" s="41"/>
      <c r="P350" s="41"/>
      <c r="Q350" s="41"/>
    </row>
    <row r="351" spans="2:17">
      <c r="B351" s="41"/>
      <c r="C351" s="41"/>
      <c r="D351" s="41"/>
      <c r="E351" s="41"/>
      <c r="F351" s="41"/>
      <c r="G351" s="41"/>
      <c r="H351" s="231"/>
      <c r="I351" s="41"/>
      <c r="J351" s="41"/>
      <c r="K351" s="41"/>
      <c r="L351" s="41"/>
      <c r="M351" s="41"/>
      <c r="N351" s="41"/>
      <c r="O351" s="41"/>
      <c r="P351" s="41"/>
      <c r="Q351" s="41"/>
    </row>
    <row r="352" spans="2:17">
      <c r="B352" s="41"/>
      <c r="C352" s="41"/>
      <c r="D352" s="41"/>
      <c r="E352" s="41"/>
      <c r="F352" s="41"/>
      <c r="G352" s="41"/>
      <c r="H352" s="231"/>
      <c r="I352" s="41"/>
      <c r="J352" s="41"/>
      <c r="K352" s="41"/>
      <c r="L352" s="41"/>
      <c r="M352" s="41"/>
      <c r="N352" s="41"/>
      <c r="O352" s="41"/>
      <c r="P352" s="41"/>
      <c r="Q352" s="41"/>
    </row>
    <row r="353" spans="2:17">
      <c r="B353" s="41"/>
      <c r="C353" s="41"/>
      <c r="D353" s="41"/>
      <c r="E353" s="41"/>
      <c r="F353" s="41"/>
      <c r="G353" s="41"/>
      <c r="H353" s="231"/>
      <c r="I353" s="41"/>
      <c r="J353" s="41"/>
      <c r="K353" s="41"/>
      <c r="L353" s="41"/>
      <c r="M353" s="41"/>
      <c r="N353" s="41"/>
      <c r="O353" s="41"/>
      <c r="P353" s="41"/>
      <c r="Q353" s="41"/>
    </row>
    <row r="354" spans="2:17">
      <c r="B354" s="41"/>
      <c r="C354" s="41"/>
      <c r="D354" s="41"/>
      <c r="E354" s="41"/>
      <c r="F354" s="41"/>
      <c r="G354" s="41"/>
      <c r="H354" s="231"/>
      <c r="I354" s="41"/>
      <c r="J354" s="41"/>
      <c r="K354" s="41"/>
      <c r="L354" s="41"/>
      <c r="M354" s="41"/>
      <c r="N354" s="41"/>
      <c r="O354" s="41"/>
      <c r="P354" s="41"/>
      <c r="Q354" s="41"/>
    </row>
    <row r="355" spans="2:17">
      <c r="B355" s="41"/>
      <c r="C355" s="41"/>
      <c r="D355" s="41"/>
      <c r="E355" s="41"/>
      <c r="F355" s="41"/>
      <c r="G355" s="41"/>
      <c r="H355" s="231"/>
      <c r="I355" s="41"/>
      <c r="J355" s="41"/>
      <c r="K355" s="41"/>
      <c r="L355" s="41"/>
      <c r="M355" s="41"/>
      <c r="N355" s="41"/>
      <c r="O355" s="41"/>
      <c r="P355" s="41"/>
      <c r="Q355" s="41"/>
    </row>
    <row r="356" spans="2:17">
      <c r="B356" s="41"/>
      <c r="C356" s="41"/>
      <c r="D356" s="41"/>
      <c r="E356" s="41"/>
      <c r="F356" s="41"/>
      <c r="G356" s="41"/>
      <c r="H356" s="231"/>
      <c r="I356" s="41"/>
      <c r="J356" s="41"/>
      <c r="K356" s="41"/>
      <c r="L356" s="41"/>
      <c r="M356" s="41"/>
      <c r="N356" s="41"/>
      <c r="O356" s="41"/>
      <c r="P356" s="41"/>
      <c r="Q356" s="41"/>
    </row>
    <row r="357" spans="2:17">
      <c r="B357" s="41"/>
      <c r="C357" s="41"/>
      <c r="D357" s="41"/>
      <c r="E357" s="41"/>
      <c r="F357" s="41"/>
      <c r="G357" s="41"/>
      <c r="H357" s="231"/>
      <c r="I357" s="41"/>
      <c r="J357" s="41"/>
      <c r="K357" s="41"/>
      <c r="L357" s="41"/>
      <c r="M357" s="41"/>
      <c r="N357" s="41"/>
      <c r="O357" s="41"/>
      <c r="P357" s="41"/>
      <c r="Q357" s="41"/>
    </row>
    <row r="358" spans="2:17">
      <c r="B358" s="41"/>
      <c r="C358" s="41"/>
      <c r="D358" s="41"/>
      <c r="E358" s="41"/>
      <c r="F358" s="41"/>
      <c r="G358" s="41"/>
      <c r="H358" s="231"/>
      <c r="I358" s="41"/>
      <c r="J358" s="41"/>
      <c r="K358" s="41"/>
      <c r="L358" s="41"/>
      <c r="M358" s="41"/>
      <c r="N358" s="41"/>
      <c r="O358" s="41"/>
      <c r="P358" s="41"/>
      <c r="Q358" s="41"/>
    </row>
    <row r="359" spans="2:17">
      <c r="B359" s="41"/>
      <c r="C359" s="41"/>
      <c r="D359" s="41"/>
      <c r="E359" s="41"/>
      <c r="F359" s="41"/>
      <c r="G359" s="41"/>
      <c r="H359" s="231"/>
      <c r="I359" s="41"/>
      <c r="J359" s="41"/>
      <c r="K359" s="41"/>
      <c r="L359" s="41"/>
      <c r="M359" s="41"/>
      <c r="N359" s="41"/>
      <c r="O359" s="41"/>
      <c r="P359" s="41"/>
      <c r="Q359" s="41"/>
    </row>
    <row r="360" spans="2:17">
      <c r="B360" s="41"/>
      <c r="C360" s="41"/>
      <c r="D360" s="41"/>
      <c r="E360" s="41"/>
      <c r="F360" s="41"/>
      <c r="G360" s="41"/>
      <c r="H360" s="231"/>
      <c r="I360" s="41"/>
      <c r="J360" s="41"/>
      <c r="K360" s="41"/>
      <c r="L360" s="41"/>
      <c r="M360" s="41"/>
      <c r="N360" s="41"/>
      <c r="O360" s="41"/>
      <c r="P360" s="41"/>
      <c r="Q360" s="41"/>
    </row>
    <row r="361" spans="2:17">
      <c r="B361" s="41"/>
      <c r="C361" s="41"/>
      <c r="D361" s="41"/>
      <c r="E361" s="41"/>
      <c r="F361" s="41"/>
      <c r="G361" s="41"/>
      <c r="H361" s="231"/>
      <c r="I361" s="41"/>
      <c r="J361" s="41"/>
      <c r="K361" s="41"/>
      <c r="L361" s="41"/>
      <c r="M361" s="41"/>
      <c r="N361" s="41"/>
      <c r="O361" s="41"/>
      <c r="P361" s="41"/>
      <c r="Q361" s="41"/>
    </row>
    <row r="362" spans="2:17">
      <c r="B362" s="41"/>
      <c r="C362" s="41"/>
      <c r="D362" s="41"/>
      <c r="E362" s="41"/>
      <c r="F362" s="41"/>
      <c r="G362" s="41"/>
      <c r="H362" s="231"/>
      <c r="I362" s="41"/>
      <c r="J362" s="41"/>
      <c r="K362" s="41"/>
      <c r="L362" s="41"/>
      <c r="M362" s="41"/>
      <c r="N362" s="41"/>
      <c r="O362" s="41"/>
      <c r="P362" s="41"/>
      <c r="Q362" s="41"/>
    </row>
    <row r="363" spans="2:17">
      <c r="B363" s="41"/>
      <c r="C363" s="41"/>
      <c r="D363" s="41"/>
      <c r="E363" s="41"/>
      <c r="F363" s="41"/>
      <c r="G363" s="41"/>
      <c r="H363" s="231"/>
      <c r="I363" s="41"/>
      <c r="J363" s="41"/>
      <c r="K363" s="41"/>
      <c r="L363" s="41"/>
      <c r="M363" s="41"/>
      <c r="N363" s="41"/>
      <c r="O363" s="41"/>
      <c r="P363" s="41"/>
      <c r="Q363" s="41"/>
    </row>
    <row r="364" spans="2:17">
      <c r="B364" s="41"/>
      <c r="C364" s="41"/>
      <c r="D364" s="41"/>
      <c r="E364" s="41"/>
      <c r="F364" s="41"/>
      <c r="G364" s="41"/>
      <c r="H364" s="231"/>
      <c r="I364" s="41"/>
      <c r="J364" s="41"/>
      <c r="K364" s="41"/>
      <c r="L364" s="41"/>
      <c r="M364" s="41"/>
      <c r="N364" s="41"/>
      <c r="O364" s="41"/>
      <c r="P364" s="41"/>
      <c r="Q364" s="41"/>
    </row>
    <row r="365" spans="2:17">
      <c r="B365" s="41"/>
      <c r="C365" s="41"/>
      <c r="D365" s="41"/>
      <c r="E365" s="41"/>
      <c r="F365" s="41"/>
      <c r="G365" s="41"/>
      <c r="H365" s="231"/>
      <c r="I365" s="41"/>
      <c r="J365" s="41"/>
      <c r="K365" s="41"/>
      <c r="L365" s="41"/>
      <c r="M365" s="41"/>
      <c r="N365" s="41"/>
      <c r="O365" s="41"/>
      <c r="P365" s="41"/>
      <c r="Q365" s="41"/>
    </row>
    <row r="366" spans="2:17">
      <c r="B366" s="41"/>
      <c r="C366" s="41"/>
      <c r="D366" s="41"/>
      <c r="E366" s="41"/>
      <c r="F366" s="41"/>
      <c r="G366" s="41"/>
      <c r="H366" s="231"/>
      <c r="I366" s="41"/>
      <c r="J366" s="41"/>
      <c r="K366" s="41"/>
      <c r="L366" s="41"/>
      <c r="M366" s="41"/>
      <c r="N366" s="41"/>
      <c r="O366" s="41"/>
      <c r="P366" s="41"/>
      <c r="Q366" s="41"/>
    </row>
    <row r="367" spans="2:17">
      <c r="B367" s="41"/>
      <c r="C367" s="41"/>
      <c r="D367" s="41"/>
      <c r="E367" s="41"/>
      <c r="F367" s="41"/>
      <c r="G367" s="41"/>
      <c r="H367" s="231"/>
      <c r="I367" s="41"/>
      <c r="J367" s="41"/>
      <c r="K367" s="41"/>
      <c r="L367" s="41"/>
      <c r="M367" s="41"/>
      <c r="N367" s="41"/>
      <c r="O367" s="41"/>
      <c r="P367" s="41"/>
      <c r="Q367" s="41"/>
    </row>
    <row r="368" spans="2:17">
      <c r="B368" s="41"/>
      <c r="C368" s="41"/>
      <c r="D368" s="41"/>
      <c r="E368" s="41"/>
      <c r="F368" s="41"/>
      <c r="G368" s="41"/>
      <c r="H368" s="231"/>
      <c r="I368" s="41"/>
      <c r="J368" s="41"/>
      <c r="K368" s="41"/>
      <c r="L368" s="41"/>
      <c r="M368" s="41"/>
      <c r="N368" s="41"/>
      <c r="O368" s="41"/>
      <c r="P368" s="41"/>
      <c r="Q368" s="41"/>
    </row>
    <row r="369" spans="2:17">
      <c r="B369" s="41"/>
      <c r="C369" s="41"/>
      <c r="D369" s="41"/>
      <c r="E369" s="41"/>
      <c r="F369" s="41"/>
      <c r="G369" s="41"/>
      <c r="H369" s="231"/>
      <c r="I369" s="41"/>
      <c r="J369" s="41"/>
      <c r="K369" s="41"/>
      <c r="L369" s="41"/>
      <c r="M369" s="41"/>
      <c r="N369" s="41"/>
      <c r="O369" s="41"/>
      <c r="P369" s="41"/>
      <c r="Q369" s="41"/>
    </row>
    <row r="370" spans="2:17">
      <c r="B370" s="41"/>
      <c r="C370" s="41"/>
      <c r="D370" s="41"/>
      <c r="E370" s="41"/>
      <c r="F370" s="41"/>
      <c r="G370" s="41"/>
      <c r="H370" s="231"/>
      <c r="I370" s="41"/>
      <c r="J370" s="41"/>
      <c r="K370" s="41"/>
      <c r="L370" s="41"/>
      <c r="M370" s="41"/>
      <c r="N370" s="41"/>
      <c r="O370" s="41"/>
      <c r="P370" s="41"/>
      <c r="Q370" s="41"/>
    </row>
    <row r="371" spans="2:17">
      <c r="B371" s="41"/>
      <c r="C371" s="41"/>
      <c r="D371" s="41"/>
      <c r="E371" s="41"/>
      <c r="F371" s="41"/>
      <c r="G371" s="41"/>
      <c r="H371" s="231"/>
      <c r="I371" s="41"/>
      <c r="J371" s="41"/>
      <c r="K371" s="41"/>
      <c r="L371" s="41"/>
      <c r="M371" s="41"/>
      <c r="N371" s="41"/>
      <c r="O371" s="41"/>
      <c r="P371" s="41"/>
      <c r="Q371" s="41"/>
    </row>
    <row r="372" spans="2:17">
      <c r="B372" s="41"/>
      <c r="C372" s="41"/>
      <c r="D372" s="41"/>
      <c r="E372" s="41"/>
      <c r="F372" s="41"/>
      <c r="G372" s="41"/>
      <c r="H372" s="231"/>
      <c r="I372" s="41"/>
      <c r="J372" s="41"/>
      <c r="K372" s="41"/>
      <c r="L372" s="41"/>
      <c r="M372" s="41"/>
      <c r="N372" s="41"/>
      <c r="O372" s="41"/>
      <c r="P372" s="41"/>
      <c r="Q372" s="41"/>
    </row>
    <row r="373" spans="2:17">
      <c r="B373" s="41"/>
      <c r="C373" s="41"/>
      <c r="D373" s="41"/>
      <c r="E373" s="41"/>
      <c r="F373" s="41"/>
      <c r="G373" s="41"/>
      <c r="H373" s="231"/>
      <c r="I373" s="41"/>
      <c r="J373" s="41"/>
      <c r="K373" s="41"/>
      <c r="L373" s="41"/>
      <c r="M373" s="41"/>
      <c r="N373" s="41"/>
      <c r="O373" s="41"/>
      <c r="P373" s="41"/>
      <c r="Q373" s="41"/>
    </row>
    <row r="374" spans="2:17">
      <c r="B374" s="41"/>
      <c r="C374" s="41"/>
      <c r="D374" s="41"/>
      <c r="E374" s="41"/>
      <c r="F374" s="41"/>
      <c r="G374" s="41"/>
      <c r="H374" s="231"/>
      <c r="I374" s="41"/>
      <c r="J374" s="41"/>
      <c r="K374" s="41"/>
      <c r="L374" s="41"/>
      <c r="M374" s="41"/>
      <c r="N374" s="41"/>
      <c r="O374" s="41"/>
      <c r="P374" s="41"/>
      <c r="Q374" s="41"/>
    </row>
    <row r="375" spans="2:17">
      <c r="B375" s="41"/>
      <c r="C375" s="41"/>
      <c r="D375" s="41"/>
      <c r="E375" s="41"/>
      <c r="F375" s="41"/>
      <c r="G375" s="41"/>
      <c r="H375" s="231"/>
      <c r="I375" s="41"/>
      <c r="J375" s="41"/>
      <c r="K375" s="41"/>
      <c r="L375" s="41"/>
      <c r="M375" s="41"/>
      <c r="N375" s="41"/>
      <c r="O375" s="41"/>
      <c r="P375" s="41"/>
      <c r="Q375" s="41"/>
    </row>
    <row r="376" spans="2:17">
      <c r="B376" s="41"/>
      <c r="C376" s="41"/>
      <c r="D376" s="41"/>
      <c r="E376" s="41"/>
      <c r="F376" s="41"/>
      <c r="G376" s="41"/>
      <c r="H376" s="231"/>
      <c r="I376" s="41"/>
      <c r="J376" s="41"/>
      <c r="K376" s="41"/>
      <c r="L376" s="41"/>
      <c r="M376" s="41"/>
      <c r="N376" s="41"/>
      <c r="O376" s="41"/>
      <c r="P376" s="41"/>
      <c r="Q376" s="41"/>
    </row>
    <row r="377" spans="2:17">
      <c r="B377" s="41"/>
      <c r="C377" s="41"/>
      <c r="D377" s="41"/>
      <c r="E377" s="41"/>
      <c r="F377" s="41"/>
      <c r="G377" s="41"/>
      <c r="H377" s="231"/>
      <c r="I377" s="41"/>
      <c r="J377" s="41"/>
      <c r="K377" s="41"/>
      <c r="L377" s="41"/>
      <c r="M377" s="41"/>
      <c r="N377" s="41"/>
      <c r="O377" s="41"/>
      <c r="P377" s="41"/>
      <c r="Q377" s="41"/>
    </row>
    <row r="378" spans="2:17">
      <c r="B378" s="41"/>
      <c r="C378" s="41"/>
      <c r="D378" s="41"/>
      <c r="E378" s="41"/>
      <c r="F378" s="41"/>
      <c r="G378" s="41"/>
      <c r="H378" s="231"/>
      <c r="I378" s="41"/>
      <c r="J378" s="41"/>
      <c r="K378" s="41"/>
      <c r="L378" s="41"/>
      <c r="M378" s="41"/>
      <c r="N378" s="41"/>
      <c r="O378" s="41"/>
      <c r="P378" s="41"/>
      <c r="Q378" s="41"/>
    </row>
    <row r="379" spans="2:17">
      <c r="B379" s="41"/>
      <c r="C379" s="41"/>
      <c r="D379" s="41"/>
      <c r="E379" s="41"/>
      <c r="F379" s="41"/>
      <c r="G379" s="41"/>
      <c r="H379" s="231"/>
      <c r="I379" s="41"/>
      <c r="J379" s="41"/>
      <c r="K379" s="41"/>
      <c r="L379" s="41"/>
      <c r="M379" s="41"/>
      <c r="N379" s="41"/>
      <c r="O379" s="41"/>
      <c r="P379" s="41"/>
      <c r="Q379" s="41"/>
    </row>
    <row r="380" spans="2:17">
      <c r="B380" s="41"/>
      <c r="C380" s="41"/>
      <c r="D380" s="41"/>
      <c r="E380" s="41"/>
      <c r="F380" s="41"/>
      <c r="G380" s="41"/>
      <c r="H380" s="231"/>
      <c r="I380" s="41"/>
      <c r="J380" s="41"/>
      <c r="K380" s="41"/>
      <c r="L380" s="41"/>
      <c r="M380" s="41"/>
      <c r="N380" s="41"/>
      <c r="O380" s="41"/>
      <c r="P380" s="41"/>
      <c r="Q380" s="41"/>
    </row>
    <row r="381" spans="2:17">
      <c r="B381" s="41"/>
      <c r="C381" s="41"/>
      <c r="D381" s="41"/>
      <c r="E381" s="41"/>
      <c r="F381" s="41"/>
      <c r="G381" s="41"/>
      <c r="H381" s="231"/>
      <c r="I381" s="41"/>
      <c r="J381" s="41"/>
      <c r="K381" s="41"/>
      <c r="L381" s="41"/>
      <c r="M381" s="41"/>
      <c r="N381" s="41"/>
      <c r="O381" s="41"/>
      <c r="P381" s="41"/>
      <c r="Q381" s="41"/>
    </row>
    <row r="382" spans="2:17">
      <c r="B382" s="41"/>
      <c r="C382" s="41"/>
      <c r="D382" s="41"/>
      <c r="E382" s="41"/>
      <c r="F382" s="41"/>
      <c r="G382" s="41"/>
      <c r="H382" s="231"/>
      <c r="I382" s="41"/>
      <c r="J382" s="41"/>
      <c r="K382" s="41"/>
      <c r="L382" s="41"/>
      <c r="M382" s="41"/>
      <c r="N382" s="41"/>
      <c r="O382" s="41"/>
      <c r="P382" s="41"/>
      <c r="Q382" s="41"/>
    </row>
    <row r="383" spans="2:17">
      <c r="B383" s="41"/>
      <c r="C383" s="41"/>
      <c r="D383" s="41"/>
      <c r="E383" s="41"/>
      <c r="F383" s="41"/>
      <c r="G383" s="41"/>
      <c r="H383" s="231"/>
      <c r="I383" s="41"/>
      <c r="J383" s="41"/>
      <c r="K383" s="41"/>
      <c r="L383" s="41"/>
      <c r="M383" s="41"/>
      <c r="N383" s="41"/>
      <c r="O383" s="41"/>
      <c r="P383" s="41"/>
      <c r="Q383" s="41"/>
    </row>
    <row r="384" spans="2:17">
      <c r="B384" s="41"/>
      <c r="C384" s="41"/>
      <c r="D384" s="41"/>
      <c r="E384" s="41"/>
      <c r="F384" s="41"/>
      <c r="G384" s="41"/>
      <c r="H384" s="231"/>
      <c r="I384" s="41"/>
      <c r="J384" s="41"/>
      <c r="K384" s="41"/>
      <c r="L384" s="41"/>
      <c r="M384" s="41"/>
      <c r="N384" s="41"/>
      <c r="O384" s="41"/>
      <c r="P384" s="41"/>
      <c r="Q384" s="41"/>
    </row>
    <row r="385" spans="2:17">
      <c r="B385" s="41"/>
      <c r="C385" s="41"/>
      <c r="D385" s="41"/>
      <c r="E385" s="41"/>
      <c r="F385" s="41"/>
      <c r="G385" s="41"/>
      <c r="H385" s="231"/>
      <c r="I385" s="41"/>
      <c r="J385" s="41"/>
      <c r="K385" s="41"/>
      <c r="L385" s="41"/>
      <c r="M385" s="41"/>
      <c r="N385" s="41"/>
      <c r="O385" s="41"/>
      <c r="P385" s="41"/>
      <c r="Q385" s="41"/>
    </row>
    <row r="386" spans="2:17">
      <c r="B386" s="41"/>
      <c r="C386" s="41"/>
      <c r="D386" s="41"/>
      <c r="E386" s="41"/>
      <c r="F386" s="41"/>
      <c r="G386" s="41"/>
      <c r="H386" s="231"/>
      <c r="I386" s="41"/>
      <c r="J386" s="41"/>
      <c r="K386" s="41"/>
      <c r="L386" s="41"/>
      <c r="M386" s="41"/>
      <c r="N386" s="41"/>
      <c r="O386" s="41"/>
      <c r="P386" s="41"/>
      <c r="Q386" s="41"/>
    </row>
    <row r="387" spans="2:17">
      <c r="B387" s="41"/>
      <c r="C387" s="41"/>
      <c r="D387" s="41"/>
      <c r="E387" s="41"/>
      <c r="F387" s="41"/>
      <c r="G387" s="41"/>
      <c r="H387" s="231"/>
      <c r="I387" s="41"/>
      <c r="J387" s="41"/>
      <c r="K387" s="41"/>
      <c r="L387" s="41"/>
      <c r="M387" s="41"/>
      <c r="N387" s="41"/>
      <c r="O387" s="41"/>
      <c r="P387" s="41"/>
      <c r="Q387" s="41"/>
    </row>
    <row r="388" spans="2:17">
      <c r="B388" s="41"/>
      <c r="C388" s="41"/>
      <c r="D388" s="41"/>
      <c r="E388" s="41"/>
      <c r="F388" s="41"/>
      <c r="G388" s="41"/>
      <c r="H388" s="231"/>
      <c r="I388" s="41"/>
      <c r="J388" s="41"/>
      <c r="K388" s="41"/>
      <c r="L388" s="41"/>
      <c r="M388" s="41"/>
      <c r="N388" s="41"/>
      <c r="O388" s="41"/>
      <c r="P388" s="41"/>
      <c r="Q388" s="41"/>
    </row>
    <row r="389" spans="2:17">
      <c r="B389" s="41"/>
      <c r="C389" s="41"/>
      <c r="D389" s="41"/>
      <c r="E389" s="41"/>
      <c r="F389" s="41"/>
      <c r="G389" s="41"/>
      <c r="H389" s="231"/>
      <c r="I389" s="41"/>
      <c r="J389" s="41"/>
      <c r="K389" s="41"/>
      <c r="L389" s="41"/>
      <c r="M389" s="41"/>
      <c r="N389" s="41"/>
      <c r="O389" s="41"/>
      <c r="P389" s="41"/>
      <c r="Q389" s="41"/>
    </row>
    <row r="390" spans="2:17">
      <c r="B390" s="41"/>
      <c r="C390" s="41"/>
      <c r="D390" s="41"/>
      <c r="E390" s="41"/>
      <c r="F390" s="41"/>
      <c r="G390" s="41"/>
      <c r="H390" s="231"/>
      <c r="I390" s="41"/>
      <c r="J390" s="41"/>
      <c r="K390" s="41"/>
      <c r="L390" s="41"/>
      <c r="M390" s="41"/>
      <c r="N390" s="41"/>
      <c r="O390" s="41"/>
      <c r="P390" s="41"/>
      <c r="Q390" s="41"/>
    </row>
    <row r="391" spans="2:17">
      <c r="B391" s="41"/>
      <c r="C391" s="41"/>
      <c r="D391" s="41"/>
      <c r="E391" s="41"/>
      <c r="F391" s="41"/>
      <c r="G391" s="41"/>
      <c r="H391" s="231"/>
      <c r="I391" s="41"/>
      <c r="J391" s="41"/>
      <c r="K391" s="41"/>
      <c r="L391" s="41"/>
      <c r="M391" s="41"/>
      <c r="N391" s="41"/>
      <c r="O391" s="41"/>
      <c r="P391" s="41"/>
      <c r="Q391" s="41"/>
    </row>
    <row r="392" spans="2:17">
      <c r="B392" s="41"/>
      <c r="C392" s="41"/>
      <c r="D392" s="41"/>
      <c r="E392" s="41"/>
      <c r="F392" s="41"/>
      <c r="G392" s="41"/>
      <c r="H392" s="231"/>
      <c r="I392" s="41"/>
      <c r="J392" s="41"/>
      <c r="K392" s="41"/>
      <c r="L392" s="41"/>
      <c r="M392" s="41"/>
      <c r="N392" s="41"/>
      <c r="O392" s="41"/>
      <c r="P392" s="41"/>
      <c r="Q392" s="41"/>
    </row>
    <row r="393" spans="2:17">
      <c r="B393" s="41"/>
      <c r="C393" s="41"/>
      <c r="D393" s="41"/>
      <c r="E393" s="41"/>
      <c r="F393" s="41"/>
      <c r="G393" s="41"/>
      <c r="H393" s="231"/>
      <c r="I393" s="41"/>
      <c r="J393" s="41"/>
      <c r="K393" s="41"/>
      <c r="L393" s="41"/>
      <c r="M393" s="41"/>
      <c r="N393" s="41"/>
      <c r="O393" s="41"/>
      <c r="P393" s="41"/>
      <c r="Q393" s="41"/>
    </row>
    <row r="394" spans="2:17">
      <c r="B394" s="41"/>
      <c r="C394" s="41"/>
      <c r="D394" s="41"/>
      <c r="E394" s="41"/>
      <c r="F394" s="41"/>
      <c r="G394" s="41"/>
      <c r="H394" s="231"/>
      <c r="I394" s="41"/>
      <c r="J394" s="41"/>
      <c r="K394" s="41"/>
      <c r="L394" s="41"/>
      <c r="M394" s="41"/>
      <c r="N394" s="41"/>
      <c r="O394" s="41"/>
      <c r="P394" s="41"/>
      <c r="Q394" s="41"/>
    </row>
    <row r="395" spans="2:17">
      <c r="B395" s="41"/>
      <c r="C395" s="41"/>
      <c r="D395" s="41"/>
      <c r="E395" s="41"/>
      <c r="F395" s="41"/>
      <c r="G395" s="41"/>
      <c r="H395" s="231"/>
      <c r="I395" s="41"/>
      <c r="J395" s="41"/>
      <c r="K395" s="41"/>
      <c r="L395" s="41"/>
      <c r="M395" s="41"/>
      <c r="N395" s="41"/>
      <c r="O395" s="41"/>
      <c r="P395" s="41"/>
      <c r="Q395" s="41"/>
    </row>
    <row r="396" spans="2:17">
      <c r="B396" s="41"/>
      <c r="C396" s="41"/>
      <c r="D396" s="41"/>
      <c r="E396" s="41"/>
      <c r="F396" s="41"/>
      <c r="G396" s="41"/>
      <c r="H396" s="231"/>
      <c r="I396" s="41"/>
      <c r="J396" s="41"/>
      <c r="K396" s="41"/>
      <c r="L396" s="41"/>
      <c r="M396" s="41"/>
      <c r="N396" s="41"/>
      <c r="O396" s="41"/>
      <c r="P396" s="41"/>
      <c r="Q396" s="41"/>
    </row>
    <row r="397" spans="2:17">
      <c r="B397" s="41"/>
      <c r="C397" s="41"/>
      <c r="D397" s="41"/>
      <c r="E397" s="41"/>
      <c r="F397" s="41"/>
      <c r="G397" s="41"/>
      <c r="H397" s="231"/>
      <c r="I397" s="41"/>
      <c r="J397" s="41"/>
      <c r="K397" s="41"/>
      <c r="L397" s="41"/>
      <c r="M397" s="41"/>
      <c r="N397" s="41"/>
      <c r="O397" s="41"/>
      <c r="P397" s="41"/>
      <c r="Q397" s="41"/>
    </row>
    <row r="398" spans="2:17">
      <c r="B398" s="41"/>
      <c r="C398" s="41"/>
      <c r="D398" s="41"/>
      <c r="E398" s="41"/>
      <c r="F398" s="41"/>
      <c r="G398" s="41"/>
      <c r="H398" s="231"/>
      <c r="I398" s="41"/>
      <c r="J398" s="41"/>
      <c r="K398" s="41"/>
      <c r="L398" s="41"/>
      <c r="M398" s="41"/>
      <c r="N398" s="41"/>
      <c r="O398" s="41"/>
      <c r="P398" s="41"/>
      <c r="Q398" s="41"/>
    </row>
    <row r="399" spans="2:17">
      <c r="B399" s="41"/>
      <c r="C399" s="41"/>
      <c r="D399" s="41"/>
      <c r="E399" s="41"/>
      <c r="F399" s="41"/>
      <c r="G399" s="41"/>
      <c r="H399" s="231"/>
      <c r="I399" s="41"/>
      <c r="J399" s="41"/>
      <c r="K399" s="41"/>
      <c r="L399" s="41"/>
      <c r="M399" s="41"/>
      <c r="N399" s="41"/>
      <c r="O399" s="41"/>
      <c r="P399" s="41"/>
      <c r="Q399" s="41"/>
    </row>
    <row r="400" spans="2:17">
      <c r="B400" s="41"/>
      <c r="C400" s="41"/>
      <c r="D400" s="41"/>
      <c r="E400" s="41"/>
      <c r="F400" s="41"/>
      <c r="G400" s="41"/>
      <c r="H400" s="231"/>
      <c r="I400" s="41"/>
      <c r="J400" s="41"/>
      <c r="K400" s="41"/>
      <c r="L400" s="41"/>
      <c r="M400" s="41"/>
      <c r="N400" s="41"/>
      <c r="O400" s="41"/>
      <c r="P400" s="41"/>
      <c r="Q400" s="41"/>
    </row>
    <row r="401" spans="2:17">
      <c r="B401" s="41"/>
      <c r="C401" s="41"/>
      <c r="D401" s="41"/>
      <c r="E401" s="41"/>
      <c r="F401" s="41"/>
      <c r="G401" s="41"/>
      <c r="H401" s="231"/>
      <c r="I401" s="41"/>
      <c r="J401" s="41"/>
      <c r="K401" s="41"/>
      <c r="L401" s="41"/>
      <c r="M401" s="41"/>
      <c r="N401" s="41"/>
      <c r="O401" s="41"/>
      <c r="P401" s="41"/>
      <c r="Q401" s="41"/>
    </row>
    <row r="402" spans="2:17">
      <c r="B402" s="41"/>
      <c r="C402" s="41"/>
      <c r="D402" s="41"/>
      <c r="E402" s="41"/>
      <c r="F402" s="41"/>
      <c r="G402" s="41"/>
      <c r="H402" s="231"/>
      <c r="I402" s="41"/>
      <c r="J402" s="41"/>
      <c r="K402" s="41"/>
      <c r="L402" s="41"/>
      <c r="M402" s="41"/>
      <c r="N402" s="41"/>
      <c r="O402" s="41"/>
      <c r="P402" s="41"/>
      <c r="Q402" s="41"/>
    </row>
    <row r="403" spans="2:17">
      <c r="B403" s="41"/>
      <c r="C403" s="41"/>
      <c r="D403" s="41"/>
      <c r="E403" s="41"/>
      <c r="F403" s="41"/>
      <c r="G403" s="41"/>
      <c r="H403" s="231"/>
      <c r="I403" s="41"/>
      <c r="J403" s="41"/>
      <c r="K403" s="41"/>
      <c r="L403" s="41"/>
      <c r="M403" s="41"/>
      <c r="N403" s="41"/>
      <c r="O403" s="41"/>
      <c r="P403" s="41"/>
      <c r="Q403" s="41"/>
    </row>
    <row r="404" spans="2:17">
      <c r="B404" s="41"/>
      <c r="C404" s="41"/>
      <c r="D404" s="41"/>
      <c r="E404" s="41"/>
      <c r="F404" s="41"/>
      <c r="G404" s="41"/>
      <c r="H404" s="231"/>
      <c r="I404" s="41"/>
      <c r="J404" s="41"/>
      <c r="K404" s="41"/>
      <c r="L404" s="41"/>
      <c r="M404" s="41"/>
      <c r="N404" s="41"/>
      <c r="O404" s="41"/>
      <c r="P404" s="41"/>
      <c r="Q404" s="41"/>
    </row>
    <row r="405" spans="2:17">
      <c r="B405" s="41"/>
      <c r="C405" s="41"/>
      <c r="D405" s="41"/>
      <c r="E405" s="41"/>
      <c r="F405" s="41"/>
      <c r="G405" s="41"/>
      <c r="H405" s="231"/>
      <c r="I405" s="41"/>
      <c r="J405" s="41"/>
      <c r="K405" s="41"/>
      <c r="L405" s="41"/>
      <c r="M405" s="41"/>
      <c r="N405" s="41"/>
      <c r="O405" s="41"/>
      <c r="P405" s="41"/>
      <c r="Q405" s="41"/>
    </row>
    <row r="406" spans="2:17">
      <c r="B406" s="41"/>
      <c r="C406" s="41"/>
      <c r="D406" s="41"/>
      <c r="E406" s="41"/>
      <c r="F406" s="41"/>
      <c r="G406" s="41"/>
      <c r="H406" s="231"/>
      <c r="I406" s="41"/>
      <c r="J406" s="41"/>
      <c r="K406" s="41"/>
      <c r="L406" s="41"/>
      <c r="M406" s="41"/>
      <c r="N406" s="41"/>
      <c r="O406" s="41"/>
      <c r="P406" s="41"/>
      <c r="Q406" s="41"/>
    </row>
    <row r="407" spans="2:17">
      <c r="B407" s="41"/>
      <c r="C407" s="41"/>
      <c r="D407" s="41"/>
      <c r="E407" s="41"/>
      <c r="F407" s="41"/>
      <c r="G407" s="41"/>
      <c r="H407" s="231"/>
      <c r="I407" s="41"/>
      <c r="J407" s="41"/>
      <c r="K407" s="41"/>
      <c r="L407" s="41"/>
      <c r="M407" s="41"/>
      <c r="N407" s="41"/>
      <c r="O407" s="41"/>
      <c r="P407" s="41"/>
      <c r="Q407" s="41"/>
    </row>
    <row r="408" spans="2:17">
      <c r="B408" s="41"/>
      <c r="C408" s="41"/>
      <c r="D408" s="41"/>
      <c r="E408" s="41"/>
      <c r="F408" s="41"/>
      <c r="G408" s="41"/>
      <c r="H408" s="231"/>
      <c r="I408" s="41"/>
      <c r="J408" s="41"/>
      <c r="K408" s="41"/>
      <c r="L408" s="41"/>
      <c r="M408" s="41"/>
      <c r="N408" s="41"/>
      <c r="O408" s="41"/>
      <c r="P408" s="41"/>
      <c r="Q408" s="41"/>
    </row>
    <row r="409" spans="2:17">
      <c r="B409" s="41"/>
      <c r="C409" s="41"/>
      <c r="D409" s="41"/>
      <c r="E409" s="41"/>
      <c r="F409" s="41"/>
      <c r="G409" s="41"/>
      <c r="H409" s="231"/>
      <c r="I409" s="41"/>
      <c r="J409" s="41"/>
      <c r="K409" s="41"/>
      <c r="L409" s="41"/>
      <c r="M409" s="41"/>
      <c r="N409" s="41"/>
      <c r="O409" s="41"/>
      <c r="P409" s="41"/>
      <c r="Q409" s="41"/>
    </row>
    <row r="410" spans="2:17">
      <c r="B410" s="41"/>
      <c r="C410" s="41"/>
      <c r="D410" s="41"/>
      <c r="E410" s="41"/>
      <c r="F410" s="41"/>
      <c r="G410" s="41"/>
      <c r="H410" s="231"/>
      <c r="I410" s="41"/>
      <c r="J410" s="41"/>
      <c r="K410" s="41"/>
      <c r="L410" s="41"/>
      <c r="M410" s="41"/>
      <c r="N410" s="41"/>
      <c r="O410" s="41"/>
      <c r="P410" s="41"/>
      <c r="Q410" s="41"/>
    </row>
    <row r="411" spans="2:17">
      <c r="B411" s="41"/>
      <c r="C411" s="41"/>
      <c r="D411" s="41"/>
      <c r="E411" s="41"/>
      <c r="F411" s="41"/>
      <c r="G411" s="41"/>
      <c r="H411" s="231"/>
      <c r="I411" s="41"/>
      <c r="J411" s="41"/>
      <c r="K411" s="41"/>
      <c r="L411" s="41"/>
      <c r="M411" s="41"/>
      <c r="N411" s="41"/>
      <c r="O411" s="41"/>
      <c r="P411" s="41"/>
      <c r="Q411" s="41"/>
    </row>
    <row r="412" spans="2:17">
      <c r="B412" s="41"/>
      <c r="C412" s="41"/>
      <c r="D412" s="41"/>
      <c r="E412" s="41"/>
      <c r="F412" s="41"/>
      <c r="G412" s="41"/>
      <c r="H412" s="231"/>
      <c r="I412" s="41"/>
      <c r="J412" s="41"/>
      <c r="K412" s="41"/>
      <c r="L412" s="41"/>
      <c r="M412" s="41"/>
      <c r="N412" s="41"/>
      <c r="O412" s="41"/>
      <c r="P412" s="41"/>
      <c r="Q412" s="41"/>
    </row>
    <row r="413" spans="2:17">
      <c r="B413" s="41"/>
      <c r="C413" s="41"/>
      <c r="D413" s="41"/>
      <c r="E413" s="41"/>
      <c r="F413" s="41"/>
      <c r="G413" s="41"/>
      <c r="H413" s="231"/>
      <c r="I413" s="41"/>
      <c r="J413" s="41"/>
      <c r="K413" s="41"/>
      <c r="L413" s="41"/>
      <c r="M413" s="41"/>
      <c r="N413" s="41"/>
      <c r="O413" s="41"/>
      <c r="P413" s="41"/>
      <c r="Q413" s="41"/>
    </row>
    <row r="414" spans="2:17">
      <c r="B414" s="41"/>
      <c r="C414" s="41"/>
      <c r="D414" s="41"/>
      <c r="E414" s="41"/>
      <c r="F414" s="41"/>
      <c r="G414" s="41"/>
      <c r="H414" s="231"/>
      <c r="I414" s="41"/>
      <c r="J414" s="41"/>
      <c r="K414" s="41"/>
      <c r="L414" s="41"/>
      <c r="M414" s="41"/>
      <c r="N414" s="41"/>
      <c r="O414" s="41"/>
      <c r="P414" s="41"/>
      <c r="Q414" s="41"/>
    </row>
    <row r="415" spans="2:17">
      <c r="B415" s="41"/>
      <c r="C415" s="41"/>
      <c r="D415" s="41"/>
      <c r="E415" s="41"/>
      <c r="F415" s="41"/>
      <c r="G415" s="41"/>
      <c r="H415" s="231"/>
      <c r="I415" s="41"/>
      <c r="J415" s="41"/>
      <c r="K415" s="41"/>
      <c r="L415" s="41"/>
      <c r="M415" s="41"/>
      <c r="N415" s="41"/>
      <c r="O415" s="41"/>
      <c r="P415" s="41"/>
      <c r="Q415" s="41"/>
    </row>
    <row r="416" spans="2:17">
      <c r="B416" s="41"/>
      <c r="C416" s="41"/>
      <c r="D416" s="41"/>
      <c r="E416" s="41"/>
      <c r="F416" s="41"/>
      <c r="G416" s="41"/>
      <c r="H416" s="231"/>
      <c r="I416" s="41"/>
      <c r="J416" s="41"/>
      <c r="K416" s="41"/>
      <c r="L416" s="41"/>
      <c r="M416" s="41"/>
      <c r="N416" s="41"/>
      <c r="O416" s="41"/>
      <c r="P416" s="41"/>
      <c r="Q416" s="41"/>
    </row>
    <row r="417" spans="2:17">
      <c r="B417" s="41"/>
      <c r="C417" s="41"/>
      <c r="D417" s="41"/>
      <c r="E417" s="41"/>
      <c r="F417" s="41"/>
      <c r="G417" s="41"/>
      <c r="H417" s="231"/>
      <c r="I417" s="41"/>
      <c r="J417" s="41"/>
      <c r="K417" s="41"/>
      <c r="L417" s="41"/>
      <c r="M417" s="41"/>
      <c r="N417" s="41"/>
      <c r="O417" s="41"/>
      <c r="P417" s="41"/>
      <c r="Q417" s="41"/>
    </row>
    <row r="418" spans="2:17">
      <c r="B418" s="41"/>
      <c r="C418" s="41"/>
      <c r="D418" s="41"/>
      <c r="E418" s="41"/>
      <c r="F418" s="41"/>
      <c r="G418" s="41"/>
      <c r="H418" s="231"/>
      <c r="I418" s="41"/>
      <c r="J418" s="41"/>
      <c r="K418" s="41"/>
      <c r="L418" s="41"/>
      <c r="M418" s="41"/>
      <c r="N418" s="41"/>
      <c r="O418" s="41"/>
      <c r="P418" s="41"/>
      <c r="Q418" s="41"/>
    </row>
    <row r="419" spans="2:17">
      <c r="B419" s="41"/>
      <c r="C419" s="41"/>
      <c r="D419" s="41"/>
      <c r="E419" s="41"/>
      <c r="F419" s="41"/>
      <c r="G419" s="41"/>
      <c r="H419" s="231"/>
      <c r="I419" s="41"/>
      <c r="J419" s="41"/>
      <c r="K419" s="41"/>
      <c r="L419" s="41"/>
      <c r="M419" s="41"/>
      <c r="N419" s="41"/>
      <c r="O419" s="41"/>
      <c r="P419" s="41"/>
      <c r="Q419" s="41"/>
    </row>
    <row r="420" spans="2:17">
      <c r="B420" s="41"/>
      <c r="C420" s="41"/>
      <c r="D420" s="41"/>
      <c r="E420" s="41"/>
      <c r="F420" s="41"/>
      <c r="G420" s="41"/>
      <c r="H420" s="231"/>
      <c r="I420" s="41"/>
      <c r="J420" s="41"/>
      <c r="K420" s="41"/>
      <c r="L420" s="41"/>
      <c r="M420" s="41"/>
      <c r="N420" s="41"/>
      <c r="O420" s="41"/>
      <c r="P420" s="41"/>
      <c r="Q420" s="41"/>
    </row>
    <row r="421" spans="2:17">
      <c r="B421" s="41"/>
      <c r="C421" s="41"/>
      <c r="D421" s="41"/>
      <c r="E421" s="41"/>
      <c r="F421" s="41"/>
      <c r="G421" s="41"/>
      <c r="H421" s="231"/>
      <c r="I421" s="41"/>
      <c r="J421" s="41"/>
      <c r="K421" s="41"/>
      <c r="L421" s="41"/>
      <c r="M421" s="41"/>
      <c r="N421" s="41"/>
      <c r="O421" s="41"/>
      <c r="P421" s="41"/>
      <c r="Q421" s="41"/>
    </row>
    <row r="422" spans="2:17">
      <c r="B422" s="41"/>
      <c r="C422" s="41"/>
      <c r="D422" s="41"/>
      <c r="E422" s="41"/>
      <c r="F422" s="41"/>
      <c r="G422" s="41"/>
      <c r="H422" s="231"/>
      <c r="I422" s="41"/>
      <c r="J422" s="41"/>
      <c r="K422" s="41"/>
      <c r="L422" s="41"/>
      <c r="M422" s="41"/>
      <c r="N422" s="41"/>
      <c r="O422" s="41"/>
      <c r="P422" s="41"/>
      <c r="Q422" s="41"/>
    </row>
    <row r="423" spans="2:17">
      <c r="B423" s="41"/>
      <c r="C423" s="41"/>
      <c r="D423" s="41"/>
      <c r="E423" s="41"/>
      <c r="F423" s="41"/>
      <c r="G423" s="41"/>
      <c r="H423" s="231"/>
      <c r="I423" s="41"/>
      <c r="J423" s="41"/>
      <c r="K423" s="41"/>
      <c r="L423" s="41"/>
      <c r="M423" s="41"/>
      <c r="N423" s="41"/>
      <c r="O423" s="41"/>
      <c r="P423" s="41"/>
      <c r="Q423" s="41"/>
    </row>
    <row r="424" spans="2:17">
      <c r="B424" s="41"/>
      <c r="C424" s="41"/>
      <c r="D424" s="41"/>
      <c r="E424" s="41"/>
      <c r="F424" s="41"/>
      <c r="G424" s="41"/>
      <c r="H424" s="231"/>
      <c r="I424" s="41"/>
      <c r="J424" s="41"/>
      <c r="K424" s="41"/>
      <c r="L424" s="41"/>
      <c r="M424" s="41"/>
      <c r="N424" s="41"/>
      <c r="O424" s="41"/>
      <c r="P424" s="41"/>
      <c r="Q424" s="41"/>
    </row>
    <row r="425" spans="2:17">
      <c r="B425" s="41"/>
      <c r="C425" s="41"/>
      <c r="D425" s="41"/>
      <c r="E425" s="41"/>
      <c r="F425" s="41"/>
      <c r="G425" s="41"/>
      <c r="H425" s="231"/>
      <c r="I425" s="41"/>
      <c r="J425" s="41"/>
      <c r="K425" s="41"/>
      <c r="L425" s="41"/>
      <c r="M425" s="41"/>
      <c r="N425" s="41"/>
      <c r="O425" s="41"/>
      <c r="P425" s="41"/>
      <c r="Q425" s="41"/>
    </row>
    <row r="426" spans="2:17">
      <c r="B426" s="41"/>
      <c r="C426" s="41"/>
      <c r="D426" s="41"/>
      <c r="E426" s="41"/>
      <c r="F426" s="41"/>
      <c r="G426" s="41"/>
      <c r="H426" s="231"/>
      <c r="I426" s="41"/>
      <c r="J426" s="41"/>
      <c r="K426" s="41"/>
      <c r="L426" s="41"/>
      <c r="M426" s="41"/>
      <c r="N426" s="41"/>
      <c r="O426" s="41"/>
      <c r="P426" s="41"/>
      <c r="Q426" s="41"/>
    </row>
    <row r="427" spans="2:17">
      <c r="B427" s="41"/>
      <c r="C427" s="41"/>
      <c r="D427" s="41"/>
      <c r="E427" s="41"/>
      <c r="F427" s="41"/>
      <c r="G427" s="41"/>
      <c r="H427" s="231"/>
      <c r="I427" s="41"/>
      <c r="J427" s="41"/>
      <c r="K427" s="41"/>
      <c r="L427" s="41"/>
      <c r="M427" s="41"/>
      <c r="N427" s="41"/>
      <c r="O427" s="41"/>
      <c r="P427" s="41"/>
      <c r="Q427" s="41"/>
    </row>
    <row r="428" spans="2:17">
      <c r="B428" s="41"/>
      <c r="C428" s="41"/>
      <c r="D428" s="41"/>
      <c r="E428" s="41"/>
      <c r="F428" s="41"/>
      <c r="G428" s="41"/>
      <c r="H428" s="231"/>
      <c r="I428" s="41"/>
      <c r="J428" s="41"/>
      <c r="K428" s="41"/>
      <c r="L428" s="41"/>
      <c r="M428" s="41"/>
      <c r="N428" s="41"/>
      <c r="O428" s="41"/>
      <c r="P428" s="41"/>
      <c r="Q428" s="41"/>
    </row>
    <row r="429" spans="2:17">
      <c r="B429" s="41"/>
      <c r="C429" s="41"/>
      <c r="D429" s="41"/>
      <c r="E429" s="41"/>
      <c r="F429" s="41"/>
      <c r="G429" s="41"/>
      <c r="H429" s="231"/>
      <c r="I429" s="41"/>
      <c r="J429" s="41"/>
      <c r="K429" s="41"/>
      <c r="L429" s="41"/>
      <c r="M429" s="41"/>
      <c r="N429" s="41"/>
      <c r="O429" s="41"/>
      <c r="P429" s="41"/>
      <c r="Q429" s="41"/>
    </row>
    <row r="430" spans="2:17">
      <c r="B430" s="41"/>
      <c r="C430" s="41"/>
      <c r="D430" s="41"/>
      <c r="E430" s="41"/>
      <c r="F430" s="41"/>
      <c r="G430" s="41"/>
      <c r="H430" s="231"/>
      <c r="I430" s="41"/>
      <c r="J430" s="41"/>
      <c r="K430" s="41"/>
      <c r="L430" s="41"/>
      <c r="M430" s="41"/>
      <c r="N430" s="41"/>
      <c r="O430" s="41"/>
      <c r="P430" s="41"/>
      <c r="Q430" s="41"/>
    </row>
    <row r="431" spans="2:17">
      <c r="B431" s="41"/>
      <c r="C431" s="41"/>
      <c r="D431" s="41"/>
      <c r="E431" s="41"/>
      <c r="F431" s="41"/>
      <c r="G431" s="41"/>
      <c r="H431" s="231"/>
      <c r="I431" s="41"/>
      <c r="J431" s="41"/>
      <c r="K431" s="41"/>
      <c r="L431" s="41"/>
      <c r="M431" s="41"/>
      <c r="N431" s="41"/>
      <c r="O431" s="41"/>
      <c r="P431" s="41"/>
      <c r="Q431" s="41"/>
    </row>
    <row r="432" spans="2:17">
      <c r="B432" s="41"/>
      <c r="C432" s="41"/>
      <c r="D432" s="41"/>
      <c r="E432" s="41"/>
      <c r="F432" s="41"/>
      <c r="G432" s="41"/>
      <c r="H432" s="231"/>
      <c r="I432" s="41"/>
      <c r="J432" s="41"/>
      <c r="K432" s="41"/>
      <c r="L432" s="41"/>
      <c r="M432" s="41"/>
      <c r="N432" s="41"/>
      <c r="O432" s="41"/>
      <c r="P432" s="41"/>
      <c r="Q432" s="41"/>
    </row>
    <row r="433" spans="2:17">
      <c r="B433" s="41"/>
      <c r="C433" s="41"/>
      <c r="D433" s="41"/>
      <c r="E433" s="41"/>
      <c r="F433" s="41"/>
      <c r="G433" s="41"/>
      <c r="H433" s="231"/>
      <c r="I433" s="41"/>
      <c r="J433" s="41"/>
      <c r="K433" s="41"/>
      <c r="L433" s="41"/>
      <c r="M433" s="41"/>
      <c r="N433" s="41"/>
      <c r="O433" s="41"/>
      <c r="P433" s="41"/>
      <c r="Q433" s="41"/>
    </row>
    <row r="434" spans="2:17">
      <c r="B434" s="41"/>
      <c r="C434" s="41"/>
      <c r="D434" s="41"/>
      <c r="E434" s="41"/>
      <c r="F434" s="41"/>
      <c r="G434" s="41"/>
      <c r="H434" s="231"/>
      <c r="I434" s="41"/>
      <c r="J434" s="41"/>
      <c r="K434" s="41"/>
      <c r="L434" s="41"/>
      <c r="M434" s="41"/>
      <c r="N434" s="41"/>
      <c r="O434" s="41"/>
      <c r="P434" s="41"/>
      <c r="Q434" s="41"/>
    </row>
    <row r="435" spans="2:17">
      <c r="B435" s="41"/>
      <c r="C435" s="41"/>
      <c r="D435" s="41"/>
      <c r="E435" s="41"/>
      <c r="F435" s="41"/>
      <c r="G435" s="41"/>
      <c r="H435" s="231"/>
      <c r="I435" s="41"/>
      <c r="J435" s="41"/>
      <c r="K435" s="41"/>
      <c r="L435" s="41"/>
      <c r="M435" s="41"/>
      <c r="N435" s="41"/>
      <c r="O435" s="41"/>
      <c r="P435" s="41"/>
      <c r="Q435" s="41"/>
    </row>
    <row r="436" spans="2:17">
      <c r="B436" s="41"/>
      <c r="C436" s="41"/>
      <c r="D436" s="41"/>
      <c r="E436" s="41"/>
      <c r="F436" s="41"/>
      <c r="G436" s="41"/>
      <c r="H436" s="231"/>
      <c r="I436" s="41"/>
      <c r="J436" s="41"/>
      <c r="K436" s="41"/>
      <c r="L436" s="41"/>
      <c r="M436" s="41"/>
      <c r="N436" s="41"/>
      <c r="O436" s="41"/>
      <c r="P436" s="41"/>
      <c r="Q436" s="41"/>
    </row>
    <row r="437" spans="2:17">
      <c r="B437" s="41"/>
      <c r="C437" s="41"/>
      <c r="D437" s="41"/>
      <c r="E437" s="41"/>
      <c r="F437" s="41"/>
      <c r="G437" s="41"/>
      <c r="H437" s="231"/>
      <c r="I437" s="41"/>
      <c r="J437" s="41"/>
      <c r="K437" s="41"/>
      <c r="L437" s="41"/>
      <c r="M437" s="41"/>
      <c r="N437" s="41"/>
      <c r="O437" s="41"/>
      <c r="P437" s="41"/>
      <c r="Q437" s="41"/>
    </row>
    <row r="438" spans="2:17">
      <c r="B438" s="41"/>
      <c r="C438" s="41"/>
      <c r="D438" s="41"/>
      <c r="E438" s="41"/>
      <c r="F438" s="41"/>
      <c r="G438" s="41"/>
      <c r="H438" s="231"/>
      <c r="I438" s="41"/>
      <c r="J438" s="41"/>
      <c r="K438" s="41"/>
      <c r="L438" s="41"/>
      <c r="M438" s="41"/>
      <c r="N438" s="41"/>
      <c r="O438" s="41"/>
      <c r="P438" s="41"/>
      <c r="Q438" s="41"/>
    </row>
    <row r="439" spans="2:17">
      <c r="B439" s="41"/>
      <c r="C439" s="41"/>
      <c r="D439" s="41"/>
      <c r="E439" s="41"/>
      <c r="F439" s="41"/>
      <c r="G439" s="41"/>
      <c r="H439" s="231"/>
      <c r="I439" s="41"/>
      <c r="J439" s="41"/>
      <c r="K439" s="41"/>
      <c r="L439" s="41"/>
      <c r="M439" s="41"/>
      <c r="N439" s="41"/>
      <c r="O439" s="41"/>
      <c r="P439" s="41"/>
      <c r="Q439" s="41"/>
    </row>
    <row r="440" spans="2:17">
      <c r="B440" s="41"/>
      <c r="C440" s="41"/>
      <c r="D440" s="41"/>
      <c r="E440" s="41"/>
      <c r="F440" s="41"/>
      <c r="G440" s="41"/>
      <c r="H440" s="231"/>
      <c r="I440" s="41"/>
      <c r="J440" s="41"/>
      <c r="K440" s="41"/>
      <c r="L440" s="41"/>
      <c r="M440" s="41"/>
      <c r="N440" s="41"/>
      <c r="O440" s="41"/>
      <c r="P440" s="41"/>
      <c r="Q440" s="41"/>
    </row>
    <row r="441" spans="2:17">
      <c r="B441" s="41"/>
      <c r="C441" s="41"/>
      <c r="D441" s="41"/>
      <c r="E441" s="41"/>
      <c r="F441" s="41"/>
      <c r="G441" s="41"/>
      <c r="H441" s="231"/>
      <c r="I441" s="41"/>
      <c r="J441" s="41"/>
      <c r="K441" s="41"/>
      <c r="L441" s="41"/>
      <c r="M441" s="41"/>
      <c r="N441" s="41"/>
      <c r="O441" s="41"/>
      <c r="P441" s="41"/>
      <c r="Q441" s="41"/>
    </row>
    <row r="442" spans="2:17">
      <c r="B442" s="41"/>
      <c r="C442" s="41"/>
      <c r="D442" s="41"/>
      <c r="E442" s="41"/>
      <c r="F442" s="41"/>
      <c r="G442" s="41"/>
      <c r="H442" s="231"/>
      <c r="I442" s="41"/>
      <c r="J442" s="41"/>
      <c r="K442" s="41"/>
      <c r="L442" s="41"/>
      <c r="M442" s="41"/>
      <c r="N442" s="41"/>
      <c r="O442" s="41"/>
      <c r="P442" s="41"/>
      <c r="Q442" s="41"/>
    </row>
    <row r="443" spans="2:17">
      <c r="B443" s="41"/>
      <c r="C443" s="41"/>
      <c r="D443" s="41"/>
      <c r="E443" s="41"/>
      <c r="F443" s="41"/>
      <c r="G443" s="41"/>
      <c r="H443" s="231"/>
      <c r="I443" s="41"/>
      <c r="J443" s="41"/>
      <c r="K443" s="41"/>
      <c r="L443" s="41"/>
      <c r="M443" s="41"/>
      <c r="N443" s="41"/>
      <c r="O443" s="41"/>
      <c r="P443" s="41"/>
      <c r="Q443" s="41"/>
    </row>
    <row r="444" spans="2:17">
      <c r="B444" s="41"/>
      <c r="C444" s="41"/>
      <c r="D444" s="41"/>
      <c r="E444" s="41"/>
      <c r="F444" s="41"/>
      <c r="G444" s="41"/>
      <c r="H444" s="231"/>
      <c r="I444" s="41"/>
      <c r="J444" s="41"/>
      <c r="K444" s="41"/>
      <c r="L444" s="41"/>
      <c r="M444" s="41"/>
      <c r="N444" s="41"/>
      <c r="O444" s="41"/>
      <c r="P444" s="41"/>
      <c r="Q444" s="41"/>
    </row>
    <row r="445" spans="2:17">
      <c r="B445" s="41"/>
      <c r="C445" s="41"/>
      <c r="D445" s="41"/>
      <c r="E445" s="41"/>
      <c r="F445" s="41"/>
      <c r="G445" s="41"/>
      <c r="H445" s="231"/>
      <c r="I445" s="41"/>
      <c r="J445" s="41"/>
      <c r="K445" s="41"/>
      <c r="L445" s="41"/>
      <c r="M445" s="41"/>
      <c r="N445" s="41"/>
      <c r="O445" s="41"/>
      <c r="P445" s="41"/>
      <c r="Q445" s="41"/>
    </row>
    <row r="446" spans="2:17">
      <c r="B446" s="41"/>
      <c r="C446" s="41"/>
      <c r="D446" s="41"/>
      <c r="E446" s="41"/>
      <c r="F446" s="41"/>
      <c r="G446" s="41"/>
      <c r="H446" s="231"/>
      <c r="I446" s="41"/>
      <c r="J446" s="41"/>
      <c r="K446" s="41"/>
      <c r="L446" s="41"/>
      <c r="M446" s="41"/>
      <c r="N446" s="41"/>
      <c r="O446" s="41"/>
      <c r="P446" s="41"/>
      <c r="Q446" s="41"/>
    </row>
    <row r="447" spans="2:17">
      <c r="B447" s="41"/>
      <c r="C447" s="41"/>
      <c r="D447" s="41"/>
      <c r="E447" s="41"/>
      <c r="F447" s="41"/>
      <c r="G447" s="41"/>
      <c r="H447" s="231"/>
      <c r="I447" s="41"/>
      <c r="J447" s="41"/>
      <c r="K447" s="41"/>
      <c r="L447" s="41"/>
      <c r="M447" s="41"/>
      <c r="N447" s="41"/>
      <c r="O447" s="41"/>
      <c r="P447" s="41"/>
      <c r="Q447" s="41"/>
    </row>
    <row r="448" spans="2:17">
      <c r="B448" s="41"/>
      <c r="C448" s="41"/>
      <c r="D448" s="41"/>
      <c r="E448" s="41"/>
      <c r="F448" s="41"/>
      <c r="G448" s="41"/>
      <c r="H448" s="231"/>
      <c r="I448" s="41"/>
      <c r="J448" s="41"/>
      <c r="K448" s="41"/>
      <c r="L448" s="41"/>
      <c r="M448" s="41"/>
      <c r="N448" s="41"/>
      <c r="O448" s="41"/>
      <c r="P448" s="41"/>
      <c r="Q448" s="41"/>
    </row>
    <row r="449" spans="2:17">
      <c r="B449" s="41"/>
      <c r="C449" s="41"/>
      <c r="D449" s="41"/>
      <c r="E449" s="41"/>
      <c r="F449" s="41"/>
      <c r="G449" s="41"/>
      <c r="H449" s="231"/>
      <c r="I449" s="41"/>
      <c r="J449" s="41"/>
      <c r="K449" s="41"/>
      <c r="L449" s="41"/>
      <c r="M449" s="41"/>
      <c r="N449" s="41"/>
      <c r="O449" s="41"/>
      <c r="P449" s="41"/>
      <c r="Q449" s="41"/>
    </row>
    <row r="450" spans="2:17">
      <c r="B450" s="41"/>
      <c r="C450" s="41"/>
      <c r="D450" s="41"/>
      <c r="E450" s="41"/>
      <c r="F450" s="41"/>
      <c r="G450" s="41"/>
      <c r="H450" s="231"/>
      <c r="I450" s="41"/>
      <c r="J450" s="41"/>
      <c r="K450" s="41"/>
      <c r="L450" s="41"/>
      <c r="M450" s="41"/>
      <c r="N450" s="41"/>
      <c r="O450" s="41"/>
      <c r="P450" s="41"/>
      <c r="Q450" s="41"/>
    </row>
    <row r="451" spans="2:17">
      <c r="B451" s="41"/>
      <c r="C451" s="41"/>
      <c r="D451" s="41"/>
      <c r="E451" s="41"/>
      <c r="F451" s="41"/>
      <c r="G451" s="41"/>
      <c r="H451" s="231"/>
      <c r="I451" s="41"/>
      <c r="J451" s="41"/>
      <c r="K451" s="41"/>
      <c r="L451" s="41"/>
      <c r="M451" s="41"/>
      <c r="N451" s="41"/>
      <c r="O451" s="41"/>
      <c r="P451" s="41"/>
      <c r="Q451" s="41"/>
    </row>
  </sheetData>
  <mergeCells count="205">
    <mergeCell ref="R50:R51"/>
    <mergeCell ref="R52:R53"/>
    <mergeCell ref="R54:R55"/>
    <mergeCell ref="R56:R57"/>
    <mergeCell ref="R58:R59"/>
    <mergeCell ref="R60:R61"/>
    <mergeCell ref="R62:R63"/>
    <mergeCell ref="R64:R65"/>
    <mergeCell ref="R36:R37"/>
    <mergeCell ref="R30:R31"/>
    <mergeCell ref="R32:R33"/>
    <mergeCell ref="R12:R13"/>
    <mergeCell ref="R14:R15"/>
    <mergeCell ref="R16:R17"/>
    <mergeCell ref="R18:R19"/>
    <mergeCell ref="R20:R21"/>
    <mergeCell ref="R22:R23"/>
    <mergeCell ref="R24:R25"/>
    <mergeCell ref="R26:R27"/>
    <mergeCell ref="R28:R29"/>
    <mergeCell ref="R34:R35"/>
    <mergeCell ref="C60:C61"/>
    <mergeCell ref="D60:D61"/>
    <mergeCell ref="L60:L61"/>
    <mergeCell ref="M60:M61"/>
    <mergeCell ref="N60:N61"/>
    <mergeCell ref="O60:O61"/>
    <mergeCell ref="P60:P61"/>
    <mergeCell ref="Q60:Q61"/>
    <mergeCell ref="M58:M59"/>
    <mergeCell ref="N58:N59"/>
    <mergeCell ref="O58:O59"/>
    <mergeCell ref="P58:P59"/>
    <mergeCell ref="Q58:Q59"/>
    <mergeCell ref="M54:M55"/>
    <mergeCell ref="N54:N55"/>
    <mergeCell ref="O54:O55"/>
    <mergeCell ref="P54:P55"/>
    <mergeCell ref="Q54:Q55"/>
    <mergeCell ref="C56:C57"/>
    <mergeCell ref="D56:D57"/>
    <mergeCell ref="L56:L57"/>
    <mergeCell ref="M56:M57"/>
    <mergeCell ref="N56:N57"/>
    <mergeCell ref="B82:F82"/>
    <mergeCell ref="B83:B84"/>
    <mergeCell ref="C83:C84"/>
    <mergeCell ref="B72:F72"/>
    <mergeCell ref="Q64:Q65"/>
    <mergeCell ref="B67:E67"/>
    <mergeCell ref="O62:O63"/>
    <mergeCell ref="P62:P63"/>
    <mergeCell ref="Q62:Q63"/>
    <mergeCell ref="B64:C65"/>
    <mergeCell ref="D64:D65"/>
    <mergeCell ref="L64:L65"/>
    <mergeCell ref="M64:M65"/>
    <mergeCell ref="N64:N65"/>
    <mergeCell ref="O64:O65"/>
    <mergeCell ref="P64:P65"/>
    <mergeCell ref="B73:B74"/>
    <mergeCell ref="C73:C74"/>
    <mergeCell ref="C62:C63"/>
    <mergeCell ref="D62:D63"/>
    <mergeCell ref="L62:L63"/>
    <mergeCell ref="M62:M63"/>
    <mergeCell ref="N62:N63"/>
    <mergeCell ref="O56:O57"/>
    <mergeCell ref="P56:P57"/>
    <mergeCell ref="Q56:Q57"/>
    <mergeCell ref="M50:M51"/>
    <mergeCell ref="N50:N51"/>
    <mergeCell ref="O50:O51"/>
    <mergeCell ref="P50:P51"/>
    <mergeCell ref="Q50:Q51"/>
    <mergeCell ref="C52:C53"/>
    <mergeCell ref="D52:D53"/>
    <mergeCell ref="L52:L53"/>
    <mergeCell ref="M52:M53"/>
    <mergeCell ref="N52:N53"/>
    <mergeCell ref="O52:O53"/>
    <mergeCell ref="P52:P53"/>
    <mergeCell ref="Q52:Q53"/>
    <mergeCell ref="B39:E39"/>
    <mergeCell ref="B43:B46"/>
    <mergeCell ref="B50:B63"/>
    <mergeCell ref="C50:C51"/>
    <mergeCell ref="D50:D51"/>
    <mergeCell ref="L50:L51"/>
    <mergeCell ref="C58:C59"/>
    <mergeCell ref="D58:D59"/>
    <mergeCell ref="L58:L59"/>
    <mergeCell ref="C54:C55"/>
    <mergeCell ref="D54:D55"/>
    <mergeCell ref="L54:L55"/>
    <mergeCell ref="P32:P33"/>
    <mergeCell ref="Q32:Q33"/>
    <mergeCell ref="B36:C37"/>
    <mergeCell ref="D36:D37"/>
    <mergeCell ref="L36:L37"/>
    <mergeCell ref="M36:M37"/>
    <mergeCell ref="N36:N37"/>
    <mergeCell ref="O36:O37"/>
    <mergeCell ref="P36:P37"/>
    <mergeCell ref="Q36:Q37"/>
    <mergeCell ref="C32:C33"/>
    <mergeCell ref="D32:D33"/>
    <mergeCell ref="L32:L33"/>
    <mergeCell ref="M32:M33"/>
    <mergeCell ref="N32:N33"/>
    <mergeCell ref="O32:O33"/>
    <mergeCell ref="C34:C35"/>
    <mergeCell ref="D34:D35"/>
    <mergeCell ref="L34:L35"/>
    <mergeCell ref="M34:M35"/>
    <mergeCell ref="N34:N35"/>
    <mergeCell ref="O34:O35"/>
    <mergeCell ref="P34:P35"/>
    <mergeCell ref="Q34:Q35"/>
    <mergeCell ref="P28:P29"/>
    <mergeCell ref="Q28:Q29"/>
    <mergeCell ref="C30:C31"/>
    <mergeCell ref="D30:D31"/>
    <mergeCell ref="L30:L31"/>
    <mergeCell ref="M30:M31"/>
    <mergeCell ref="N30:N31"/>
    <mergeCell ref="O30:O31"/>
    <mergeCell ref="P30:P31"/>
    <mergeCell ref="Q30:Q31"/>
    <mergeCell ref="C28:C29"/>
    <mergeCell ref="D28:D29"/>
    <mergeCell ref="L28:L29"/>
    <mergeCell ref="M28:M29"/>
    <mergeCell ref="N28:N29"/>
    <mergeCell ref="O28:O29"/>
    <mergeCell ref="P24:P25"/>
    <mergeCell ref="Q24:Q25"/>
    <mergeCell ref="C26:C27"/>
    <mergeCell ref="D26:D27"/>
    <mergeCell ref="L26:L27"/>
    <mergeCell ref="M26:M27"/>
    <mergeCell ref="N26:N27"/>
    <mergeCell ref="O26:O27"/>
    <mergeCell ref="P26:P27"/>
    <mergeCell ref="Q26:Q27"/>
    <mergeCell ref="C24:C25"/>
    <mergeCell ref="D24:D25"/>
    <mergeCell ref="L24:L25"/>
    <mergeCell ref="M24:M25"/>
    <mergeCell ref="N24:N25"/>
    <mergeCell ref="O24:O25"/>
    <mergeCell ref="D16:D17"/>
    <mergeCell ref="L16:L17"/>
    <mergeCell ref="M16:M17"/>
    <mergeCell ref="N16:N17"/>
    <mergeCell ref="O16:O17"/>
    <mergeCell ref="D18:D19"/>
    <mergeCell ref="P20:P21"/>
    <mergeCell ref="Q20:Q21"/>
    <mergeCell ref="C22:C23"/>
    <mergeCell ref="D22:D23"/>
    <mergeCell ref="L22:L23"/>
    <mergeCell ref="M22:M23"/>
    <mergeCell ref="N22:N23"/>
    <mergeCell ref="O22:O23"/>
    <mergeCell ref="P22:P23"/>
    <mergeCell ref="Q22:Q23"/>
    <mergeCell ref="D20:D21"/>
    <mergeCell ref="L20:L21"/>
    <mergeCell ref="M20:M21"/>
    <mergeCell ref="N20:N21"/>
    <mergeCell ref="O20:O21"/>
    <mergeCell ref="Q14:Q15"/>
    <mergeCell ref="P16:P17"/>
    <mergeCell ref="Q16:Q17"/>
    <mergeCell ref="L18:L19"/>
    <mergeCell ref="M18:M19"/>
    <mergeCell ref="N18:N19"/>
    <mergeCell ref="O18:O19"/>
    <mergeCell ref="P18:P19"/>
    <mergeCell ref="Q18:Q19"/>
    <mergeCell ref="F94:F95"/>
    <mergeCell ref="C94:C95"/>
    <mergeCell ref="C18:C19"/>
    <mergeCell ref="C16:C17"/>
    <mergeCell ref="C14:C15"/>
    <mergeCell ref="C12:C13"/>
    <mergeCell ref="C20:C21"/>
    <mergeCell ref="B2:Q2"/>
    <mergeCell ref="B3:Q3"/>
    <mergeCell ref="B6:B9"/>
    <mergeCell ref="D12:D13"/>
    <mergeCell ref="L12:L13"/>
    <mergeCell ref="M12:M13"/>
    <mergeCell ref="N12:N13"/>
    <mergeCell ref="O12:O13"/>
    <mergeCell ref="P12:P13"/>
    <mergeCell ref="Q12:Q13"/>
    <mergeCell ref="B12:B35"/>
    <mergeCell ref="D14:D15"/>
    <mergeCell ref="L14:L15"/>
    <mergeCell ref="M14:M15"/>
    <mergeCell ref="N14:N15"/>
    <mergeCell ref="O14:O15"/>
    <mergeCell ref="P14:P15"/>
  </mergeCells>
  <conditionalFormatting sqref="I12:I35">
    <cfRule type="dataBar" priority="10">
      <dataBar>
        <cfvo type="min"/>
        <cfvo type="max"/>
        <color rgb="FF008AEF"/>
      </dataBar>
    </cfRule>
  </conditionalFormatting>
  <conditionalFormatting sqref="I50:I63">
    <cfRule type="dataBar" priority="9">
      <dataBar>
        <cfvo type="min"/>
        <cfvo type="max"/>
        <color rgb="FF008AEF"/>
      </dataBar>
    </cfRule>
  </conditionalFormatting>
  <conditionalFormatting sqref="Q50:Q63">
    <cfRule type="dataBar" priority="8">
      <dataBar>
        <cfvo type="min"/>
        <cfvo type="max"/>
        <color rgb="FF638EC6"/>
      </dataBar>
    </cfRule>
  </conditionalFormatting>
  <conditionalFormatting sqref="R50:R63">
    <cfRule type="dataBar" priority="7">
      <dataBar>
        <cfvo type="min"/>
        <cfvo type="max"/>
        <color rgb="FF638EC6"/>
      </dataBar>
    </cfRule>
  </conditionalFormatting>
  <conditionalFormatting sqref="Q12:Q35">
    <cfRule type="dataBar" priority="6">
      <dataBar>
        <cfvo type="min"/>
        <cfvo type="max"/>
        <color rgb="FF638EC6"/>
      </dataBar>
    </cfRule>
  </conditionalFormatting>
  <conditionalFormatting sqref="Q12:R35">
    <cfRule type="dataBar" priority="5">
      <dataBar>
        <cfvo type="min"/>
        <cfvo type="max"/>
        <color rgb="FF638EC6"/>
      </dataBar>
    </cfRule>
  </conditionalFormatting>
  <conditionalFormatting sqref="R12:R35">
    <cfRule type="dataBar" priority="4">
      <dataBar>
        <cfvo type="min"/>
        <cfvo type="max"/>
        <color rgb="FF638EC6"/>
      </dataBar>
    </cfRule>
  </conditionalFormatting>
  <conditionalFormatting sqref="G12:G35">
    <cfRule type="dataBar" priority="1">
      <dataBar>
        <cfvo type="min"/>
        <cfvo type="max"/>
        <color rgb="FFFF555A"/>
      </dataBar>
    </cfRule>
  </conditionalFormatting>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BE61"/>
  <sheetViews>
    <sheetView showGridLines="0" zoomScale="69" zoomScaleNormal="69" zoomScalePageLayoutView="61" workbookViewId="0">
      <selection activeCell="U8" sqref="U8"/>
    </sheetView>
  </sheetViews>
  <sheetFormatPr baseColWidth="10" defaultColWidth="11.42578125" defaultRowHeight="15"/>
  <cols>
    <col min="1" max="1" width="4.140625" style="46" customWidth="1"/>
    <col min="2" max="2" width="12.42578125" style="46" customWidth="1"/>
    <col min="3" max="3" width="14.7109375" style="46" customWidth="1"/>
    <col min="4" max="4" width="12.140625" style="46" customWidth="1"/>
    <col min="5" max="5" width="10.42578125" style="46" customWidth="1"/>
    <col min="6" max="6" width="10.7109375" style="3" customWidth="1"/>
    <col min="7" max="7" width="10.28515625" style="46" customWidth="1"/>
    <col min="8" max="8" width="12.7109375" style="46" customWidth="1"/>
    <col min="9" max="9" width="10.28515625" style="46" customWidth="1"/>
    <col min="10" max="10" width="11" style="46" customWidth="1"/>
    <col min="11" max="11" width="12" style="46" customWidth="1"/>
    <col min="12" max="12" width="11.42578125" style="46" customWidth="1"/>
    <col min="13" max="13" width="10.7109375" style="3" customWidth="1"/>
    <col min="14" max="14" width="16" style="46" customWidth="1"/>
    <col min="15" max="15" width="13.28515625" style="46" customWidth="1"/>
    <col min="16" max="16" width="10.7109375" style="46" customWidth="1"/>
    <col min="17" max="17" width="11.7109375" style="46" customWidth="1"/>
    <col min="18" max="18" width="11.42578125" style="46" hidden="1" customWidth="1"/>
    <col min="19" max="19" width="25.7109375" style="46" customWidth="1"/>
    <col min="20" max="20" width="18.42578125" style="46" customWidth="1"/>
    <col min="21" max="21" width="40" style="46" customWidth="1"/>
    <col min="22" max="22" width="16" style="46" bestFit="1" customWidth="1"/>
    <col min="23" max="23" width="12.28515625" style="46" bestFit="1" customWidth="1"/>
    <col min="24" max="24" width="17.28515625" style="46" bestFit="1" customWidth="1"/>
    <col min="25" max="25" width="23" style="46" bestFit="1" customWidth="1"/>
    <col min="26" max="26" width="18.28515625" style="46" bestFit="1" customWidth="1"/>
    <col min="27" max="27" width="15" style="46" customWidth="1"/>
    <col min="28" max="28" width="12.42578125" style="46" bestFit="1" customWidth="1"/>
    <col min="29" max="29" width="14.42578125" style="46" bestFit="1" customWidth="1"/>
    <col min="30" max="30" width="16" style="46" bestFit="1" customWidth="1"/>
    <col min="31" max="31" width="21" style="46" bestFit="1" customWidth="1"/>
    <col min="32" max="32" width="23" style="46" bestFit="1" customWidth="1"/>
    <col min="33" max="33" width="18.28515625" style="46" bestFit="1" customWidth="1"/>
    <col min="34" max="34" width="21.42578125" style="46" bestFit="1" customWidth="1"/>
    <col min="35" max="35" width="12.42578125" style="46" bestFit="1" customWidth="1"/>
    <col min="36" max="36" width="9.7109375" style="46" bestFit="1" customWidth="1"/>
    <col min="37" max="37" width="14.140625" style="46" bestFit="1" customWidth="1"/>
    <col min="38" max="38" width="10" style="46" bestFit="1" customWidth="1"/>
    <col min="39" max="39" width="15.42578125" style="46" customWidth="1"/>
    <col min="40" max="40" width="44.42578125" style="46" customWidth="1"/>
    <col min="41" max="41" width="14.42578125" style="46" bestFit="1" customWidth="1"/>
    <col min="42" max="42" width="12.28515625" style="1" bestFit="1" customWidth="1"/>
    <col min="43" max="43" width="21.7109375" style="46" customWidth="1"/>
    <col min="44" max="44" width="23" style="46" bestFit="1" customWidth="1"/>
    <col min="45" max="45" width="18.28515625" style="46" bestFit="1" customWidth="1"/>
    <col min="46" max="46" width="14.42578125" style="46" customWidth="1"/>
    <col min="47" max="47" width="17.42578125" style="46" customWidth="1"/>
    <col min="48" max="48" width="9.28515625" style="46" bestFit="1" customWidth="1"/>
    <col min="49" max="49" width="14.42578125" style="46" bestFit="1" customWidth="1"/>
    <col min="50" max="50" width="21" style="46" bestFit="1" customWidth="1"/>
    <col min="51" max="51" width="23" style="46" bestFit="1" customWidth="1"/>
    <col min="52" max="52" width="18.28515625" style="46" bestFit="1" customWidth="1"/>
    <col min="53" max="53" width="21.42578125" style="46" bestFit="1" customWidth="1"/>
    <col min="54" max="54" width="12.42578125" style="46" bestFit="1" customWidth="1"/>
    <col min="55" max="55" width="9.7109375" style="46" bestFit="1" customWidth="1"/>
    <col min="56" max="56" width="14.140625" style="46" bestFit="1" customWidth="1"/>
    <col min="57" max="57" width="6.42578125" style="46" hidden="1" customWidth="1"/>
    <col min="58" max="58" width="24.7109375" style="46" customWidth="1"/>
    <col min="59" max="59" width="16.7109375" style="46" customWidth="1"/>
    <col min="60" max="60" width="42.42578125" style="46" bestFit="1" customWidth="1"/>
    <col min="61" max="61" width="18.28515625" style="46" customWidth="1"/>
    <col min="62" max="62" width="11.42578125" style="46"/>
    <col min="63" max="63" width="14.7109375" style="46" bestFit="1" customWidth="1"/>
    <col min="64" max="64" width="20.7109375" style="46" customWidth="1"/>
    <col min="65" max="65" width="15.7109375" style="46" customWidth="1"/>
    <col min="66" max="66" width="11.42578125" style="46"/>
    <col min="67" max="67" width="14" style="46" customWidth="1"/>
    <col min="68" max="68" width="11.42578125" style="46"/>
    <col min="69" max="69" width="17.42578125" style="46" customWidth="1"/>
    <col min="70" max="70" width="21" style="46" bestFit="1" customWidth="1"/>
    <col min="71" max="71" width="14.140625" style="46" bestFit="1" customWidth="1"/>
    <col min="72" max="72" width="18.28515625" style="46" bestFit="1" customWidth="1"/>
    <col min="73" max="73" width="12.7109375" style="46" bestFit="1" customWidth="1"/>
    <col min="74" max="74" width="12.42578125" style="46" bestFit="1" customWidth="1"/>
    <col min="75" max="75" width="9.7109375" style="46" bestFit="1" customWidth="1"/>
    <col min="76" max="76" width="14.140625" style="46" bestFit="1" customWidth="1"/>
    <col min="77" max="16384" width="11.42578125" style="46"/>
  </cols>
  <sheetData>
    <row r="1" spans="2:19" ht="15.75" thickBot="1">
      <c r="H1" s="47"/>
    </row>
    <row r="2" spans="2:19" ht="33" customHeight="1">
      <c r="B2" s="783" t="s">
        <v>363</v>
      </c>
      <c r="C2" s="784"/>
      <c r="D2" s="784"/>
      <c r="E2" s="784"/>
      <c r="F2" s="784"/>
      <c r="G2" s="784"/>
      <c r="H2" s="784"/>
      <c r="I2" s="784"/>
      <c r="J2" s="784"/>
      <c r="K2" s="784"/>
      <c r="L2" s="784"/>
      <c r="M2" s="784"/>
      <c r="N2" s="784"/>
      <c r="O2" s="784"/>
      <c r="P2" s="784"/>
      <c r="Q2" s="785"/>
    </row>
    <row r="3" spans="2:19" ht="18.399999999999999" customHeight="1" thickBot="1">
      <c r="B3" s="786">
        <f>+'Resumen Cuota Global'!B4:I4</f>
        <v>43661</v>
      </c>
      <c r="C3" s="787"/>
      <c r="D3" s="787"/>
      <c r="E3" s="787"/>
      <c r="F3" s="787"/>
      <c r="G3" s="787"/>
      <c r="H3" s="787"/>
      <c r="I3" s="787"/>
      <c r="J3" s="787"/>
      <c r="K3" s="787"/>
      <c r="L3" s="787"/>
      <c r="M3" s="787"/>
      <c r="N3" s="787"/>
      <c r="O3" s="787"/>
      <c r="P3" s="787"/>
      <c r="Q3" s="788"/>
    </row>
    <row r="4" spans="2:19" ht="15.75" thickBot="1">
      <c r="G4" s="46" t="s">
        <v>69</v>
      </c>
      <c r="H4" s="47"/>
      <c r="J4" s="48"/>
    </row>
    <row r="5" spans="2:19" ht="47.25">
      <c r="B5" s="155" t="s">
        <v>71</v>
      </c>
      <c r="C5" s="156" t="s">
        <v>72</v>
      </c>
      <c r="D5" s="156" t="s">
        <v>73</v>
      </c>
      <c r="E5" s="156" t="s">
        <v>43</v>
      </c>
      <c r="F5" s="157" t="s">
        <v>4</v>
      </c>
      <c r="G5" s="157" t="s">
        <v>5</v>
      </c>
      <c r="H5" s="157" t="s">
        <v>6</v>
      </c>
      <c r="I5" s="157" t="s">
        <v>7</v>
      </c>
      <c r="J5" s="157" t="s">
        <v>74</v>
      </c>
      <c r="K5" s="158" t="s">
        <v>75</v>
      </c>
      <c r="L5" s="153" t="s">
        <v>3</v>
      </c>
      <c r="M5" s="154" t="s">
        <v>4</v>
      </c>
      <c r="N5" s="154" t="s">
        <v>5</v>
      </c>
      <c r="O5" s="154" t="s">
        <v>6</v>
      </c>
      <c r="P5" s="154" t="s">
        <v>7</v>
      </c>
      <c r="Q5" s="154" t="s">
        <v>428</v>
      </c>
      <c r="R5" s="154" t="s">
        <v>427</v>
      </c>
    </row>
    <row r="6" spans="2:19" ht="15.4" customHeight="1">
      <c r="B6" s="159">
        <v>1</v>
      </c>
      <c r="C6" s="789" t="s">
        <v>76</v>
      </c>
      <c r="D6" s="160" t="s">
        <v>77</v>
      </c>
      <c r="E6" s="161">
        <f>164.208+47.191</f>
        <v>211.399</v>
      </c>
      <c r="F6" s="258">
        <f>-147.667</f>
        <v>-147.667</v>
      </c>
      <c r="G6" s="101">
        <f>E6+F6</f>
        <v>63.731999999999999</v>
      </c>
      <c r="H6" s="274">
        <v>60.988999999999997</v>
      </c>
      <c r="I6" s="259">
        <f>G6-H6</f>
        <v>2.7430000000000021</v>
      </c>
      <c r="J6" s="162">
        <f>(H6/G6)</f>
        <v>0.95696039666101795</v>
      </c>
      <c r="K6" s="564" t="s">
        <v>30</v>
      </c>
      <c r="L6" s="790">
        <f>E6+E7</f>
        <v>258.59000000000003</v>
      </c>
      <c r="M6" s="791">
        <f>F6+F7</f>
        <v>-147.667</v>
      </c>
      <c r="N6" s="791">
        <f>L6+M6</f>
        <v>110.92300000000003</v>
      </c>
      <c r="O6" s="792">
        <f>H6+H7</f>
        <v>60.988999999999997</v>
      </c>
      <c r="P6" s="792">
        <f>N6-O6</f>
        <v>49.934000000000033</v>
      </c>
      <c r="Q6" s="793">
        <f>O6/N6</f>
        <v>0.54983186534803408</v>
      </c>
      <c r="R6" s="816">
        <f>+(((O6*-1)+M6)/L6)*-1</f>
        <v>0.80689895200897166</v>
      </c>
      <c r="S6" s="228"/>
    </row>
    <row r="7" spans="2:19">
      <c r="B7" s="159">
        <v>2</v>
      </c>
      <c r="C7" s="789"/>
      <c r="D7" s="160" t="s">
        <v>78</v>
      </c>
      <c r="E7" s="161">
        <f>94.382-47.191</f>
        <v>47.191000000000003</v>
      </c>
      <c r="F7" s="258"/>
      <c r="G7" s="101">
        <f>E7+F7+I6</f>
        <v>49.934000000000005</v>
      </c>
      <c r="H7" s="243"/>
      <c r="I7" s="87">
        <f>G7-H7</f>
        <v>49.934000000000005</v>
      </c>
      <c r="J7" s="162">
        <f>(H7/G7)</f>
        <v>0</v>
      </c>
      <c r="K7" s="163" t="s">
        <v>30</v>
      </c>
      <c r="L7" s="790"/>
      <c r="M7" s="791"/>
      <c r="N7" s="791"/>
      <c r="O7" s="791"/>
      <c r="P7" s="791"/>
      <c r="Q7" s="793"/>
      <c r="R7" s="816" t="e">
        <f t="shared" ref="R7:R37" si="0">+((M7*-1)+K7)/J7</f>
        <v>#VALUE!</v>
      </c>
    </row>
    <row r="8" spans="2:19">
      <c r="B8" s="159">
        <v>3</v>
      </c>
      <c r="C8" s="789" t="s">
        <v>79</v>
      </c>
      <c r="D8" s="160" t="s">
        <v>77</v>
      </c>
      <c r="E8" s="161">
        <f>385.625+110.823</f>
        <v>496.44799999999998</v>
      </c>
      <c r="F8" s="258">
        <v>-305.55599999999998</v>
      </c>
      <c r="G8" s="101">
        <f t="shared" ref="G8" si="1">E8+F8</f>
        <v>190.892</v>
      </c>
      <c r="H8" s="287">
        <f>+F44</f>
        <v>139.43100000000001</v>
      </c>
      <c r="I8" s="87">
        <f t="shared" ref="I8:I35" si="2">G8-H8</f>
        <v>51.460999999999984</v>
      </c>
      <c r="J8" s="162">
        <f t="shared" ref="J8:J20" si="3">(H8/G8)</f>
        <v>0.73041824696687141</v>
      </c>
      <c r="K8" s="163" t="s">
        <v>30</v>
      </c>
      <c r="L8" s="790">
        <f>E8+E9</f>
        <v>607.27099999999996</v>
      </c>
      <c r="M8" s="791">
        <f>F8+F9</f>
        <v>-305.55599999999998</v>
      </c>
      <c r="N8" s="791">
        <f>L8+M8</f>
        <v>301.71499999999997</v>
      </c>
      <c r="O8" s="792">
        <f>H8+H9</f>
        <v>139.43100000000001</v>
      </c>
      <c r="P8" s="792">
        <f>N8-O8</f>
        <v>162.28399999999996</v>
      </c>
      <c r="Q8" s="793">
        <f>O8/N8</f>
        <v>0.46212816731021006</v>
      </c>
      <c r="R8" s="816">
        <f t="shared" ref="R8" si="4">+(((O8*-1)+M8)/L8)*-1</f>
        <v>0.73276510816422979</v>
      </c>
    </row>
    <row r="9" spans="2:19">
      <c r="B9" s="159">
        <v>4</v>
      </c>
      <c r="C9" s="789" t="s">
        <v>79</v>
      </c>
      <c r="D9" s="160" t="s">
        <v>78</v>
      </c>
      <c r="E9" s="161">
        <f>221.646-110.823</f>
        <v>110.82299999999999</v>
      </c>
      <c r="F9" s="258"/>
      <c r="G9" s="101">
        <f t="shared" ref="G9" si="5">E9+F9+I8</f>
        <v>162.28399999999999</v>
      </c>
      <c r="H9" s="243"/>
      <c r="I9" s="87">
        <f t="shared" si="2"/>
        <v>162.28399999999999</v>
      </c>
      <c r="J9" s="162">
        <f t="shared" si="3"/>
        <v>0</v>
      </c>
      <c r="K9" s="163" t="s">
        <v>30</v>
      </c>
      <c r="L9" s="790"/>
      <c r="M9" s="791"/>
      <c r="N9" s="791"/>
      <c r="O9" s="791"/>
      <c r="P9" s="791"/>
      <c r="Q9" s="793"/>
      <c r="R9" s="816" t="e">
        <f t="shared" si="0"/>
        <v>#VALUE!</v>
      </c>
    </row>
    <row r="10" spans="2:19">
      <c r="B10" s="159">
        <v>5</v>
      </c>
      <c r="C10" s="789" t="s">
        <v>80</v>
      </c>
      <c r="D10" s="160" t="s">
        <v>77</v>
      </c>
      <c r="E10" s="161">
        <v>145.399</v>
      </c>
      <c r="F10" s="258"/>
      <c r="G10" s="101">
        <f t="shared" ref="G10" si="6">E10+F10</f>
        <v>145.399</v>
      </c>
      <c r="H10" s="287">
        <f>+F45</f>
        <v>137.399</v>
      </c>
      <c r="I10" s="87">
        <f t="shared" si="2"/>
        <v>8</v>
      </c>
      <c r="J10" s="162">
        <f t="shared" si="3"/>
        <v>0.94497898885136766</v>
      </c>
      <c r="K10" s="163" t="s">
        <v>30</v>
      </c>
      <c r="L10" s="790">
        <f>E10+E11</f>
        <v>228.97</v>
      </c>
      <c r="M10" s="791">
        <f>F10+F11</f>
        <v>0</v>
      </c>
      <c r="N10" s="791">
        <f>L10+M10</f>
        <v>228.97</v>
      </c>
      <c r="O10" s="792">
        <f>H10+H11</f>
        <v>137.399</v>
      </c>
      <c r="P10" s="792">
        <f>N10-O10</f>
        <v>91.570999999999998</v>
      </c>
      <c r="Q10" s="793">
        <f>O10/N10</f>
        <v>0.60007424553434952</v>
      </c>
      <c r="R10" s="816">
        <f t="shared" ref="R10" si="7">+(((O10*-1)+M10)/L10)*-1</f>
        <v>0.60007424553434952</v>
      </c>
    </row>
    <row r="11" spans="2:19">
      <c r="B11" s="159">
        <v>6</v>
      </c>
      <c r="C11" s="789" t="s">
        <v>80</v>
      </c>
      <c r="D11" s="160" t="s">
        <v>78</v>
      </c>
      <c r="E11" s="161">
        <v>83.570999999999998</v>
      </c>
      <c r="F11" s="258"/>
      <c r="G11" s="101">
        <f t="shared" ref="G11" si="8">E11+F11+I10</f>
        <v>91.570999999999998</v>
      </c>
      <c r="H11" s="243"/>
      <c r="I11" s="87">
        <f t="shared" si="2"/>
        <v>91.570999999999998</v>
      </c>
      <c r="J11" s="162">
        <f t="shared" si="3"/>
        <v>0</v>
      </c>
      <c r="K11" s="163" t="s">
        <v>30</v>
      </c>
      <c r="L11" s="790"/>
      <c r="M11" s="791"/>
      <c r="N11" s="791"/>
      <c r="O11" s="791"/>
      <c r="P11" s="791"/>
      <c r="Q11" s="793"/>
      <c r="R11" s="816" t="e">
        <f t="shared" si="0"/>
        <v>#VALUE!</v>
      </c>
    </row>
    <row r="12" spans="2:19">
      <c r="B12" s="159">
        <v>7</v>
      </c>
      <c r="C12" s="789" t="s">
        <v>81</v>
      </c>
      <c r="D12" s="160" t="s">
        <v>77</v>
      </c>
      <c r="E12" s="161">
        <v>16.343</v>
      </c>
      <c r="F12" s="258">
        <v>-10.294</v>
      </c>
      <c r="G12" s="101">
        <f t="shared" ref="G12" si="9">E12+F12</f>
        <v>6.0489999999999995</v>
      </c>
      <c r="H12" s="287">
        <f>+F46</f>
        <v>4.9400000000000004</v>
      </c>
      <c r="I12" s="87">
        <f t="shared" si="2"/>
        <v>1.1089999999999991</v>
      </c>
      <c r="J12" s="162">
        <f t="shared" si="3"/>
        <v>0.81666391139031258</v>
      </c>
      <c r="K12" s="163" t="s">
        <v>30</v>
      </c>
      <c r="L12" s="790">
        <f>E12+E13</f>
        <v>25.736000000000001</v>
      </c>
      <c r="M12" s="791">
        <f>F12+F13</f>
        <v>-10.294</v>
      </c>
      <c r="N12" s="791">
        <f>L12+M12</f>
        <v>15.442</v>
      </c>
      <c r="O12" s="792">
        <f>H12+H13</f>
        <v>4.9400000000000004</v>
      </c>
      <c r="P12" s="792">
        <f>N12-O12</f>
        <v>10.501999999999999</v>
      </c>
      <c r="Q12" s="793">
        <f>O12/N12</f>
        <v>0.31990674783059192</v>
      </c>
      <c r="R12" s="816">
        <f t="shared" ref="R12" si="10">+(((O12*-1)+M12)/L12)*-1</f>
        <v>0.59193347839602117</v>
      </c>
    </row>
    <row r="13" spans="2:19">
      <c r="B13" s="159">
        <v>8</v>
      </c>
      <c r="C13" s="789" t="s">
        <v>81</v>
      </c>
      <c r="D13" s="160" t="s">
        <v>78</v>
      </c>
      <c r="E13" s="161">
        <v>9.3930000000000007</v>
      </c>
      <c r="F13" s="258"/>
      <c r="G13" s="101">
        <f t="shared" ref="G13" si="11">E13+F13+I12</f>
        <v>10.501999999999999</v>
      </c>
      <c r="H13" s="243"/>
      <c r="I13" s="87">
        <f t="shared" si="2"/>
        <v>10.501999999999999</v>
      </c>
      <c r="J13" s="162">
        <f t="shared" si="3"/>
        <v>0</v>
      </c>
      <c r="K13" s="163" t="s">
        <v>30</v>
      </c>
      <c r="L13" s="790"/>
      <c r="M13" s="791"/>
      <c r="N13" s="791"/>
      <c r="O13" s="791"/>
      <c r="P13" s="791"/>
      <c r="Q13" s="793"/>
      <c r="R13" s="816" t="e">
        <f t="shared" si="0"/>
        <v>#VALUE!</v>
      </c>
    </row>
    <row r="14" spans="2:19">
      <c r="B14" s="159">
        <v>9</v>
      </c>
      <c r="C14" s="794" t="s">
        <v>82</v>
      </c>
      <c r="D14" s="687" t="s">
        <v>77</v>
      </c>
      <c r="E14" s="686">
        <f>150.819+77.723</f>
        <v>228.54199999999997</v>
      </c>
      <c r="F14" s="258"/>
      <c r="G14" s="101">
        <f t="shared" ref="G14" si="12">E14+F14</f>
        <v>228.54199999999997</v>
      </c>
      <c r="H14" s="287">
        <f>+F47</f>
        <v>160.113</v>
      </c>
      <c r="I14" s="87">
        <f t="shared" si="2"/>
        <v>68.428999999999974</v>
      </c>
      <c r="J14" s="162">
        <f t="shared" si="3"/>
        <v>0.70058457526406537</v>
      </c>
      <c r="K14" s="685" t="s">
        <v>30</v>
      </c>
      <c r="L14" s="790">
        <f>E14+E15</f>
        <v>237.50599999999997</v>
      </c>
      <c r="M14" s="791">
        <f>F14+F15</f>
        <v>0</v>
      </c>
      <c r="N14" s="791">
        <f>L14+M14</f>
        <v>237.50599999999997</v>
      </c>
      <c r="O14" s="792">
        <f>H14+H15</f>
        <v>160.113</v>
      </c>
      <c r="P14" s="792">
        <f>N14-O14</f>
        <v>77.392999999999972</v>
      </c>
      <c r="Q14" s="793">
        <f>O14/N14</f>
        <v>0.67414296901973014</v>
      </c>
      <c r="R14" s="816">
        <f t="shared" ref="R14" si="13">+(((O14*-1)+M14)/L14)*-1</f>
        <v>0.67414296901973014</v>
      </c>
    </row>
    <row r="15" spans="2:19">
      <c r="B15" s="159">
        <v>10</v>
      </c>
      <c r="C15" s="794" t="s">
        <v>82</v>
      </c>
      <c r="D15" s="160" t="s">
        <v>78</v>
      </c>
      <c r="E15" s="161">
        <f>86.687-77.723</f>
        <v>8.9639999999999986</v>
      </c>
      <c r="F15" s="258"/>
      <c r="G15" s="101">
        <f t="shared" ref="G15" si="14">E15+F15+I14</f>
        <v>77.392999999999972</v>
      </c>
      <c r="H15" s="243"/>
      <c r="I15" s="87">
        <f t="shared" si="2"/>
        <v>77.392999999999972</v>
      </c>
      <c r="J15" s="162">
        <f t="shared" si="3"/>
        <v>0</v>
      </c>
      <c r="K15" s="163" t="s">
        <v>30</v>
      </c>
      <c r="L15" s="790"/>
      <c r="M15" s="791"/>
      <c r="N15" s="791"/>
      <c r="O15" s="791"/>
      <c r="P15" s="791"/>
      <c r="Q15" s="793"/>
      <c r="R15" s="816" t="e">
        <f t="shared" si="0"/>
        <v>#VALUE!</v>
      </c>
    </row>
    <row r="16" spans="2:19">
      <c r="B16" s="159">
        <v>11</v>
      </c>
      <c r="C16" s="789" t="s">
        <v>83</v>
      </c>
      <c r="D16" s="160" t="s">
        <v>77</v>
      </c>
      <c r="E16" s="161">
        <v>366.63600000000002</v>
      </c>
      <c r="F16" s="258"/>
      <c r="G16" s="101">
        <f t="shared" ref="G16" si="15">E16+F16</f>
        <v>366.63600000000002</v>
      </c>
      <c r="H16" s="287">
        <f>+F48</f>
        <v>372.036</v>
      </c>
      <c r="I16" s="87">
        <f t="shared" si="2"/>
        <v>-5.3999999999999773</v>
      </c>
      <c r="J16" s="162">
        <f t="shared" si="3"/>
        <v>1.0147285045658363</v>
      </c>
      <c r="K16" s="285">
        <v>43650</v>
      </c>
      <c r="L16" s="790">
        <f>E16+E17</f>
        <v>577.36800000000005</v>
      </c>
      <c r="M16" s="791">
        <f>F16+F17</f>
        <v>0</v>
      </c>
      <c r="N16" s="791">
        <f>L16+M16</f>
        <v>577.36800000000005</v>
      </c>
      <c r="O16" s="792">
        <f>H16+H17</f>
        <v>372.036</v>
      </c>
      <c r="P16" s="792">
        <f>N16-O16</f>
        <v>205.33200000000005</v>
      </c>
      <c r="Q16" s="793">
        <f>O16/N16</f>
        <v>0.64436546535311967</v>
      </c>
      <c r="R16" s="816">
        <f t="shared" ref="R16" si="16">+(((O16*-1)+M16)/L16)*-1</f>
        <v>0.64436546535311967</v>
      </c>
    </row>
    <row r="17" spans="2:18">
      <c r="B17" s="159">
        <v>12</v>
      </c>
      <c r="C17" s="789" t="s">
        <v>83</v>
      </c>
      <c r="D17" s="160" t="s">
        <v>78</v>
      </c>
      <c r="E17" s="161">
        <v>210.732</v>
      </c>
      <c r="F17" s="258"/>
      <c r="G17" s="101">
        <f t="shared" ref="G17" si="17">E17+F17+I16</f>
        <v>205.33200000000002</v>
      </c>
      <c r="H17" s="243"/>
      <c r="I17" s="87">
        <f t="shared" si="2"/>
        <v>205.33200000000002</v>
      </c>
      <c r="J17" s="162">
        <f t="shared" si="3"/>
        <v>0</v>
      </c>
      <c r="K17" s="163" t="s">
        <v>30</v>
      </c>
      <c r="L17" s="790"/>
      <c r="M17" s="791"/>
      <c r="N17" s="791"/>
      <c r="O17" s="791"/>
      <c r="P17" s="791"/>
      <c r="Q17" s="793"/>
      <c r="R17" s="816" t="e">
        <f t="shared" si="0"/>
        <v>#VALUE!</v>
      </c>
    </row>
    <row r="18" spans="2:18">
      <c r="B18" s="159">
        <v>13</v>
      </c>
      <c r="C18" s="789" t="s">
        <v>84</v>
      </c>
      <c r="D18" s="160" t="s">
        <v>77</v>
      </c>
      <c r="E18" s="161">
        <v>131.066</v>
      </c>
      <c r="F18" s="258"/>
      <c r="G18" s="101">
        <f t="shared" ref="G18" si="18">E18+F18</f>
        <v>131.066</v>
      </c>
      <c r="H18" s="287">
        <f>+F49</f>
        <v>121.55</v>
      </c>
      <c r="I18" s="87">
        <f t="shared" si="2"/>
        <v>9.5160000000000053</v>
      </c>
      <c r="J18" s="162">
        <f t="shared" si="3"/>
        <v>0.92739535806387619</v>
      </c>
      <c r="K18" s="163" t="s">
        <v>30</v>
      </c>
      <c r="L18" s="790">
        <f>E18+E19</f>
        <v>206.399</v>
      </c>
      <c r="M18" s="791">
        <f>F18+F19</f>
        <v>0</v>
      </c>
      <c r="N18" s="791">
        <f>L18+M18</f>
        <v>206.399</v>
      </c>
      <c r="O18" s="792">
        <f>H18+H19</f>
        <v>121.55</v>
      </c>
      <c r="P18" s="792">
        <f>N18-O18</f>
        <v>84.849000000000004</v>
      </c>
      <c r="Q18" s="793">
        <f>O18/N18</f>
        <v>0.58890789199560079</v>
      </c>
      <c r="R18" s="816">
        <f t="shared" ref="R18" si="19">+(((O18*-1)+M18)/L18)*-1</f>
        <v>0.58890789199560079</v>
      </c>
    </row>
    <row r="19" spans="2:18">
      <c r="B19" s="159">
        <v>14</v>
      </c>
      <c r="C19" s="789" t="s">
        <v>84</v>
      </c>
      <c r="D19" s="160" t="s">
        <v>78</v>
      </c>
      <c r="E19" s="161">
        <v>75.332999999999998</v>
      </c>
      <c r="F19" s="258"/>
      <c r="G19" s="101">
        <f t="shared" ref="G19" si="20">E19+F19+I18</f>
        <v>84.849000000000004</v>
      </c>
      <c r="H19" s="243"/>
      <c r="I19" s="87">
        <f t="shared" si="2"/>
        <v>84.849000000000004</v>
      </c>
      <c r="J19" s="162">
        <f t="shared" si="3"/>
        <v>0</v>
      </c>
      <c r="K19" s="163" t="s">
        <v>30</v>
      </c>
      <c r="L19" s="790"/>
      <c r="M19" s="791"/>
      <c r="N19" s="791"/>
      <c r="O19" s="791"/>
      <c r="P19" s="791"/>
      <c r="Q19" s="793"/>
      <c r="R19" s="816" t="e">
        <f t="shared" si="0"/>
        <v>#VALUE!</v>
      </c>
    </row>
    <row r="20" spans="2:18">
      <c r="B20" s="159">
        <v>15</v>
      </c>
      <c r="C20" s="794" t="s">
        <v>85</v>
      </c>
      <c r="D20" s="687" t="s">
        <v>77</v>
      </c>
      <c r="E20" s="686">
        <f>103.06+20+34.438</f>
        <v>157.49799999999999</v>
      </c>
      <c r="F20" s="206"/>
      <c r="G20" s="204">
        <f t="shared" ref="G20" si="21">E20+F20</f>
        <v>157.49799999999999</v>
      </c>
      <c r="H20" s="455">
        <f>+F50</f>
        <v>130.35499999999999</v>
      </c>
      <c r="I20" s="206">
        <f t="shared" si="2"/>
        <v>27.143000000000001</v>
      </c>
      <c r="J20" s="456">
        <f t="shared" si="3"/>
        <v>0.82766130363560175</v>
      </c>
      <c r="K20" s="685" t="s">
        <v>30</v>
      </c>
      <c r="L20" s="790">
        <f>E20+E21</f>
        <v>162.29599999999999</v>
      </c>
      <c r="M20" s="791">
        <f>F20+F21</f>
        <v>0</v>
      </c>
      <c r="N20" s="791">
        <f>L20+M20</f>
        <v>162.29599999999999</v>
      </c>
      <c r="O20" s="792">
        <f>H20+H21</f>
        <v>130.35499999999999</v>
      </c>
      <c r="P20" s="792">
        <f>N20-O20</f>
        <v>31.941000000000003</v>
      </c>
      <c r="Q20" s="793">
        <f>O20/N20</f>
        <v>0.80319293143392323</v>
      </c>
      <c r="R20" s="816">
        <f t="shared" ref="R20" si="22">+(((O20*-1)+M20)/L20)*-1</f>
        <v>0.80319293143392323</v>
      </c>
    </row>
    <row r="21" spans="2:18">
      <c r="B21" s="159">
        <v>16</v>
      </c>
      <c r="C21" s="794" t="s">
        <v>85</v>
      </c>
      <c r="D21" s="160" t="s">
        <v>78</v>
      </c>
      <c r="E21" s="161">
        <f>59.236-20-34.438</f>
        <v>4.7979999999999947</v>
      </c>
      <c r="F21" s="258"/>
      <c r="G21" s="101">
        <f t="shared" ref="G21" si="23">E21+F21+I20</f>
        <v>31.940999999999995</v>
      </c>
      <c r="H21" s="243"/>
      <c r="I21" s="87">
        <f t="shared" si="2"/>
        <v>31.940999999999995</v>
      </c>
      <c r="J21" s="162">
        <f t="shared" ref="J21:J37" si="24">(H21/G21)</f>
        <v>0</v>
      </c>
      <c r="K21" s="163" t="s">
        <v>30</v>
      </c>
      <c r="L21" s="790"/>
      <c r="M21" s="791"/>
      <c r="N21" s="791"/>
      <c r="O21" s="791"/>
      <c r="P21" s="791"/>
      <c r="Q21" s="793"/>
      <c r="R21" s="816" t="e">
        <f t="shared" si="0"/>
        <v>#VALUE!</v>
      </c>
    </row>
    <row r="22" spans="2:18">
      <c r="B22" s="159">
        <v>17</v>
      </c>
      <c r="C22" s="789" t="s">
        <v>86</v>
      </c>
      <c r="D22" s="160" t="s">
        <v>77</v>
      </c>
      <c r="E22" s="161">
        <v>1240.7249999999999</v>
      </c>
      <c r="F22" s="258"/>
      <c r="G22" s="101">
        <f t="shared" ref="G22" si="25">E22+F22</f>
        <v>1240.7249999999999</v>
      </c>
      <c r="H22" s="287">
        <f>+F51</f>
        <v>1110.713</v>
      </c>
      <c r="I22" s="87">
        <f t="shared" si="2"/>
        <v>130.01199999999994</v>
      </c>
      <c r="J22" s="162">
        <f t="shared" si="24"/>
        <v>0.89521287956638262</v>
      </c>
      <c r="K22" s="163" t="s">
        <v>30</v>
      </c>
      <c r="L22" s="790">
        <f>E22+E23</f>
        <v>1953.8579999999999</v>
      </c>
      <c r="M22" s="791">
        <f>F22+F23</f>
        <v>0</v>
      </c>
      <c r="N22" s="791">
        <f>L22+M22</f>
        <v>1953.8579999999999</v>
      </c>
      <c r="O22" s="792">
        <f>H22+H23</f>
        <v>1110.713</v>
      </c>
      <c r="P22" s="792">
        <f>N22-O22</f>
        <v>843.14499999999998</v>
      </c>
      <c r="Q22" s="793">
        <f>O22/N22</f>
        <v>0.56847171084080828</v>
      </c>
      <c r="R22" s="816">
        <f t="shared" ref="R22" si="26">+(((O22*-1)+M22)/L22)*-1</f>
        <v>0.56847171084080828</v>
      </c>
    </row>
    <row r="23" spans="2:18">
      <c r="B23" s="159">
        <v>18</v>
      </c>
      <c r="C23" s="789" t="s">
        <v>86</v>
      </c>
      <c r="D23" s="160" t="s">
        <v>78</v>
      </c>
      <c r="E23" s="161">
        <v>713.13300000000004</v>
      </c>
      <c r="F23" s="258"/>
      <c r="G23" s="101">
        <f t="shared" ref="G23" si="27">E23+F23+I22</f>
        <v>843.14499999999998</v>
      </c>
      <c r="H23" s="243"/>
      <c r="I23" s="87">
        <f t="shared" si="2"/>
        <v>843.14499999999998</v>
      </c>
      <c r="J23" s="162">
        <f t="shared" si="24"/>
        <v>0</v>
      </c>
      <c r="K23" s="163" t="s">
        <v>30</v>
      </c>
      <c r="L23" s="790"/>
      <c r="M23" s="791"/>
      <c r="N23" s="791"/>
      <c r="O23" s="791"/>
      <c r="P23" s="791"/>
      <c r="Q23" s="793"/>
      <c r="R23" s="816" t="e">
        <f t="shared" si="0"/>
        <v>#VALUE!</v>
      </c>
    </row>
    <row r="24" spans="2:18">
      <c r="B24" s="327">
        <v>19</v>
      </c>
      <c r="C24" s="796" t="s">
        <v>87</v>
      </c>
      <c r="D24" s="328" t="s">
        <v>77</v>
      </c>
      <c r="E24" s="329">
        <v>67.554000000000002</v>
      </c>
      <c r="F24" s="366">
        <v>-106</v>
      </c>
      <c r="G24" s="317">
        <f t="shared" ref="G24" si="28">E24+F24</f>
        <v>-38.445999999999998</v>
      </c>
      <c r="H24" s="367">
        <f>+F52</f>
        <v>0</v>
      </c>
      <c r="I24" s="366">
        <f t="shared" si="2"/>
        <v>-38.445999999999998</v>
      </c>
      <c r="J24" s="368">
        <f t="shared" si="24"/>
        <v>0</v>
      </c>
      <c r="K24" s="285">
        <v>43509</v>
      </c>
      <c r="L24" s="797">
        <f>E24+E25</f>
        <v>106.38200000000001</v>
      </c>
      <c r="M24" s="798">
        <f>F24+F25</f>
        <v>-106</v>
      </c>
      <c r="N24" s="799">
        <f>L24+M24</f>
        <v>0.382000000000005</v>
      </c>
      <c r="O24" s="800">
        <f>H24+H25</f>
        <v>0</v>
      </c>
      <c r="P24" s="800">
        <f>N24-O24</f>
        <v>0.382000000000005</v>
      </c>
      <c r="Q24" s="795">
        <f>O24/N24</f>
        <v>0</v>
      </c>
      <c r="R24" s="815">
        <f t="shared" ref="R24" si="29">+(((O24*-1)+M24)/L24)*-1</f>
        <v>0.99640916696433601</v>
      </c>
    </row>
    <row r="25" spans="2:18">
      <c r="B25" s="327">
        <v>20</v>
      </c>
      <c r="C25" s="796" t="s">
        <v>87</v>
      </c>
      <c r="D25" s="328" t="s">
        <v>78</v>
      </c>
      <c r="E25" s="329">
        <v>38.828000000000003</v>
      </c>
      <c r="F25" s="366"/>
      <c r="G25" s="317">
        <f t="shared" ref="G25" si="30">E25+F25+I24</f>
        <v>0.382000000000005</v>
      </c>
      <c r="H25" s="367"/>
      <c r="I25" s="366">
        <f t="shared" si="2"/>
        <v>0.382000000000005</v>
      </c>
      <c r="J25" s="368">
        <f t="shared" si="24"/>
        <v>0</v>
      </c>
      <c r="K25" s="285" t="s">
        <v>30</v>
      </c>
      <c r="L25" s="797"/>
      <c r="M25" s="798"/>
      <c r="N25" s="799"/>
      <c r="O25" s="799"/>
      <c r="P25" s="799"/>
      <c r="Q25" s="795"/>
      <c r="R25" s="815" t="e">
        <f t="shared" si="0"/>
        <v>#VALUE!</v>
      </c>
    </row>
    <row r="26" spans="2:18">
      <c r="B26" s="159">
        <v>21</v>
      </c>
      <c r="C26" s="789" t="s">
        <v>88</v>
      </c>
      <c r="D26" s="160" t="s">
        <v>77</v>
      </c>
      <c r="E26" s="161">
        <f>329.712+94.755</f>
        <v>424.46699999999998</v>
      </c>
      <c r="F26" s="258">
        <f>-324.448</f>
        <v>-324.44799999999998</v>
      </c>
      <c r="G26" s="101">
        <f t="shared" ref="G26" si="31">E26+F26</f>
        <v>100.01900000000001</v>
      </c>
      <c r="H26" s="274">
        <f>+F53</f>
        <v>109.821</v>
      </c>
      <c r="I26" s="555">
        <f t="shared" si="2"/>
        <v>-9.8019999999999925</v>
      </c>
      <c r="J26" s="162">
        <f t="shared" si="24"/>
        <v>1.0980013797378498</v>
      </c>
      <c r="K26" s="564" t="s">
        <v>30</v>
      </c>
      <c r="L26" s="790">
        <f>E26+E27</f>
        <v>519.221</v>
      </c>
      <c r="M26" s="791">
        <f>F26+F27</f>
        <v>-324.44799999999998</v>
      </c>
      <c r="N26" s="791">
        <f>L26+M26</f>
        <v>194.77300000000002</v>
      </c>
      <c r="O26" s="792">
        <f>H26+H27</f>
        <v>109.821</v>
      </c>
      <c r="P26" s="792">
        <f>N26-O26</f>
        <v>84.952000000000027</v>
      </c>
      <c r="Q26" s="793">
        <f>O26/N26</f>
        <v>0.56384098411997552</v>
      </c>
      <c r="R26" s="816">
        <f t="shared" ref="R26" si="32">+(((O26*-1)+M26)/L26)*-1</f>
        <v>0.83638566236727718</v>
      </c>
    </row>
    <row r="27" spans="2:18">
      <c r="B27" s="159">
        <v>22</v>
      </c>
      <c r="C27" s="789" t="s">
        <v>88</v>
      </c>
      <c r="D27" s="160" t="s">
        <v>78</v>
      </c>
      <c r="E27" s="161">
        <f>189.509-94.755</f>
        <v>94.753999999999991</v>
      </c>
      <c r="F27" s="258"/>
      <c r="G27" s="101">
        <f t="shared" ref="G27" si="33">E27+F27+I26</f>
        <v>84.951999999999998</v>
      </c>
      <c r="H27" s="243"/>
      <c r="I27" s="87">
        <f t="shared" si="2"/>
        <v>84.951999999999998</v>
      </c>
      <c r="J27" s="162">
        <f t="shared" si="24"/>
        <v>0</v>
      </c>
      <c r="K27" s="163" t="s">
        <v>30</v>
      </c>
      <c r="L27" s="790"/>
      <c r="M27" s="791"/>
      <c r="N27" s="791"/>
      <c r="O27" s="791"/>
      <c r="P27" s="791"/>
      <c r="Q27" s="793"/>
      <c r="R27" s="816" t="e">
        <f t="shared" si="0"/>
        <v>#VALUE!</v>
      </c>
    </row>
    <row r="28" spans="2:18">
      <c r="B28" s="327">
        <v>23</v>
      </c>
      <c r="C28" s="796" t="s">
        <v>89</v>
      </c>
      <c r="D28" s="328" t="s">
        <v>77</v>
      </c>
      <c r="E28" s="329">
        <v>248.315</v>
      </c>
      <c r="F28" s="366">
        <v>-248.69</v>
      </c>
      <c r="G28" s="317">
        <f t="shared" ref="G28" si="34">E28+F28</f>
        <v>-0.375</v>
      </c>
      <c r="H28" s="367">
        <f>+F54</f>
        <v>142.346</v>
      </c>
      <c r="I28" s="366">
        <f t="shared" si="2"/>
        <v>-142.721</v>
      </c>
      <c r="J28" s="368">
        <f t="shared" si="24"/>
        <v>-379.58933333333334</v>
      </c>
      <c r="K28" s="285">
        <v>43566</v>
      </c>
      <c r="L28" s="797">
        <f>E28+E29</f>
        <v>391.03899999999999</v>
      </c>
      <c r="M28" s="799">
        <f>F28+F29</f>
        <v>-248.69</v>
      </c>
      <c r="N28" s="799">
        <f>L28+M28</f>
        <v>142.34899999999999</v>
      </c>
      <c r="O28" s="800">
        <f>H28+H29</f>
        <v>142.346</v>
      </c>
      <c r="P28" s="800">
        <f>N28-O28</f>
        <v>2.9999999999859028E-3</v>
      </c>
      <c r="Q28" s="795">
        <f>O28/N28</f>
        <v>0.99997892503635444</v>
      </c>
      <c r="R28" s="815">
        <f t="shared" ref="R28" si="35">+(((O28*-1)+M28)/L28)*-1</f>
        <v>0.99999232813095373</v>
      </c>
    </row>
    <row r="29" spans="2:18">
      <c r="B29" s="327">
        <v>24</v>
      </c>
      <c r="C29" s="796" t="s">
        <v>89</v>
      </c>
      <c r="D29" s="328" t="s">
        <v>78</v>
      </c>
      <c r="E29" s="329">
        <v>142.72399999999999</v>
      </c>
      <c r="F29" s="366"/>
      <c r="G29" s="317">
        <f t="shared" ref="G29" si="36">E29+F29+I28</f>
        <v>2.9999999999859028E-3</v>
      </c>
      <c r="H29" s="367"/>
      <c r="I29" s="366">
        <f t="shared" si="2"/>
        <v>2.9999999999859028E-3</v>
      </c>
      <c r="J29" s="368">
        <f t="shared" si="24"/>
        <v>0</v>
      </c>
      <c r="K29" s="285">
        <v>43566</v>
      </c>
      <c r="L29" s="797"/>
      <c r="M29" s="799"/>
      <c r="N29" s="799"/>
      <c r="O29" s="799"/>
      <c r="P29" s="799"/>
      <c r="Q29" s="795"/>
      <c r="R29" s="815" t="e">
        <f t="shared" si="0"/>
        <v>#DIV/0!</v>
      </c>
    </row>
    <row r="30" spans="2:18">
      <c r="B30" s="159">
        <v>25</v>
      </c>
      <c r="C30" s="789" t="s">
        <v>90</v>
      </c>
      <c r="D30" s="160" t="s">
        <v>77</v>
      </c>
      <c r="E30" s="161">
        <f>353.337+101.544</f>
        <v>454.88099999999997</v>
      </c>
      <c r="F30" s="258">
        <f>-222.222</f>
        <v>-222.22200000000001</v>
      </c>
      <c r="G30" s="101">
        <f t="shared" ref="G30" si="37">E30+F30</f>
        <v>232.65899999999996</v>
      </c>
      <c r="H30" s="287">
        <f>+F55</f>
        <v>154.27099999999999</v>
      </c>
      <c r="I30" s="87">
        <f t="shared" si="2"/>
        <v>78.387999999999977</v>
      </c>
      <c r="J30" s="162">
        <f t="shared" si="24"/>
        <v>0.66307772319145186</v>
      </c>
      <c r="K30" s="163" t="s">
        <v>30</v>
      </c>
      <c r="L30" s="790">
        <f t="shared" ref="L30:M30" si="38">E30+E31</f>
        <v>556.42499999999995</v>
      </c>
      <c r="M30" s="791">
        <f t="shared" si="38"/>
        <v>-222.22200000000001</v>
      </c>
      <c r="N30" s="791">
        <f t="shared" ref="N30" si="39">L30+M30</f>
        <v>334.20299999999997</v>
      </c>
      <c r="O30" s="792">
        <f>H30+H31</f>
        <v>154.27099999999999</v>
      </c>
      <c r="P30" s="792">
        <f t="shared" ref="P30" si="40">N30-O30</f>
        <v>179.93199999999999</v>
      </c>
      <c r="Q30" s="793">
        <f t="shared" ref="Q30" si="41">O30/N30</f>
        <v>0.46160866299823761</v>
      </c>
      <c r="R30" s="816">
        <f t="shared" ref="R30" si="42">+(((O30*-1)+M30)/L30)*-1</f>
        <v>0.67662847643438029</v>
      </c>
    </row>
    <row r="31" spans="2:18">
      <c r="B31" s="159">
        <v>26</v>
      </c>
      <c r="C31" s="789" t="s">
        <v>90</v>
      </c>
      <c r="D31" s="160" t="s">
        <v>78</v>
      </c>
      <c r="E31" s="161">
        <f>203.088-101.544</f>
        <v>101.544</v>
      </c>
      <c r="F31" s="258"/>
      <c r="G31" s="101">
        <f t="shared" ref="G31" si="43">E31+F31+I30</f>
        <v>179.93199999999996</v>
      </c>
      <c r="H31" s="243"/>
      <c r="I31" s="87">
        <f t="shared" si="2"/>
        <v>179.93199999999996</v>
      </c>
      <c r="J31" s="162">
        <f t="shared" si="24"/>
        <v>0</v>
      </c>
      <c r="K31" s="163" t="s">
        <v>30</v>
      </c>
      <c r="L31" s="790"/>
      <c r="M31" s="791"/>
      <c r="N31" s="791"/>
      <c r="O31" s="791"/>
      <c r="P31" s="791"/>
      <c r="Q31" s="793"/>
      <c r="R31" s="816" t="e">
        <f t="shared" si="0"/>
        <v>#VALUE!</v>
      </c>
    </row>
    <row r="32" spans="2:18">
      <c r="B32" s="159">
        <v>27</v>
      </c>
      <c r="C32" s="789" t="s">
        <v>91</v>
      </c>
      <c r="D32" s="160" t="s">
        <v>77</v>
      </c>
      <c r="E32" s="161">
        <f>208.695+59.976</f>
        <v>268.67099999999999</v>
      </c>
      <c r="F32" s="258">
        <f>-167.778-118.581</f>
        <v>-286.35899999999998</v>
      </c>
      <c r="G32" s="101">
        <f t="shared" ref="G32" si="44">E32+F32</f>
        <v>-17.687999999999988</v>
      </c>
      <c r="H32" s="287">
        <f>+F56</f>
        <v>27.187000000000001</v>
      </c>
      <c r="I32" s="87">
        <f t="shared" si="2"/>
        <v>-44.874999999999986</v>
      </c>
      <c r="J32" s="684">
        <f t="shared" si="24"/>
        <v>-1.5370307553143385</v>
      </c>
      <c r="K32" s="285">
        <v>43650</v>
      </c>
      <c r="L32" s="790">
        <f t="shared" ref="L32:M32" si="45">E32+E33</f>
        <v>328.64699999999999</v>
      </c>
      <c r="M32" s="791">
        <f t="shared" si="45"/>
        <v>-286.35899999999998</v>
      </c>
      <c r="N32" s="791">
        <f t="shared" ref="N32" si="46">L32+M32</f>
        <v>42.288000000000011</v>
      </c>
      <c r="O32" s="792">
        <f>H32+H33</f>
        <v>27.187000000000001</v>
      </c>
      <c r="P32" s="792">
        <f t="shared" ref="P32" si="47">N32-O32</f>
        <v>15.10100000000001</v>
      </c>
      <c r="Q32" s="793">
        <f t="shared" ref="Q32" si="48">O32/N32</f>
        <v>0.64290105940219433</v>
      </c>
      <c r="R32" s="816">
        <f t="shared" ref="R32" si="49">+(((O32*-1)+M32)/L32)*-1</f>
        <v>0.95405100305190671</v>
      </c>
    </row>
    <row r="33" spans="2:42">
      <c r="B33" s="159">
        <v>28</v>
      </c>
      <c r="C33" s="789" t="s">
        <v>91</v>
      </c>
      <c r="D33" s="160" t="s">
        <v>78</v>
      </c>
      <c r="E33" s="161">
        <f>119.952-59.976</f>
        <v>59.975999999999999</v>
      </c>
      <c r="F33" s="258"/>
      <c r="G33" s="101">
        <f t="shared" ref="G33" si="50">E33+F33+I32</f>
        <v>15.101000000000013</v>
      </c>
      <c r="H33" s="243"/>
      <c r="I33" s="87">
        <f t="shared" si="2"/>
        <v>15.101000000000013</v>
      </c>
      <c r="J33" s="162">
        <f t="shared" si="24"/>
        <v>0</v>
      </c>
      <c r="K33" s="163" t="s">
        <v>30</v>
      </c>
      <c r="L33" s="790"/>
      <c r="M33" s="791"/>
      <c r="N33" s="791"/>
      <c r="O33" s="791"/>
      <c r="P33" s="791"/>
      <c r="Q33" s="793"/>
      <c r="R33" s="816" t="e">
        <f t="shared" si="0"/>
        <v>#VALUE!</v>
      </c>
    </row>
    <row r="34" spans="2:42" s="49" customFormat="1">
      <c r="B34" s="327">
        <v>29</v>
      </c>
      <c r="C34" s="796" t="s">
        <v>92</v>
      </c>
      <c r="D34" s="328" t="s">
        <v>77</v>
      </c>
      <c r="E34" s="329">
        <v>20.506</v>
      </c>
      <c r="F34" s="366"/>
      <c r="G34" s="317">
        <f t="shared" ref="G34" si="51">E34+F34</f>
        <v>20.506</v>
      </c>
      <c r="H34" s="367">
        <f>+F57</f>
        <v>32.481000000000002</v>
      </c>
      <c r="I34" s="366">
        <f t="shared" si="2"/>
        <v>-11.975000000000001</v>
      </c>
      <c r="J34" s="368">
        <f t="shared" si="24"/>
        <v>1.5839754218277577</v>
      </c>
      <c r="K34" s="285">
        <v>43479</v>
      </c>
      <c r="L34" s="797">
        <f t="shared" ref="L34:M34" si="52">E34+E35</f>
        <v>32.292000000000002</v>
      </c>
      <c r="M34" s="799">
        <f t="shared" si="52"/>
        <v>0</v>
      </c>
      <c r="N34" s="799">
        <f t="shared" ref="N34" si="53">L34+M34</f>
        <v>32.292000000000002</v>
      </c>
      <c r="O34" s="800">
        <f>H34+H35</f>
        <v>32.481000000000002</v>
      </c>
      <c r="P34" s="812">
        <f t="shared" ref="P34" si="54">N34-O34</f>
        <v>-0.18900000000000006</v>
      </c>
      <c r="Q34" s="814">
        <f>O34/N34</f>
        <v>1.0058528428093645</v>
      </c>
      <c r="R34" s="815">
        <f t="shared" ref="R34" si="55">+(((O34*-1)+M34)/L34)*-1</f>
        <v>1.0058528428093645</v>
      </c>
      <c r="AP34" s="1"/>
    </row>
    <row r="35" spans="2:42">
      <c r="B35" s="327">
        <v>30</v>
      </c>
      <c r="C35" s="796" t="s">
        <v>92</v>
      </c>
      <c r="D35" s="328" t="s">
        <v>78</v>
      </c>
      <c r="E35" s="329">
        <v>11.786</v>
      </c>
      <c r="F35" s="366"/>
      <c r="G35" s="317">
        <f t="shared" ref="G35" si="56">E35+F35+I34</f>
        <v>-0.18900000000000183</v>
      </c>
      <c r="H35" s="367"/>
      <c r="I35" s="366">
        <f t="shared" si="2"/>
        <v>-0.18900000000000183</v>
      </c>
      <c r="J35" s="368">
        <f t="shared" si="24"/>
        <v>0</v>
      </c>
      <c r="K35" s="285">
        <v>43479</v>
      </c>
      <c r="L35" s="797"/>
      <c r="M35" s="799"/>
      <c r="N35" s="799"/>
      <c r="O35" s="799"/>
      <c r="P35" s="813"/>
      <c r="Q35" s="814"/>
      <c r="R35" s="815" t="e">
        <f t="shared" si="0"/>
        <v>#DIV/0!</v>
      </c>
    </row>
    <row r="36" spans="2:42">
      <c r="B36" s="804" t="s">
        <v>362</v>
      </c>
      <c r="C36" s="805"/>
      <c r="D36" s="164" t="s">
        <v>77</v>
      </c>
      <c r="E36" s="165">
        <f>+E6+E8+E10+E12+E14+E16+E18+E20+E22+E24+E26+E28+E30+E32+E34</f>
        <v>4478.4500000000007</v>
      </c>
      <c r="F36" s="656">
        <f>+F6+F8+F10+F12+F14+F16+F18+F20+F22+F24+F26+F28+F30+F32+F34</f>
        <v>-1651.2359999999999</v>
      </c>
      <c r="G36" s="165">
        <f>E36+F36</f>
        <v>2827.2140000000009</v>
      </c>
      <c r="H36" s="165">
        <f>H6+H8+H10+H12+H14+H16+H18+H20+H22+H24+H26+H28+H30+H32+H34</f>
        <v>2703.6320000000001</v>
      </c>
      <c r="I36" s="165">
        <f>G36-H36</f>
        <v>123.58200000000079</v>
      </c>
      <c r="J36" s="166">
        <f t="shared" si="24"/>
        <v>0.95628841679476662</v>
      </c>
      <c r="K36" s="163" t="s">
        <v>30</v>
      </c>
      <c r="L36" s="808">
        <f>SUM(L6:L35)</f>
        <v>6192</v>
      </c>
      <c r="M36" s="810">
        <f>F36+F37</f>
        <v>-1651.2359999999999</v>
      </c>
      <c r="N36" s="810">
        <f>L36+M36</f>
        <v>4540.7640000000001</v>
      </c>
      <c r="O36" s="810">
        <f>H36+H37</f>
        <v>2703.6320000000001</v>
      </c>
      <c r="P36" s="810">
        <f>N36-O36</f>
        <v>1837.1320000000001</v>
      </c>
      <c r="Q36" s="802">
        <f>O36/N36</f>
        <v>0.59541345905666976</v>
      </c>
      <c r="R36" s="817">
        <f t="shared" ref="R36" si="57">+(((O36*-1)+M36)/L36)*-1</f>
        <v>0.70330555555555563</v>
      </c>
    </row>
    <row r="37" spans="2:42" ht="15.75" thickBot="1">
      <c r="B37" s="806"/>
      <c r="C37" s="807"/>
      <c r="D37" s="167" t="s">
        <v>78</v>
      </c>
      <c r="E37" s="168">
        <f>+E7+E9+E11+E13+E15+E17+E19+E21+E23+E25+E27+E29+E31+E33+E35</f>
        <v>1713.5500000000002</v>
      </c>
      <c r="F37" s="168">
        <f>+F7+F9+F11+F13+F15+F17+F19+F21+F23+F25+F27+F29+F31+F33+F35</f>
        <v>0</v>
      </c>
      <c r="G37" s="168">
        <f>E37+F37</f>
        <v>1713.5500000000002</v>
      </c>
      <c r="H37" s="165">
        <f>H7+H9+H11+H13+H15+H17+H19+H21+H23+H25+H27+H29+H31+H33+H35</f>
        <v>0</v>
      </c>
      <c r="I37" s="168">
        <f>G37-H37</f>
        <v>1713.5500000000002</v>
      </c>
      <c r="J37" s="169">
        <f t="shared" si="24"/>
        <v>0</v>
      </c>
      <c r="K37" s="170" t="s">
        <v>30</v>
      </c>
      <c r="L37" s="809"/>
      <c r="M37" s="811"/>
      <c r="N37" s="811"/>
      <c r="O37" s="811"/>
      <c r="P37" s="811"/>
      <c r="Q37" s="803"/>
      <c r="R37" s="817" t="e">
        <f t="shared" si="0"/>
        <v>#VALUE!</v>
      </c>
    </row>
    <row r="38" spans="2:42">
      <c r="F38" s="46"/>
      <c r="M38" s="46"/>
    </row>
    <row r="39" spans="2:42" ht="15.6" customHeight="1"/>
    <row r="41" spans="2:42">
      <c r="B41" s="801" t="s">
        <v>523</v>
      </c>
      <c r="C41" s="801"/>
      <c r="D41" s="801"/>
      <c r="E41" s="801"/>
      <c r="F41" s="801"/>
      <c r="L41" s="3"/>
      <c r="M41" s="46"/>
      <c r="AO41" s="1"/>
      <c r="AP41" s="46"/>
    </row>
    <row r="42" spans="2:42" ht="12" customHeight="1">
      <c r="B42" s="262" t="s">
        <v>71</v>
      </c>
      <c r="C42" s="262" t="s">
        <v>72</v>
      </c>
      <c r="D42" s="262" t="s">
        <v>73</v>
      </c>
      <c r="E42" s="262" t="s">
        <v>387</v>
      </c>
      <c r="F42" s="262" t="s">
        <v>520</v>
      </c>
    </row>
    <row r="43" spans="2:42" ht="12" customHeight="1">
      <c r="B43" s="263">
        <v>1</v>
      </c>
      <c r="C43" s="264" t="s">
        <v>76</v>
      </c>
      <c r="D43" s="263">
        <v>1</v>
      </c>
      <c r="E43" s="505">
        <v>211.399</v>
      </c>
      <c r="F43" s="497">
        <v>60.988999999999997</v>
      </c>
      <c r="L43" s="3"/>
      <c r="M43" s="46"/>
      <c r="N43" s="3"/>
    </row>
    <row r="44" spans="2:42" ht="12" customHeight="1">
      <c r="B44" s="263">
        <v>3</v>
      </c>
      <c r="C44" s="264" t="s">
        <v>79</v>
      </c>
      <c r="D44" s="263">
        <v>1</v>
      </c>
      <c r="E44" s="505">
        <v>496.44799999999998</v>
      </c>
      <c r="F44" s="497">
        <v>139.43100000000001</v>
      </c>
    </row>
    <row r="45" spans="2:42" ht="12" customHeight="1">
      <c r="B45" s="263">
        <v>5</v>
      </c>
      <c r="C45" s="264" t="s">
        <v>80</v>
      </c>
      <c r="D45" s="263">
        <v>1</v>
      </c>
      <c r="E45" s="505">
        <v>145.399</v>
      </c>
      <c r="F45" s="497">
        <v>137.399</v>
      </c>
      <c r="L45" s="3"/>
    </row>
    <row r="46" spans="2:42" ht="12" customHeight="1">
      <c r="B46" s="263">
        <v>7</v>
      </c>
      <c r="C46" s="264" t="s">
        <v>81</v>
      </c>
      <c r="D46" s="263">
        <v>1</v>
      </c>
      <c r="E46" s="505">
        <v>16.343</v>
      </c>
      <c r="F46" s="497">
        <v>4.9400000000000004</v>
      </c>
    </row>
    <row r="47" spans="2:42" ht="12" customHeight="1">
      <c r="B47" s="263">
        <v>9</v>
      </c>
      <c r="C47" s="264" t="s">
        <v>82</v>
      </c>
      <c r="D47" s="263">
        <v>1</v>
      </c>
      <c r="E47" s="505">
        <v>150.81899999999999</v>
      </c>
      <c r="F47" s="497">
        <v>160.113</v>
      </c>
      <c r="L47" s="3"/>
      <c r="M47" s="46"/>
    </row>
    <row r="48" spans="2:42" ht="12" customHeight="1">
      <c r="B48" s="263">
        <v>11</v>
      </c>
      <c r="C48" s="264" t="s">
        <v>83</v>
      </c>
      <c r="D48" s="263">
        <v>1</v>
      </c>
      <c r="E48" s="505">
        <v>366.63600000000002</v>
      </c>
      <c r="F48" s="497">
        <v>372.036</v>
      </c>
    </row>
    <row r="49" spans="2:13" ht="12" customHeight="1">
      <c r="B49" s="263">
        <v>13</v>
      </c>
      <c r="C49" s="264" t="s">
        <v>84</v>
      </c>
      <c r="D49" s="263">
        <v>1</v>
      </c>
      <c r="E49" s="505">
        <v>131.066</v>
      </c>
      <c r="F49" s="497">
        <v>121.55</v>
      </c>
      <c r="L49" s="3"/>
      <c r="M49" s="46"/>
    </row>
    <row r="50" spans="2:13" ht="12" customHeight="1">
      <c r="B50" s="263">
        <v>15</v>
      </c>
      <c r="C50" s="264" t="s">
        <v>85</v>
      </c>
      <c r="D50" s="263">
        <v>1</v>
      </c>
      <c r="E50" s="505">
        <v>103.06</v>
      </c>
      <c r="F50" s="497">
        <v>130.35499999999999</v>
      </c>
    </row>
    <row r="51" spans="2:13" ht="12" customHeight="1">
      <c r="B51" s="263">
        <v>17</v>
      </c>
      <c r="C51" s="615" t="s">
        <v>86</v>
      </c>
      <c r="D51" s="616">
        <v>1</v>
      </c>
      <c r="E51" s="505">
        <v>1240.7249999999999</v>
      </c>
      <c r="F51" s="617">
        <v>1110.713</v>
      </c>
      <c r="L51" s="3"/>
      <c r="M51" s="46"/>
    </row>
    <row r="52" spans="2:13" ht="12" customHeight="1">
      <c r="B52" s="263">
        <v>19</v>
      </c>
      <c r="C52" s="612" t="s">
        <v>87</v>
      </c>
      <c r="D52" s="613">
        <v>1</v>
      </c>
      <c r="E52" s="614">
        <v>67.554000000000002</v>
      </c>
      <c r="F52" s="497">
        <v>0</v>
      </c>
    </row>
    <row r="53" spans="2:13" ht="12" customHeight="1">
      <c r="B53" s="263">
        <v>21</v>
      </c>
      <c r="C53" s="612" t="s">
        <v>88</v>
      </c>
      <c r="D53" s="613">
        <v>1</v>
      </c>
      <c r="E53" s="614">
        <v>424.46699999999998</v>
      </c>
      <c r="F53" s="497">
        <v>109.821</v>
      </c>
      <c r="L53" s="3"/>
      <c r="M53" s="46"/>
    </row>
    <row r="54" spans="2:13" ht="12" customHeight="1">
      <c r="B54" s="263">
        <v>23</v>
      </c>
      <c r="C54" s="264" t="s">
        <v>89</v>
      </c>
      <c r="D54" s="263">
        <v>1</v>
      </c>
      <c r="E54" s="505">
        <v>248.315</v>
      </c>
      <c r="F54" s="497">
        <v>142.346</v>
      </c>
    </row>
    <row r="55" spans="2:13" ht="12" customHeight="1">
      <c r="B55" s="263">
        <v>25</v>
      </c>
      <c r="C55" s="264" t="s">
        <v>90</v>
      </c>
      <c r="D55" s="263">
        <v>1</v>
      </c>
      <c r="E55" s="505">
        <v>454.88099999999997</v>
      </c>
      <c r="F55" s="497">
        <v>154.27099999999999</v>
      </c>
      <c r="L55" s="3"/>
      <c r="M55" s="46"/>
    </row>
    <row r="56" spans="2:13" ht="12" customHeight="1">
      <c r="B56" s="263">
        <v>27</v>
      </c>
      <c r="C56" s="264" t="s">
        <v>91</v>
      </c>
      <c r="D56" s="263">
        <v>1</v>
      </c>
      <c r="E56" s="505">
        <v>268.67099999999999</v>
      </c>
      <c r="F56" s="497">
        <v>27.187000000000001</v>
      </c>
    </row>
    <row r="57" spans="2:13" ht="12" customHeight="1">
      <c r="B57" s="263">
        <v>29</v>
      </c>
      <c r="C57" s="264" t="s">
        <v>92</v>
      </c>
      <c r="D57" s="263">
        <v>1</v>
      </c>
      <c r="E57" s="505">
        <v>20.506</v>
      </c>
      <c r="F57" s="497">
        <v>32.481000000000002</v>
      </c>
      <c r="L57" s="3"/>
      <c r="M57" s="46"/>
    </row>
    <row r="58" spans="2:13" ht="12" customHeight="1">
      <c r="B58" s="263" t="s">
        <v>68</v>
      </c>
      <c r="C58" s="263" t="s">
        <v>68</v>
      </c>
      <c r="D58" s="263" t="s">
        <v>68</v>
      </c>
      <c r="E58" s="505">
        <f>SUM(E43:E57)</f>
        <v>4346.2889999999998</v>
      </c>
      <c r="F58" s="565">
        <f>SUM(F43:F57)</f>
        <v>2703.6320000000001</v>
      </c>
    </row>
    <row r="59" spans="2:13" ht="12" customHeight="1">
      <c r="E59" s="506"/>
      <c r="L59" s="3"/>
      <c r="M59" s="46"/>
    </row>
    <row r="60" spans="2:13">
      <c r="E60" s="506"/>
    </row>
    <row r="61" spans="2:13">
      <c r="E61" s="506"/>
    </row>
  </sheetData>
  <mergeCells count="131">
    <mergeCell ref="R24:R25"/>
    <mergeCell ref="R26:R27"/>
    <mergeCell ref="R28:R29"/>
    <mergeCell ref="R30:R31"/>
    <mergeCell ref="R32:R33"/>
    <mergeCell ref="R34:R35"/>
    <mergeCell ref="R36:R37"/>
    <mergeCell ref="R6:R7"/>
    <mergeCell ref="R8:R9"/>
    <mergeCell ref="R10:R11"/>
    <mergeCell ref="R12:R13"/>
    <mergeCell ref="R14:R15"/>
    <mergeCell ref="R16:R17"/>
    <mergeCell ref="R18:R19"/>
    <mergeCell ref="R20:R21"/>
    <mergeCell ref="R22:R23"/>
    <mergeCell ref="B41:F41"/>
    <mergeCell ref="Q36:Q37"/>
    <mergeCell ref="B36:C37"/>
    <mergeCell ref="L36:L37"/>
    <mergeCell ref="M36:M37"/>
    <mergeCell ref="N36:N37"/>
    <mergeCell ref="O36:O37"/>
    <mergeCell ref="P36:P37"/>
    <mergeCell ref="Q32:Q33"/>
    <mergeCell ref="C34:C35"/>
    <mergeCell ref="L34:L35"/>
    <mergeCell ref="M34:M35"/>
    <mergeCell ref="N34:N35"/>
    <mergeCell ref="O34:O35"/>
    <mergeCell ref="P34:P35"/>
    <mergeCell ref="Q34:Q35"/>
    <mergeCell ref="C32:C33"/>
    <mergeCell ref="L32:L33"/>
    <mergeCell ref="M32:M33"/>
    <mergeCell ref="N32:N33"/>
    <mergeCell ref="O32:O33"/>
    <mergeCell ref="P32:P33"/>
    <mergeCell ref="Q28:Q29"/>
    <mergeCell ref="C30:C31"/>
    <mergeCell ref="L30:L31"/>
    <mergeCell ref="M30:M31"/>
    <mergeCell ref="N30:N31"/>
    <mergeCell ref="O30:O31"/>
    <mergeCell ref="P30:P31"/>
    <mergeCell ref="Q30:Q31"/>
    <mergeCell ref="C28:C29"/>
    <mergeCell ref="L28:L29"/>
    <mergeCell ref="M28:M29"/>
    <mergeCell ref="N28:N29"/>
    <mergeCell ref="O28:O29"/>
    <mergeCell ref="P28:P29"/>
    <mergeCell ref="Q24:Q25"/>
    <mergeCell ref="C26:C27"/>
    <mergeCell ref="L26:L27"/>
    <mergeCell ref="M26:M27"/>
    <mergeCell ref="N26:N27"/>
    <mergeCell ref="O26:O27"/>
    <mergeCell ref="P26:P27"/>
    <mergeCell ref="Q26:Q27"/>
    <mergeCell ref="C24:C25"/>
    <mergeCell ref="L24:L25"/>
    <mergeCell ref="M24:M25"/>
    <mergeCell ref="N24:N25"/>
    <mergeCell ref="O24:O25"/>
    <mergeCell ref="P24:P25"/>
    <mergeCell ref="Q20:Q21"/>
    <mergeCell ref="C22:C23"/>
    <mergeCell ref="L22:L23"/>
    <mergeCell ref="M22:M23"/>
    <mergeCell ref="N22:N23"/>
    <mergeCell ref="O22:O23"/>
    <mergeCell ref="P22:P23"/>
    <mergeCell ref="Q22:Q23"/>
    <mergeCell ref="C20:C21"/>
    <mergeCell ref="L20:L21"/>
    <mergeCell ref="M20:M21"/>
    <mergeCell ref="N20:N21"/>
    <mergeCell ref="O20:O21"/>
    <mergeCell ref="P20:P21"/>
    <mergeCell ref="Q16:Q17"/>
    <mergeCell ref="C18:C19"/>
    <mergeCell ref="L18:L19"/>
    <mergeCell ref="M18:M19"/>
    <mergeCell ref="N18:N19"/>
    <mergeCell ref="O18:O19"/>
    <mergeCell ref="P18:P19"/>
    <mergeCell ref="Q18:Q19"/>
    <mergeCell ref="C16:C17"/>
    <mergeCell ref="L16:L17"/>
    <mergeCell ref="M16:M17"/>
    <mergeCell ref="N16:N17"/>
    <mergeCell ref="O16:O17"/>
    <mergeCell ref="P16:P17"/>
    <mergeCell ref="Q12:Q13"/>
    <mergeCell ref="C14:C15"/>
    <mergeCell ref="L14:L15"/>
    <mergeCell ref="M14:M15"/>
    <mergeCell ref="N14:N15"/>
    <mergeCell ref="O14:O15"/>
    <mergeCell ref="P14:P15"/>
    <mergeCell ref="Q14:Q15"/>
    <mergeCell ref="C12:C13"/>
    <mergeCell ref="L12:L13"/>
    <mergeCell ref="M12:M13"/>
    <mergeCell ref="N12:N13"/>
    <mergeCell ref="O12:O13"/>
    <mergeCell ref="P12:P13"/>
    <mergeCell ref="Q8:Q9"/>
    <mergeCell ref="C10:C11"/>
    <mergeCell ref="L10:L11"/>
    <mergeCell ref="M10:M11"/>
    <mergeCell ref="N10:N11"/>
    <mergeCell ref="O10:O11"/>
    <mergeCell ref="P10:P11"/>
    <mergeCell ref="Q10:Q11"/>
    <mergeCell ref="C8:C9"/>
    <mergeCell ref="L8:L9"/>
    <mergeCell ref="M8:M9"/>
    <mergeCell ref="N8:N9"/>
    <mergeCell ref="O8:O9"/>
    <mergeCell ref="P8:P9"/>
    <mergeCell ref="B2:Q2"/>
    <mergeCell ref="B3:Q3"/>
    <mergeCell ref="C6:C7"/>
    <mergeCell ref="L6:L7"/>
    <mergeCell ref="M6:M7"/>
    <mergeCell ref="N6:N7"/>
    <mergeCell ref="O6:O7"/>
    <mergeCell ref="P6:P7"/>
    <mergeCell ref="Q6:Q7"/>
  </mergeCells>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Y246"/>
  <sheetViews>
    <sheetView showGridLines="0" zoomScale="63" zoomScaleNormal="63" zoomScalePageLayoutView="63" workbookViewId="0">
      <selection activeCell="K78" sqref="K78"/>
    </sheetView>
  </sheetViews>
  <sheetFormatPr baseColWidth="10" defaultRowHeight="15"/>
  <cols>
    <col min="1" max="1" width="5" customWidth="1"/>
    <col min="2" max="2" width="9.28515625" customWidth="1"/>
    <col min="3" max="3" width="44.140625" style="196" customWidth="1"/>
    <col min="4" max="4" width="16.28515625" customWidth="1"/>
    <col min="5" max="5" width="1.7109375" style="208" customWidth="1"/>
    <col min="6" max="6" width="11" bestFit="1" customWidth="1"/>
    <col min="7" max="7" width="11.7109375" style="378" customWidth="1"/>
    <col min="8" max="8" width="13.7109375" customWidth="1"/>
    <col min="9" max="9" width="18.7109375" bestFit="1" customWidth="1"/>
    <col min="10" max="10" width="13.5703125" customWidth="1"/>
    <col min="11" max="11" width="15.42578125" customWidth="1"/>
    <col min="12" max="12" width="14" customWidth="1"/>
    <col min="13" max="13" width="15.28515625" customWidth="1"/>
    <col min="14" max="15" width="13.7109375" customWidth="1"/>
    <col min="16" max="16" width="11.5703125" customWidth="1"/>
    <col min="17" max="17" width="12.42578125" customWidth="1"/>
    <col min="18" max="18" width="11.28515625" customWidth="1"/>
    <col min="19" max="19" width="11.5703125" customWidth="1"/>
    <col min="20" max="20" width="12.140625" customWidth="1"/>
    <col min="21" max="21" width="5.85546875" customWidth="1"/>
    <col min="22" max="22" width="8.7109375" customWidth="1"/>
  </cols>
  <sheetData>
    <row r="1" spans="1:23" ht="15.75" thickBot="1">
      <c r="A1" s="46"/>
      <c r="B1" s="46"/>
      <c r="C1" s="49"/>
      <c r="D1" s="46"/>
      <c r="E1" s="271"/>
      <c r="F1" s="46"/>
      <c r="G1" s="47"/>
      <c r="H1" s="46"/>
      <c r="I1" s="46"/>
      <c r="J1" s="46"/>
      <c r="K1" s="46"/>
      <c r="L1" s="3"/>
      <c r="M1" s="46"/>
      <c r="N1" s="46"/>
      <c r="O1" s="46"/>
      <c r="P1" s="46"/>
      <c r="Q1" s="46"/>
      <c r="R1" s="46"/>
      <c r="S1" s="46"/>
    </row>
    <row r="2" spans="1:23" ht="23.25">
      <c r="A2" s="46"/>
      <c r="B2" s="896" t="s">
        <v>233</v>
      </c>
      <c r="C2" s="897"/>
      <c r="D2" s="897"/>
      <c r="E2" s="897"/>
      <c r="F2" s="897"/>
      <c r="G2" s="897"/>
      <c r="H2" s="897"/>
      <c r="I2" s="897"/>
      <c r="J2" s="897"/>
      <c r="K2" s="897"/>
      <c r="L2" s="897"/>
      <c r="M2" s="897"/>
      <c r="N2" s="897"/>
      <c r="O2" s="897"/>
      <c r="P2" s="897"/>
      <c r="Q2" s="897"/>
      <c r="R2" s="897"/>
      <c r="S2" s="898"/>
    </row>
    <row r="3" spans="1:23" ht="21.75" thickBot="1">
      <c r="A3" s="46"/>
      <c r="B3" s="899">
        <f>+'Resumen Cuota Global'!B4:I4</f>
        <v>43661</v>
      </c>
      <c r="C3" s="900"/>
      <c r="D3" s="900"/>
      <c r="E3" s="900"/>
      <c r="F3" s="900"/>
      <c r="G3" s="900"/>
      <c r="H3" s="900"/>
      <c r="I3" s="900"/>
      <c r="J3" s="900"/>
      <c r="K3" s="900"/>
      <c r="L3" s="900"/>
      <c r="M3" s="900"/>
      <c r="N3" s="900"/>
      <c r="O3" s="900"/>
      <c r="P3" s="900"/>
      <c r="Q3" s="900"/>
      <c r="R3" s="900"/>
      <c r="S3" s="901"/>
    </row>
    <row r="4" spans="1:23">
      <c r="A4" s="46"/>
      <c r="B4" s="46"/>
      <c r="C4" s="49"/>
      <c r="D4" s="46"/>
      <c r="E4" s="271"/>
      <c r="F4" s="74"/>
      <c r="G4" s="47"/>
      <c r="H4" s="46"/>
      <c r="I4" s="48"/>
      <c r="J4" s="46"/>
      <c r="K4" s="46"/>
      <c r="L4" s="3"/>
      <c r="M4" s="46"/>
      <c r="N4" s="46"/>
      <c r="O4" s="46"/>
      <c r="P4" s="46"/>
      <c r="Q4" s="46"/>
      <c r="R4" s="46"/>
      <c r="S4" s="46"/>
    </row>
    <row r="5" spans="1:23" s="189" customFormat="1" ht="45">
      <c r="A5" s="24"/>
      <c r="B5" s="200" t="s">
        <v>234</v>
      </c>
      <c r="C5" s="286" t="s">
        <v>33</v>
      </c>
      <c r="D5" s="201" t="s">
        <v>3</v>
      </c>
      <c r="E5" s="271"/>
      <c r="F5" s="46"/>
      <c r="G5" s="380" t="s">
        <v>235</v>
      </c>
      <c r="H5" s="202" t="s">
        <v>4</v>
      </c>
      <c r="I5" s="200" t="s">
        <v>5</v>
      </c>
      <c r="J5" s="200" t="s">
        <v>236</v>
      </c>
      <c r="K5" s="200" t="s">
        <v>45</v>
      </c>
      <c r="L5" s="200" t="s">
        <v>46</v>
      </c>
      <c r="M5" s="46"/>
      <c r="N5" s="46"/>
      <c r="O5" s="24"/>
      <c r="P5" s="24"/>
      <c r="Q5" s="24"/>
      <c r="R5" s="24"/>
      <c r="S5" s="24"/>
    </row>
    <row r="6" spans="1:23" s="189" customFormat="1" ht="15.75">
      <c r="A6" s="24"/>
      <c r="B6" s="882" t="s">
        <v>237</v>
      </c>
      <c r="C6" s="203" t="s">
        <v>35</v>
      </c>
      <c r="D6" s="193">
        <v>2396</v>
      </c>
      <c r="E6" s="271"/>
      <c r="F6" s="46"/>
      <c r="G6" s="204">
        <f>+G44+G83+G156+G195</f>
        <v>2444.9187637875998</v>
      </c>
      <c r="H6" s="204">
        <f>+H44+H83+H156+H195</f>
        <v>-2837.2460000000001</v>
      </c>
      <c r="I6" s="204">
        <f>+H6+G6</f>
        <v>-392.32723621240029</v>
      </c>
      <c r="J6" s="204">
        <f>+J44+J83+J156+J195</f>
        <v>553.78011111111118</v>
      </c>
      <c r="K6" s="205">
        <f>+I6-J6</f>
        <v>-946.10734732351148</v>
      </c>
      <c r="L6" s="202">
        <f>J6/I6</f>
        <v>-1.4115260425388938</v>
      </c>
      <c r="M6" s="46"/>
      <c r="N6" s="46"/>
      <c r="O6" s="24"/>
      <c r="P6" s="24"/>
      <c r="Q6" s="24"/>
      <c r="R6" s="24"/>
      <c r="S6" s="24"/>
    </row>
    <row r="7" spans="1:23" s="189" customFormat="1" ht="15.75">
      <c r="A7" s="190"/>
      <c r="B7" s="882"/>
      <c r="C7" s="203" t="s">
        <v>36</v>
      </c>
      <c r="D7" s="193" t="s">
        <v>37</v>
      </c>
      <c r="E7" s="271"/>
      <c r="F7" s="46"/>
      <c r="G7" s="319" t="s">
        <v>37</v>
      </c>
      <c r="H7" s="193" t="s">
        <v>37</v>
      </c>
      <c r="I7" s="193" t="s">
        <v>37</v>
      </c>
      <c r="J7" s="193" t="s">
        <v>37</v>
      </c>
      <c r="K7" s="193" t="s">
        <v>37</v>
      </c>
      <c r="L7" s="193" t="s">
        <v>37</v>
      </c>
      <c r="M7" s="46"/>
      <c r="N7" s="46"/>
      <c r="O7" s="191"/>
      <c r="P7" s="192"/>
      <c r="Q7" s="24"/>
      <c r="R7" s="24"/>
      <c r="S7" s="190"/>
    </row>
    <row r="8" spans="1:23" s="189" customFormat="1" ht="15.75">
      <c r="A8" s="24"/>
      <c r="B8" s="882"/>
      <c r="C8" s="203" t="s">
        <v>95</v>
      </c>
      <c r="D8" s="193">
        <v>1378</v>
      </c>
      <c r="E8" s="271"/>
      <c r="F8" s="46"/>
      <c r="G8" s="204">
        <f>+G45+G84+G157+G196</f>
        <v>1329.0812309288001</v>
      </c>
      <c r="H8" s="204">
        <f>+H45+H84+H157+H196</f>
        <v>0</v>
      </c>
      <c r="I8" s="206">
        <f>G8+H8+K6</f>
        <v>382.97388360528862</v>
      </c>
      <c r="J8" s="204">
        <f>+J45+J84+J157+J196</f>
        <v>0</v>
      </c>
      <c r="K8" s="205">
        <f>+I8-J8</f>
        <v>382.97388360528862</v>
      </c>
      <c r="L8" s="202">
        <f>J8/I8</f>
        <v>0</v>
      </c>
      <c r="M8" s="46"/>
      <c r="N8" s="46"/>
      <c r="O8" s="24"/>
      <c r="P8" s="24"/>
      <c r="Q8" s="24"/>
      <c r="R8" s="24"/>
      <c r="S8" s="24"/>
    </row>
    <row r="9" spans="1:23" s="189" customFormat="1" ht="15.75">
      <c r="A9" s="24"/>
      <c r="B9" s="882"/>
      <c r="C9" s="286" t="s">
        <v>238</v>
      </c>
      <c r="D9" s="202">
        <f>SUM(D6:D8)</f>
        <v>3774</v>
      </c>
      <c r="E9" s="271"/>
      <c r="F9" s="46"/>
      <c r="G9" s="381">
        <f>+G156+G157+G195+G196+G44+G45+G83+G84</f>
        <v>3773.9999947164001</v>
      </c>
      <c r="H9" s="202">
        <f>+H156+H157+H195+H196+H44+H45+H83+H84</f>
        <v>-2837.2460000000001</v>
      </c>
      <c r="I9" s="202">
        <f>+G9+H9</f>
        <v>936.75399471640003</v>
      </c>
      <c r="J9" s="202">
        <f>+J156+J157+J195+J196+J44+J45+J83+J84</f>
        <v>553.78011111111118</v>
      </c>
      <c r="K9" s="202">
        <f>+I9-J9</f>
        <v>382.97388360528885</v>
      </c>
      <c r="L9" s="207">
        <f>+J9/I9</f>
        <v>0.59116920155623864</v>
      </c>
      <c r="M9" s="46"/>
      <c r="N9" s="46"/>
      <c r="O9" s="24"/>
      <c r="P9" s="24"/>
      <c r="Q9" s="24"/>
      <c r="R9" s="24"/>
      <c r="S9" s="24"/>
    </row>
    <row r="10" spans="1:23">
      <c r="A10" s="49"/>
      <c r="B10" s="49"/>
      <c r="C10" s="49"/>
      <c r="D10" s="49"/>
      <c r="E10" s="209"/>
      <c r="F10" s="49"/>
      <c r="G10" s="49"/>
      <c r="H10" s="49"/>
      <c r="I10" s="49"/>
      <c r="J10" s="49"/>
      <c r="K10" s="49"/>
      <c r="L10" s="49"/>
      <c r="M10" s="49"/>
      <c r="N10" s="49"/>
      <c r="O10" s="49"/>
      <c r="P10" s="49"/>
      <c r="Q10" s="49"/>
      <c r="R10" s="49"/>
      <c r="S10" s="49"/>
      <c r="T10" s="110"/>
    </row>
    <row r="11" spans="1:23" ht="36" customHeight="1">
      <c r="A11" s="46"/>
      <c r="B11" s="257" t="s">
        <v>239</v>
      </c>
      <c r="C11" s="257" t="s">
        <v>240</v>
      </c>
      <c r="D11" s="257" t="s">
        <v>241</v>
      </c>
      <c r="E11" s="283" t="s">
        <v>242</v>
      </c>
      <c r="F11" s="257" t="s">
        <v>243</v>
      </c>
      <c r="G11" s="380" t="s">
        <v>235</v>
      </c>
      <c r="H11" s="284" t="s">
        <v>4</v>
      </c>
      <c r="I11" s="257" t="s">
        <v>5</v>
      </c>
      <c r="J11" s="480" t="s">
        <v>236</v>
      </c>
      <c r="K11" s="257" t="s">
        <v>45</v>
      </c>
      <c r="L11" s="257" t="s">
        <v>46</v>
      </c>
      <c r="M11" s="257" t="s">
        <v>75</v>
      </c>
      <c r="N11" s="211" t="s">
        <v>244</v>
      </c>
      <c r="O11" s="211" t="s">
        <v>4</v>
      </c>
      <c r="P11" s="211" t="s">
        <v>5</v>
      </c>
      <c r="Q11" s="211" t="s">
        <v>6</v>
      </c>
      <c r="R11" s="211" t="s">
        <v>7</v>
      </c>
      <c r="S11" s="211" t="s">
        <v>428</v>
      </c>
      <c r="T11" s="211" t="s">
        <v>519</v>
      </c>
    </row>
    <row r="12" spans="1:23" s="378" customFormat="1" ht="15" customHeight="1">
      <c r="A12" s="46">
        <v>1</v>
      </c>
      <c r="B12" s="875" t="s">
        <v>245</v>
      </c>
      <c r="C12" s="295" t="s">
        <v>248</v>
      </c>
      <c r="D12" s="823">
        <v>4309</v>
      </c>
      <c r="E12" s="861">
        <v>1.5542385299999999E-2</v>
      </c>
      <c r="F12" s="197" t="s">
        <v>35</v>
      </c>
      <c r="G12" s="370">
        <f>+E12*$D$6</f>
        <v>37.239555178799996</v>
      </c>
      <c r="H12" s="79"/>
      <c r="I12" s="75">
        <f>G12+H12</f>
        <v>37.239555178799996</v>
      </c>
      <c r="J12" s="369">
        <v>40.695555555555565</v>
      </c>
      <c r="K12" s="82">
        <f t="shared" ref="K12:K31" si="0">I12-J12</f>
        <v>-3.4560003767555685</v>
      </c>
      <c r="L12" s="80">
        <f t="shared" ref="L12:L31" si="1">J12/I12</f>
        <v>1.0928045558053021</v>
      </c>
      <c r="M12" s="651">
        <v>43655</v>
      </c>
      <c r="N12" s="888">
        <f>G12+G13</f>
        <v>58.656962122199999</v>
      </c>
      <c r="O12" s="888">
        <f>H12+H13</f>
        <v>0</v>
      </c>
      <c r="P12" s="888">
        <f t="shared" ref="P12" si="2">N12+O12</f>
        <v>58.656962122199999</v>
      </c>
      <c r="Q12" s="888">
        <f>J12+J13</f>
        <v>40.695555555555565</v>
      </c>
      <c r="R12" s="888">
        <f>P12-Q12</f>
        <v>17.961406566644435</v>
      </c>
      <c r="S12" s="889">
        <f>Q12/P12</f>
        <v>0.69378900787215247</v>
      </c>
      <c r="T12" s="906">
        <f>+(((Q12*-1)+O12)/N12)*-1</f>
        <v>0.69378900787215247</v>
      </c>
      <c r="V12" s="378">
        <v>40.695555555555565</v>
      </c>
      <c r="W12" s="588">
        <f>+V12-J12</f>
        <v>0</v>
      </c>
    </row>
    <row r="13" spans="1:23" s="378" customFormat="1" ht="15" customHeight="1">
      <c r="A13" s="46"/>
      <c r="B13" s="875"/>
      <c r="C13" s="320"/>
      <c r="D13" s="865"/>
      <c r="E13" s="834"/>
      <c r="F13" s="198" t="s">
        <v>95</v>
      </c>
      <c r="G13" s="371">
        <f>+E12*$D$8</f>
        <v>21.4174069434</v>
      </c>
      <c r="H13" s="79"/>
      <c r="I13" s="75">
        <f>G13+H13+K12</f>
        <v>17.961406566644431</v>
      </c>
      <c r="J13" s="265">
        <v>0</v>
      </c>
      <c r="K13" s="75">
        <f t="shared" si="0"/>
        <v>17.961406566644431</v>
      </c>
      <c r="L13" s="80">
        <f t="shared" si="1"/>
        <v>0</v>
      </c>
      <c r="M13" s="365" t="s">
        <v>30</v>
      </c>
      <c r="N13" s="888"/>
      <c r="O13" s="888"/>
      <c r="P13" s="888"/>
      <c r="Q13" s="888"/>
      <c r="R13" s="888"/>
      <c r="S13" s="889"/>
      <c r="T13" s="906" t="e">
        <f t="shared" ref="T13:T19" si="3">+((O13*-1)+M13)/L13</f>
        <v>#VALUE!</v>
      </c>
      <c r="V13" s="378">
        <v>0</v>
      </c>
      <c r="W13" s="588">
        <f t="shared" ref="W13:W43" si="4">+V13-J13</f>
        <v>0</v>
      </c>
    </row>
    <row r="14" spans="1:23" s="378" customFormat="1" ht="15" customHeight="1">
      <c r="A14" s="46">
        <v>2</v>
      </c>
      <c r="B14" s="875"/>
      <c r="C14" s="648" t="s">
        <v>249</v>
      </c>
      <c r="D14" s="865">
        <v>4370</v>
      </c>
      <c r="E14" s="834">
        <v>1.3921925E-2</v>
      </c>
      <c r="F14" s="198" t="s">
        <v>35</v>
      </c>
      <c r="G14" s="371">
        <f>+E14*$D$6</f>
        <v>33.356932299999997</v>
      </c>
      <c r="H14" s="523">
        <v>-11.58</v>
      </c>
      <c r="I14" s="75">
        <f>G14+H14</f>
        <v>21.776932299999999</v>
      </c>
      <c r="J14" s="369">
        <v>23.338888888888892</v>
      </c>
      <c r="K14" s="75">
        <f t="shared" si="0"/>
        <v>-1.5619565888888935</v>
      </c>
      <c r="L14" s="80">
        <f t="shared" si="1"/>
        <v>1.071725281016229</v>
      </c>
      <c r="M14" s="651">
        <v>43655</v>
      </c>
      <c r="N14" s="888">
        <f t="shared" ref="N14:O14" si="5">G14+G15</f>
        <v>52.541344949999996</v>
      </c>
      <c r="O14" s="888">
        <f t="shared" si="5"/>
        <v>-11.58</v>
      </c>
      <c r="P14" s="888">
        <f t="shared" ref="P14" si="6">N14+O14</f>
        <v>40.961344949999997</v>
      </c>
      <c r="Q14" s="888">
        <f t="shared" ref="Q14" si="7">J14+J15</f>
        <v>23.338888888888892</v>
      </c>
      <c r="R14" s="888">
        <f t="shared" ref="R14" si="8">P14-Q14</f>
        <v>17.622456061111105</v>
      </c>
      <c r="S14" s="889">
        <f t="shared" ref="S14" si="9">Q14/P14</f>
        <v>0.56977838294562377</v>
      </c>
      <c r="T14" s="906">
        <f>+(((Q14*-1)+O14)/N14)*-1</f>
        <v>0.66459830676429799</v>
      </c>
      <c r="V14" s="378">
        <v>23.338888888888892</v>
      </c>
      <c r="W14" s="588">
        <f t="shared" si="4"/>
        <v>0</v>
      </c>
    </row>
    <row r="15" spans="1:23" s="378" customFormat="1" ht="15" customHeight="1">
      <c r="A15" s="210"/>
      <c r="B15" s="875"/>
      <c r="C15" s="320"/>
      <c r="D15" s="865"/>
      <c r="E15" s="834"/>
      <c r="F15" s="198" t="s">
        <v>95</v>
      </c>
      <c r="G15" s="371">
        <f>+E14*$D$8</f>
        <v>19.184412649999999</v>
      </c>
      <c r="H15" s="79"/>
      <c r="I15" s="75">
        <f>G15+H15+K14</f>
        <v>17.622456061111105</v>
      </c>
      <c r="J15" s="265">
        <v>0</v>
      </c>
      <c r="K15" s="75">
        <f t="shared" si="0"/>
        <v>17.622456061111105</v>
      </c>
      <c r="L15" s="80">
        <f t="shared" si="1"/>
        <v>0</v>
      </c>
      <c r="M15" s="365" t="s">
        <v>30</v>
      </c>
      <c r="N15" s="888"/>
      <c r="O15" s="888"/>
      <c r="P15" s="888"/>
      <c r="Q15" s="888"/>
      <c r="R15" s="888"/>
      <c r="S15" s="889"/>
      <c r="T15" s="906" t="e">
        <f t="shared" si="3"/>
        <v>#VALUE!</v>
      </c>
      <c r="V15" s="378">
        <v>0</v>
      </c>
      <c r="W15" s="588">
        <f t="shared" si="4"/>
        <v>0</v>
      </c>
    </row>
    <row r="16" spans="1:23" s="378" customFormat="1" ht="15" customHeight="1">
      <c r="A16" s="46">
        <v>3</v>
      </c>
      <c r="B16" s="875"/>
      <c r="C16" s="520" t="s">
        <v>383</v>
      </c>
      <c r="D16" s="895" t="s">
        <v>251</v>
      </c>
      <c r="E16" s="857">
        <v>1.3424028500000001E-2</v>
      </c>
      <c r="F16" s="521" t="s">
        <v>35</v>
      </c>
      <c r="G16" s="522">
        <f>+E16*$D$6</f>
        <v>32.163972286000003</v>
      </c>
      <c r="H16" s="523">
        <v>-50.661999999999999</v>
      </c>
      <c r="I16" s="206">
        <f>G16+H16</f>
        <v>-18.498027713999996</v>
      </c>
      <c r="J16" s="524">
        <v>0</v>
      </c>
      <c r="K16" s="206">
        <f t="shared" si="0"/>
        <v>-18.498027713999996</v>
      </c>
      <c r="L16" s="525">
        <f t="shared" si="1"/>
        <v>0</v>
      </c>
      <c r="M16" s="526">
        <v>43508</v>
      </c>
      <c r="N16" s="893">
        <f t="shared" ref="N16:O16" si="10">G16+G17</f>
        <v>50.662283559000002</v>
      </c>
      <c r="O16" s="893">
        <f t="shared" si="10"/>
        <v>-50.661999999999999</v>
      </c>
      <c r="P16" s="893">
        <f t="shared" ref="P16" si="11">N16+O16</f>
        <v>2.8355900000320844E-4</v>
      </c>
      <c r="Q16" s="893">
        <f t="shared" ref="Q16" si="12">J16+J17</f>
        <v>0</v>
      </c>
      <c r="R16" s="893">
        <f t="shared" ref="R16" si="13">P16-Q16</f>
        <v>2.8355900000320844E-4</v>
      </c>
      <c r="S16" s="894">
        <f t="shared" ref="S16" si="14">Q16/P16</f>
        <v>0</v>
      </c>
      <c r="T16" s="894">
        <f>+(((Q16*-1)+O16)/N16)*-1</f>
        <v>0.99999440295659647</v>
      </c>
      <c r="V16" s="378">
        <v>0</v>
      </c>
      <c r="W16" s="588">
        <f t="shared" si="4"/>
        <v>0</v>
      </c>
    </row>
    <row r="17" spans="1:23" s="378" customFormat="1" ht="15" customHeight="1">
      <c r="A17" s="46"/>
      <c r="B17" s="875"/>
      <c r="C17" s="527"/>
      <c r="D17" s="895"/>
      <c r="E17" s="857"/>
      <c r="F17" s="528" t="s">
        <v>95</v>
      </c>
      <c r="G17" s="529">
        <f>+E16*$D$8</f>
        <v>18.498311273000002</v>
      </c>
      <c r="H17" s="523"/>
      <c r="I17" s="206">
        <f>G17+H17+K16</f>
        <v>2.8355900000676115E-4</v>
      </c>
      <c r="J17" s="528">
        <v>0</v>
      </c>
      <c r="K17" s="530">
        <f t="shared" si="0"/>
        <v>2.8355900000676115E-4</v>
      </c>
      <c r="L17" s="531">
        <f t="shared" si="1"/>
        <v>0</v>
      </c>
      <c r="M17" s="526">
        <v>43508</v>
      </c>
      <c r="N17" s="893"/>
      <c r="O17" s="893"/>
      <c r="P17" s="893"/>
      <c r="Q17" s="893"/>
      <c r="R17" s="893"/>
      <c r="S17" s="894"/>
      <c r="T17" s="894" t="e">
        <f t="shared" si="3"/>
        <v>#DIV/0!</v>
      </c>
      <c r="V17" s="378">
        <v>0</v>
      </c>
      <c r="W17" s="588">
        <f t="shared" si="4"/>
        <v>0</v>
      </c>
    </row>
    <row r="18" spans="1:23" s="378" customFormat="1" ht="15" customHeight="1">
      <c r="A18" s="46">
        <v>4</v>
      </c>
      <c r="B18" s="875"/>
      <c r="C18" s="611" t="s">
        <v>382</v>
      </c>
      <c r="D18" s="865" t="s">
        <v>255</v>
      </c>
      <c r="E18" s="834">
        <v>2.4624648E-3</v>
      </c>
      <c r="F18" s="198" t="s">
        <v>35</v>
      </c>
      <c r="G18" s="371">
        <f>+E18*$D$6</f>
        <v>5.9000656608000002</v>
      </c>
      <c r="H18" s="79"/>
      <c r="I18" s="75">
        <f>G18+H18</f>
        <v>5.9000656608000002</v>
      </c>
      <c r="J18" s="369">
        <v>6.0611111111111109</v>
      </c>
      <c r="K18" s="75">
        <f t="shared" si="0"/>
        <v>-0.16104545031111073</v>
      </c>
      <c r="L18" s="507">
        <f t="shared" si="1"/>
        <v>1.0272955352651574</v>
      </c>
      <c r="M18" s="526">
        <v>43654</v>
      </c>
      <c r="N18" s="888">
        <f t="shared" ref="N18:O18" si="15">G18+G19</f>
        <v>9.2933421551999995</v>
      </c>
      <c r="O18" s="888">
        <f t="shared" si="15"/>
        <v>0</v>
      </c>
      <c r="P18" s="888">
        <f t="shared" ref="P18" si="16">N18+O18</f>
        <v>9.2933421551999995</v>
      </c>
      <c r="Q18" s="888">
        <f t="shared" ref="Q18" si="17">J18+J19</f>
        <v>6.0611111111111109</v>
      </c>
      <c r="R18" s="888">
        <f t="shared" ref="R18" si="18">P18-Q18</f>
        <v>3.2322310440888886</v>
      </c>
      <c r="S18" s="889">
        <f t="shared" ref="S18" si="19">Q18/P18</f>
        <v>0.65219928523988269</v>
      </c>
      <c r="T18" s="906">
        <f>+(((Q18*-1)+O18)/N18)*-1</f>
        <v>0.65219928523988269</v>
      </c>
      <c r="V18" s="378">
        <v>6.0611111111111109</v>
      </c>
      <c r="W18" s="588">
        <f t="shared" si="4"/>
        <v>0</v>
      </c>
    </row>
    <row r="19" spans="1:23" s="378" customFormat="1" ht="15" customHeight="1">
      <c r="A19" s="210"/>
      <c r="B19" s="875"/>
      <c r="C19" s="320"/>
      <c r="D19" s="865"/>
      <c r="E19" s="834"/>
      <c r="F19" s="198" t="s">
        <v>95</v>
      </c>
      <c r="G19" s="371">
        <f>+E18*$D$8</f>
        <v>3.3932764943999998</v>
      </c>
      <c r="H19" s="79"/>
      <c r="I19" s="75">
        <f>G19+H19+K18</f>
        <v>3.2322310440888891</v>
      </c>
      <c r="J19" s="265">
        <v>0</v>
      </c>
      <c r="K19" s="75">
        <f t="shared" si="0"/>
        <v>3.2322310440888891</v>
      </c>
      <c r="L19" s="80">
        <f t="shared" si="1"/>
        <v>0</v>
      </c>
      <c r="M19" s="365" t="s">
        <v>30</v>
      </c>
      <c r="N19" s="888"/>
      <c r="O19" s="888"/>
      <c r="P19" s="888"/>
      <c r="Q19" s="888"/>
      <c r="R19" s="888"/>
      <c r="S19" s="889"/>
      <c r="T19" s="906" t="e">
        <f t="shared" si="3"/>
        <v>#VALUE!</v>
      </c>
      <c r="V19" s="378">
        <v>0</v>
      </c>
      <c r="W19" s="588">
        <f t="shared" si="4"/>
        <v>0</v>
      </c>
    </row>
    <row r="20" spans="1:23" s="378" customFormat="1" ht="15" customHeight="1">
      <c r="A20" s="46">
        <v>5</v>
      </c>
      <c r="B20" s="875"/>
      <c r="C20" s="554" t="s">
        <v>368</v>
      </c>
      <c r="D20" s="865" t="s">
        <v>252</v>
      </c>
      <c r="E20" s="834">
        <v>2.4172300599999998E-2</v>
      </c>
      <c r="F20" s="198" t="s">
        <v>35</v>
      </c>
      <c r="G20" s="371">
        <f>+E20*$D$6</f>
        <v>57.916832237599998</v>
      </c>
      <c r="H20" s="79">
        <f>-89.426</f>
        <v>-89.426000000000002</v>
      </c>
      <c r="I20" s="75">
        <f>G20+H20</f>
        <v>-31.509167762400004</v>
      </c>
      <c r="J20" s="369">
        <v>0</v>
      </c>
      <c r="K20" s="75">
        <f t="shared" si="0"/>
        <v>-31.509167762400004</v>
      </c>
      <c r="L20" s="80">
        <f t="shared" si="1"/>
        <v>0</v>
      </c>
      <c r="M20" s="362">
        <v>43528</v>
      </c>
      <c r="N20" s="888">
        <f t="shared" ref="N20:O20" si="20">G20+G21</f>
        <v>91.226262464399994</v>
      </c>
      <c r="O20" s="888">
        <f t="shared" si="20"/>
        <v>-89.426000000000002</v>
      </c>
      <c r="P20" s="888">
        <f t="shared" ref="P20" si="21">N20+O20</f>
        <v>1.8002624643999923</v>
      </c>
      <c r="Q20" s="888">
        <f t="shared" ref="Q20" si="22">J20+J21</f>
        <v>0</v>
      </c>
      <c r="R20" s="888">
        <f t="shared" ref="R20" si="23">P20-Q20</f>
        <v>1.8002624643999923</v>
      </c>
      <c r="S20" s="889">
        <f t="shared" ref="S20" si="24">Q20/P20</f>
        <v>0</v>
      </c>
      <c r="T20" s="906">
        <f t="shared" ref="T20" si="25">(100%-+(R20/N20))</f>
        <v>0.98026596271986344</v>
      </c>
      <c r="V20" s="378">
        <v>0</v>
      </c>
      <c r="W20" s="588">
        <f t="shared" si="4"/>
        <v>0</v>
      </c>
    </row>
    <row r="21" spans="1:23" s="378" customFormat="1" ht="15" customHeight="1">
      <c r="A21" s="46"/>
      <c r="B21" s="875"/>
      <c r="C21" s="320"/>
      <c r="D21" s="865"/>
      <c r="E21" s="834"/>
      <c r="F21" s="198" t="s">
        <v>95</v>
      </c>
      <c r="G21" s="371">
        <f>+E20*$D$8</f>
        <v>33.309430226799996</v>
      </c>
      <c r="H21" s="79"/>
      <c r="I21" s="75">
        <f>G21+H21+K20</f>
        <v>1.8002624643999923</v>
      </c>
      <c r="J21" s="265">
        <v>0</v>
      </c>
      <c r="K21" s="75">
        <f t="shared" si="0"/>
        <v>1.8002624643999923</v>
      </c>
      <c r="L21" s="80">
        <f t="shared" si="1"/>
        <v>0</v>
      </c>
      <c r="M21" s="365" t="s">
        <v>30</v>
      </c>
      <c r="N21" s="888"/>
      <c r="O21" s="888"/>
      <c r="P21" s="888"/>
      <c r="Q21" s="888"/>
      <c r="R21" s="888"/>
      <c r="S21" s="889"/>
      <c r="T21" s="906"/>
      <c r="V21" s="378">
        <v>0</v>
      </c>
      <c r="W21" s="588">
        <f t="shared" si="4"/>
        <v>0</v>
      </c>
    </row>
    <row r="22" spans="1:23" s="378" customFormat="1" ht="15" customHeight="1">
      <c r="A22" s="46">
        <v>6</v>
      </c>
      <c r="B22" s="875"/>
      <c r="C22" s="652" t="s">
        <v>547</v>
      </c>
      <c r="D22" s="865" t="s">
        <v>256</v>
      </c>
      <c r="E22" s="834">
        <v>1.6349055000000001E-2</v>
      </c>
      <c r="F22" s="198" t="s">
        <v>35</v>
      </c>
      <c r="G22" s="371">
        <f>+E22*$D$6</f>
        <v>39.172335780000004</v>
      </c>
      <c r="H22" s="79">
        <v>-59.545000000000002</v>
      </c>
      <c r="I22" s="75">
        <f>G22+H22</f>
        <v>-20.372664219999997</v>
      </c>
      <c r="J22" s="369">
        <v>1.5555555555555556</v>
      </c>
      <c r="K22" s="75">
        <f t="shared" si="0"/>
        <v>-21.928219775555554</v>
      </c>
      <c r="L22" s="507">
        <f t="shared" si="1"/>
        <v>-7.63550382393509E-2</v>
      </c>
      <c r="M22" s="560">
        <v>43613</v>
      </c>
      <c r="N22" s="888">
        <f t="shared" ref="N22:O22" si="26">G22+G23</f>
        <v>61.701333570000003</v>
      </c>
      <c r="O22" s="888">
        <f t="shared" si="26"/>
        <v>-59.545000000000002</v>
      </c>
      <c r="P22" s="888">
        <f t="shared" ref="P22" si="27">N22+O22</f>
        <v>2.156333570000001</v>
      </c>
      <c r="Q22" s="888">
        <f t="shared" ref="Q22" si="28">J22+J23</f>
        <v>1.5555555555555556</v>
      </c>
      <c r="R22" s="888">
        <f t="shared" ref="R22" si="29">P22-Q22</f>
        <v>0.60077801444444545</v>
      </c>
      <c r="S22" s="889">
        <f t="shared" ref="S22" si="30">Q22/P22</f>
        <v>0.72138911029222386</v>
      </c>
      <c r="T22" s="906">
        <f t="shared" ref="T22:T24" si="31">(100%-+(R22/N22))</f>
        <v>0.9902631275584528</v>
      </c>
      <c r="V22" s="378">
        <v>1.5555555555555556</v>
      </c>
      <c r="W22" s="588">
        <f t="shared" si="4"/>
        <v>0</v>
      </c>
    </row>
    <row r="23" spans="1:23" s="378" customFormat="1" ht="15" customHeight="1">
      <c r="A23" s="210"/>
      <c r="B23" s="875"/>
      <c r="C23" s="509"/>
      <c r="D23" s="865"/>
      <c r="E23" s="834"/>
      <c r="F23" s="198" t="s">
        <v>95</v>
      </c>
      <c r="G23" s="371">
        <f>+E22*$D$8</f>
        <v>22.528997790000002</v>
      </c>
      <c r="H23" s="79"/>
      <c r="I23" s="75">
        <f>G23+H23+K22</f>
        <v>0.60077801444444745</v>
      </c>
      <c r="J23" s="265">
        <v>0</v>
      </c>
      <c r="K23" s="75">
        <f t="shared" si="0"/>
        <v>0.60077801444444745</v>
      </c>
      <c r="L23" s="80">
        <f t="shared" si="1"/>
        <v>0</v>
      </c>
      <c r="M23" s="365" t="s">
        <v>30</v>
      </c>
      <c r="N23" s="888"/>
      <c r="O23" s="888"/>
      <c r="P23" s="888"/>
      <c r="Q23" s="888"/>
      <c r="R23" s="888"/>
      <c r="S23" s="889"/>
      <c r="T23" s="906"/>
      <c r="V23" s="378">
        <v>0</v>
      </c>
      <c r="W23" s="588">
        <f t="shared" si="4"/>
        <v>0</v>
      </c>
    </row>
    <row r="24" spans="1:23" s="378" customFormat="1" ht="15" customHeight="1">
      <c r="A24" s="46">
        <v>7</v>
      </c>
      <c r="B24" s="875"/>
      <c r="C24" s="818" t="s">
        <v>369</v>
      </c>
      <c r="D24" s="865" t="s">
        <v>246</v>
      </c>
      <c r="E24" s="834">
        <v>1.08112364E-2</v>
      </c>
      <c r="F24" s="197" t="s">
        <v>35</v>
      </c>
      <c r="G24" s="370">
        <f>+E24*$D$6+13.898</f>
        <v>39.801722414400004</v>
      </c>
      <c r="H24" s="79"/>
      <c r="I24" s="75">
        <f>G24+H24</f>
        <v>39.801722414400004</v>
      </c>
      <c r="J24" s="369">
        <v>35.156666666666666</v>
      </c>
      <c r="K24" s="82">
        <f>I24-J24</f>
        <v>4.6450557477333376</v>
      </c>
      <c r="L24" s="83">
        <f t="shared" si="1"/>
        <v>0.88329510719735116</v>
      </c>
      <c r="M24" s="365" t="s">
        <v>30</v>
      </c>
      <c r="N24" s="888">
        <f t="shared" ref="N24:O24" si="32">G24+G25</f>
        <v>40.801606173600007</v>
      </c>
      <c r="O24" s="888">
        <f t="shared" si="32"/>
        <v>0</v>
      </c>
      <c r="P24" s="888">
        <f>N24+O24</f>
        <v>40.801606173600007</v>
      </c>
      <c r="Q24" s="888">
        <f t="shared" ref="Q24" si="33">J24+J25</f>
        <v>35.156666666666666</v>
      </c>
      <c r="R24" s="888">
        <f t="shared" ref="R24" si="34">P24-Q24</f>
        <v>5.6449395069333406</v>
      </c>
      <c r="S24" s="889">
        <f t="shared" ref="S24" si="35">Q24/P24</f>
        <v>0.86164908599637913</v>
      </c>
      <c r="T24" s="906">
        <f t="shared" si="31"/>
        <v>0.86164908599637913</v>
      </c>
      <c r="V24" s="378">
        <v>35.156666666666666</v>
      </c>
      <c r="W24" s="588">
        <f t="shared" si="4"/>
        <v>0</v>
      </c>
    </row>
    <row r="25" spans="1:23" s="378" customFormat="1" ht="15" customHeight="1">
      <c r="A25" s="46"/>
      <c r="B25" s="875"/>
      <c r="C25" s="819"/>
      <c r="D25" s="865"/>
      <c r="E25" s="834">
        <v>1.08112364E-2</v>
      </c>
      <c r="F25" s="198" t="s">
        <v>95</v>
      </c>
      <c r="G25" s="371">
        <f>+E24*$D$8-13.898</f>
        <v>0.99988375920000117</v>
      </c>
      <c r="H25" s="79"/>
      <c r="I25" s="75">
        <f>G25+H25+K24</f>
        <v>5.6449395069333388</v>
      </c>
      <c r="J25" s="265">
        <v>0</v>
      </c>
      <c r="K25" s="75">
        <f t="shared" si="0"/>
        <v>5.6449395069333388</v>
      </c>
      <c r="L25" s="80">
        <f t="shared" si="1"/>
        <v>0</v>
      </c>
      <c r="M25" s="365" t="s">
        <v>30</v>
      </c>
      <c r="N25" s="888"/>
      <c r="O25" s="888"/>
      <c r="P25" s="888"/>
      <c r="Q25" s="888"/>
      <c r="R25" s="888"/>
      <c r="S25" s="889"/>
      <c r="T25" s="906"/>
      <c r="V25" s="378">
        <v>0</v>
      </c>
      <c r="W25" s="588">
        <f t="shared" si="4"/>
        <v>0</v>
      </c>
    </row>
    <row r="26" spans="1:23" s="378" customFormat="1" ht="15" customHeight="1">
      <c r="A26" s="46">
        <v>8</v>
      </c>
      <c r="B26" s="875"/>
      <c r="C26" s="322" t="s">
        <v>380</v>
      </c>
      <c r="D26" s="865" t="s">
        <v>258</v>
      </c>
      <c r="E26" s="834">
        <v>1.5012192999999999E-3</v>
      </c>
      <c r="F26" s="198" t="s">
        <v>35</v>
      </c>
      <c r="G26" s="371">
        <f>+E26*$D$6</f>
        <v>3.5969214427999998</v>
      </c>
      <c r="H26" s="79">
        <v>-4.1100000000000003</v>
      </c>
      <c r="I26" s="75">
        <f>G26+H26</f>
        <v>-0.51307855720000051</v>
      </c>
      <c r="J26" s="369">
        <v>1.5555555555555554</v>
      </c>
      <c r="K26" s="75">
        <f>I26-J26</f>
        <v>-2.0686341127555559</v>
      </c>
      <c r="L26" s="80">
        <f t="shared" si="1"/>
        <v>-3.0318077684723672</v>
      </c>
      <c r="M26" s="560">
        <v>43619</v>
      </c>
      <c r="N26" s="888">
        <f t="shared" ref="N26:O26" si="36">G26+G27</f>
        <v>5.6656016382000001</v>
      </c>
      <c r="O26" s="888">
        <f t="shared" si="36"/>
        <v>-4.1100000000000003</v>
      </c>
      <c r="P26" s="888">
        <f t="shared" ref="P26" si="37">N26+O26</f>
        <v>1.5556016381999997</v>
      </c>
      <c r="Q26" s="888">
        <f t="shared" ref="Q26" si="38">J26+J27</f>
        <v>1.5555555555555554</v>
      </c>
      <c r="R26" s="888">
        <f t="shared" ref="R26" si="39">P26-Q26</f>
        <v>4.6082644444389587E-5</v>
      </c>
      <c r="S26" s="889">
        <f t="shared" ref="S26" si="40">Q26/P26</f>
        <v>0.99997037632044561</v>
      </c>
      <c r="T26" s="906">
        <f t="shared" ref="T26" si="41">(100%-+(R26/N26))</f>
        <v>0.9999918662399182</v>
      </c>
      <c r="V26" s="378">
        <v>1.5555555555555554</v>
      </c>
      <c r="W26" s="588">
        <f t="shared" si="4"/>
        <v>0</v>
      </c>
    </row>
    <row r="27" spans="1:23" s="378" customFormat="1" ht="15" customHeight="1">
      <c r="A27" s="210"/>
      <c r="B27" s="875"/>
      <c r="C27" s="320"/>
      <c r="D27" s="865"/>
      <c r="E27" s="834"/>
      <c r="F27" s="198" t="s">
        <v>95</v>
      </c>
      <c r="G27" s="371">
        <f>+E26*$D$8</f>
        <v>2.0686801953999998</v>
      </c>
      <c r="H27" s="79"/>
      <c r="I27" s="75">
        <f>G27+H27+K26</f>
        <v>4.6082644443945497E-5</v>
      </c>
      <c r="J27" s="265">
        <v>0</v>
      </c>
      <c r="K27" s="75">
        <f t="shared" si="0"/>
        <v>4.6082644443945497E-5</v>
      </c>
      <c r="L27" s="80">
        <f t="shared" si="1"/>
        <v>0</v>
      </c>
      <c r="M27" s="560">
        <v>43619</v>
      </c>
      <c r="N27" s="888"/>
      <c r="O27" s="888"/>
      <c r="P27" s="888"/>
      <c r="Q27" s="888"/>
      <c r="R27" s="888"/>
      <c r="S27" s="889"/>
      <c r="T27" s="906"/>
      <c r="V27" s="378">
        <v>0</v>
      </c>
      <c r="W27" s="588">
        <f t="shared" si="4"/>
        <v>0</v>
      </c>
    </row>
    <row r="28" spans="1:23" s="378" customFormat="1" ht="15" customHeight="1">
      <c r="A28" s="46">
        <v>9</v>
      </c>
      <c r="B28" s="875"/>
      <c r="C28" s="322" t="s">
        <v>247</v>
      </c>
      <c r="D28" s="865">
        <v>4452</v>
      </c>
      <c r="E28" s="834">
        <v>6.7243100000000003E-4</v>
      </c>
      <c r="F28" s="198" t="s">
        <v>35</v>
      </c>
      <c r="G28" s="371">
        <f>+E28*$D$6</f>
        <v>1.6111446760000001</v>
      </c>
      <c r="H28" s="79"/>
      <c r="I28" s="75">
        <f>G28+H28</f>
        <v>1.6111446760000001</v>
      </c>
      <c r="J28" s="369">
        <v>0</v>
      </c>
      <c r="K28" s="75">
        <f t="shared" si="0"/>
        <v>1.6111446760000001</v>
      </c>
      <c r="L28" s="80">
        <f t="shared" si="1"/>
        <v>0</v>
      </c>
      <c r="M28" s="365" t="s">
        <v>30</v>
      </c>
      <c r="N28" s="888">
        <f t="shared" ref="N28:O28" si="42">G28+G29</f>
        <v>2.5377545939999999</v>
      </c>
      <c r="O28" s="888">
        <f t="shared" si="42"/>
        <v>0</v>
      </c>
      <c r="P28" s="888">
        <f>N28+O28</f>
        <v>2.5377545939999999</v>
      </c>
      <c r="Q28" s="888">
        <f t="shared" ref="Q28" si="43">J28+J29</f>
        <v>0</v>
      </c>
      <c r="R28" s="888">
        <f t="shared" ref="R28" si="44">P28-Q28</f>
        <v>2.5377545939999999</v>
      </c>
      <c r="S28" s="889">
        <f t="shared" ref="S28" si="45">Q28/P28</f>
        <v>0</v>
      </c>
      <c r="T28" s="906">
        <f t="shared" ref="T28:T44" si="46">(100%-+(R28/N28))</f>
        <v>0</v>
      </c>
      <c r="V28" s="378">
        <v>0</v>
      </c>
      <c r="W28" s="588">
        <f t="shared" si="4"/>
        <v>0</v>
      </c>
    </row>
    <row r="29" spans="1:23" s="378" customFormat="1" ht="15" customHeight="1">
      <c r="A29" s="46"/>
      <c r="B29" s="875"/>
      <c r="C29" s="320"/>
      <c r="D29" s="865"/>
      <c r="E29" s="891">
        <v>1.2413368000000001E-3</v>
      </c>
      <c r="F29" s="199" t="s">
        <v>95</v>
      </c>
      <c r="G29" s="372">
        <f>+E28*$D$8</f>
        <v>0.92660991800000003</v>
      </c>
      <c r="H29" s="79"/>
      <c r="I29" s="75">
        <f>G29+H29+K28</f>
        <v>2.5377545939999999</v>
      </c>
      <c r="J29" s="265">
        <v>0</v>
      </c>
      <c r="K29" s="78">
        <f t="shared" si="0"/>
        <v>2.5377545939999999</v>
      </c>
      <c r="L29" s="80">
        <f t="shared" si="1"/>
        <v>0</v>
      </c>
      <c r="M29" s="385" t="s">
        <v>30</v>
      </c>
      <c r="N29" s="888"/>
      <c r="O29" s="888"/>
      <c r="P29" s="888"/>
      <c r="Q29" s="888"/>
      <c r="R29" s="888"/>
      <c r="S29" s="889"/>
      <c r="T29" s="906"/>
      <c r="V29" s="378">
        <v>0</v>
      </c>
      <c r="W29" s="588">
        <f t="shared" si="4"/>
        <v>0</v>
      </c>
    </row>
    <row r="30" spans="1:23" s="378" customFormat="1" ht="15" customHeight="1">
      <c r="A30" s="46">
        <v>10</v>
      </c>
      <c r="B30" s="875"/>
      <c r="C30" s="520" t="s">
        <v>390</v>
      </c>
      <c r="D30" s="892" t="s">
        <v>257</v>
      </c>
      <c r="E30" s="892">
        <v>1.6476685500000001E-2</v>
      </c>
      <c r="F30" s="521" t="s">
        <v>35</v>
      </c>
      <c r="G30" s="522">
        <f>+E30*$D$6</f>
        <v>39.478138458000004</v>
      </c>
      <c r="H30" s="523">
        <v>-62.183</v>
      </c>
      <c r="I30" s="206">
        <f>G30+H30</f>
        <v>-22.704861541999996</v>
      </c>
      <c r="J30" s="524">
        <v>0</v>
      </c>
      <c r="K30" s="206">
        <f t="shared" si="0"/>
        <v>-22.704861541999996</v>
      </c>
      <c r="L30" s="525">
        <f t="shared" si="1"/>
        <v>0</v>
      </c>
      <c r="M30" s="526">
        <v>43508</v>
      </c>
      <c r="N30" s="893">
        <f t="shared" ref="N30:O30" si="47">G30+G31</f>
        <v>62.183011077000003</v>
      </c>
      <c r="O30" s="893">
        <f t="shared" si="47"/>
        <v>-62.183</v>
      </c>
      <c r="P30" s="893">
        <f t="shared" ref="P30" si="48">N30+O30</f>
        <v>1.1077000003467674E-5</v>
      </c>
      <c r="Q30" s="893">
        <f t="shared" ref="Q30" si="49">J30+J31</f>
        <v>0</v>
      </c>
      <c r="R30" s="893">
        <f t="shared" ref="R30" si="50">P30-Q30</f>
        <v>1.1077000003467674E-5</v>
      </c>
      <c r="S30" s="894">
        <f t="shared" ref="S30" si="51">Q30/P30</f>
        <v>0</v>
      </c>
      <c r="T30" s="894">
        <f t="shared" si="46"/>
        <v>0.9999998218645284</v>
      </c>
      <c r="V30" s="378">
        <v>0</v>
      </c>
      <c r="W30" s="588">
        <f t="shared" si="4"/>
        <v>0</v>
      </c>
    </row>
    <row r="31" spans="1:23" s="378" customFormat="1" ht="15" customHeight="1">
      <c r="A31" s="210"/>
      <c r="B31" s="875"/>
      <c r="C31" s="527"/>
      <c r="D31" s="892"/>
      <c r="E31" s="892"/>
      <c r="F31" s="521" t="s">
        <v>95</v>
      </c>
      <c r="G31" s="522">
        <f>+E30*$D$8</f>
        <v>22.704872619000003</v>
      </c>
      <c r="H31" s="523"/>
      <c r="I31" s="206">
        <f>G31+H31+K30</f>
        <v>1.1077000007020388E-5</v>
      </c>
      <c r="J31" s="528">
        <v>0</v>
      </c>
      <c r="K31" s="206">
        <f t="shared" si="0"/>
        <v>1.1077000007020388E-5</v>
      </c>
      <c r="L31" s="525">
        <f t="shared" si="1"/>
        <v>0</v>
      </c>
      <c r="M31" s="526">
        <v>43508</v>
      </c>
      <c r="N31" s="893"/>
      <c r="O31" s="893"/>
      <c r="P31" s="893"/>
      <c r="Q31" s="893"/>
      <c r="R31" s="893"/>
      <c r="S31" s="894"/>
      <c r="T31" s="894"/>
      <c r="V31" s="378">
        <v>0</v>
      </c>
      <c r="W31" s="588">
        <f t="shared" si="4"/>
        <v>0</v>
      </c>
    </row>
    <row r="32" spans="1:23" s="378" customFormat="1" ht="15" customHeight="1">
      <c r="A32" s="46">
        <v>11</v>
      </c>
      <c r="B32" s="875"/>
      <c r="C32" s="822" t="s">
        <v>412</v>
      </c>
      <c r="D32" s="865" t="s">
        <v>250</v>
      </c>
      <c r="E32" s="834">
        <v>4.7043989000000001E-2</v>
      </c>
      <c r="F32" s="198" t="s">
        <v>35</v>
      </c>
      <c r="G32" s="371">
        <f>+E32*$D$6</f>
        <v>112.717397644</v>
      </c>
      <c r="H32" s="79"/>
      <c r="I32" s="75">
        <f>G32+H32</f>
        <v>112.717397644</v>
      </c>
      <c r="J32" s="369">
        <v>110.9622222222222</v>
      </c>
      <c r="K32" s="75">
        <f t="shared" ref="K32:K43" si="52">I32-J32</f>
        <v>1.7551754217778068</v>
      </c>
      <c r="L32" s="80">
        <f t="shared" ref="L32:L42" si="53">J32/I32</f>
        <v>0.98442853136725839</v>
      </c>
      <c r="M32" s="365" t="s">
        <v>30</v>
      </c>
      <c r="N32" s="888">
        <f t="shared" ref="N32" si="54">G32+G33</f>
        <v>177.54401448600001</v>
      </c>
      <c r="O32" s="888">
        <f>H32+H33</f>
        <v>0</v>
      </c>
      <c r="P32" s="888">
        <f t="shared" ref="P32" si="55">N32+O32</f>
        <v>177.54401448600001</v>
      </c>
      <c r="Q32" s="888">
        <f t="shared" ref="Q32" si="56">J32+J33</f>
        <v>110.9622222222222</v>
      </c>
      <c r="R32" s="888">
        <f t="shared" ref="R32" si="57">P32-Q32</f>
        <v>66.581792263777814</v>
      </c>
      <c r="S32" s="889">
        <f t="shared" ref="S32" si="58">Q32/P32</f>
        <v>0.62498430343294942</v>
      </c>
      <c r="T32" s="906">
        <f t="shared" si="46"/>
        <v>0.62498430343294942</v>
      </c>
      <c r="V32" s="378">
        <v>110.9622222222222</v>
      </c>
      <c r="W32" s="588">
        <f t="shared" si="4"/>
        <v>0</v>
      </c>
    </row>
    <row r="33" spans="1:23" s="378" customFormat="1" ht="15" customHeight="1">
      <c r="A33" s="46"/>
      <c r="B33" s="875"/>
      <c r="C33" s="823"/>
      <c r="D33" s="865"/>
      <c r="E33" s="834"/>
      <c r="F33" s="199" t="s">
        <v>95</v>
      </c>
      <c r="G33" s="372">
        <f>+E32*$D$8</f>
        <v>64.826616842000007</v>
      </c>
      <c r="H33" s="79"/>
      <c r="I33" s="75">
        <f>G33+H33+K32</f>
        <v>66.581792263777814</v>
      </c>
      <c r="J33" s="265">
        <v>0</v>
      </c>
      <c r="K33" s="78">
        <f t="shared" si="52"/>
        <v>66.581792263777814</v>
      </c>
      <c r="L33" s="84">
        <f t="shared" si="53"/>
        <v>0</v>
      </c>
      <c r="M33" s="365" t="s">
        <v>30</v>
      </c>
      <c r="N33" s="888"/>
      <c r="O33" s="888"/>
      <c r="P33" s="888"/>
      <c r="Q33" s="888"/>
      <c r="R33" s="888"/>
      <c r="S33" s="889"/>
      <c r="T33" s="906"/>
      <c r="V33" s="378">
        <v>0</v>
      </c>
      <c r="W33" s="588">
        <f t="shared" si="4"/>
        <v>0</v>
      </c>
    </row>
    <row r="34" spans="1:23" s="378" customFormat="1" ht="15" customHeight="1">
      <c r="A34" s="46">
        <v>12</v>
      </c>
      <c r="B34" s="875"/>
      <c r="C34" s="322" t="s">
        <v>253</v>
      </c>
      <c r="D34" s="865" t="s">
        <v>254</v>
      </c>
      <c r="E34" s="834">
        <v>5.4063391000000002E-2</v>
      </c>
      <c r="F34" s="321" t="s">
        <v>35</v>
      </c>
      <c r="G34" s="371">
        <f>+E34*$D$6</f>
        <v>129.53588483600001</v>
      </c>
      <c r="H34" s="79"/>
      <c r="I34" s="75">
        <f>G34+H34</f>
        <v>129.53588483600001</v>
      </c>
      <c r="J34" s="369">
        <v>128.63888888888889</v>
      </c>
      <c r="K34" s="75">
        <f>I34-J34</f>
        <v>0.8969959471111224</v>
      </c>
      <c r="L34" s="80">
        <f>J34/I34</f>
        <v>0.99307530922225318</v>
      </c>
      <c r="M34" s="365" t="s">
        <v>30</v>
      </c>
      <c r="N34" s="888">
        <f t="shared" ref="N34:O34" si="59">G34+G35</f>
        <v>204.035237634</v>
      </c>
      <c r="O34" s="888">
        <f t="shared" si="59"/>
        <v>0</v>
      </c>
      <c r="P34" s="888">
        <f t="shared" ref="P34" si="60">N34+O34</f>
        <v>204.035237634</v>
      </c>
      <c r="Q34" s="888">
        <f t="shared" ref="Q34" si="61">J34+J35</f>
        <v>128.63888888888889</v>
      </c>
      <c r="R34" s="888">
        <f t="shared" ref="R34" si="62">P34-Q34</f>
        <v>75.396348745111112</v>
      </c>
      <c r="S34" s="889">
        <f t="shared" ref="S34" si="63">Q34/P34</f>
        <v>0.63047388471025934</v>
      </c>
      <c r="T34" s="906">
        <f t="shared" si="46"/>
        <v>0.63047388471025934</v>
      </c>
      <c r="V34" s="378">
        <v>128.63888888888889</v>
      </c>
      <c r="W34" s="588">
        <f t="shared" si="4"/>
        <v>0</v>
      </c>
    </row>
    <row r="35" spans="1:23" s="378" customFormat="1" ht="15" customHeight="1">
      <c r="A35" s="210"/>
      <c r="B35" s="875"/>
      <c r="C35" s="320"/>
      <c r="D35" s="865"/>
      <c r="E35" s="834"/>
      <c r="F35" s="77" t="s">
        <v>95</v>
      </c>
      <c r="G35" s="372">
        <f>+E34*$D$8</f>
        <v>74.499352798000004</v>
      </c>
      <c r="H35" s="79"/>
      <c r="I35" s="75">
        <f>G35+H35+K34</f>
        <v>75.396348745111126</v>
      </c>
      <c r="J35" s="265">
        <v>0</v>
      </c>
      <c r="K35" s="78">
        <f>I35-J35</f>
        <v>75.396348745111126</v>
      </c>
      <c r="L35" s="84">
        <f>J35/I35</f>
        <v>0</v>
      </c>
      <c r="M35" s="365" t="s">
        <v>30</v>
      </c>
      <c r="N35" s="888"/>
      <c r="O35" s="888"/>
      <c r="P35" s="888"/>
      <c r="Q35" s="888"/>
      <c r="R35" s="888"/>
      <c r="S35" s="889"/>
      <c r="T35" s="906"/>
      <c r="V35" s="378">
        <v>0</v>
      </c>
      <c r="W35" s="588">
        <f t="shared" si="4"/>
        <v>0</v>
      </c>
    </row>
    <row r="36" spans="1:23" s="378" customFormat="1" ht="15" customHeight="1">
      <c r="A36" s="46">
        <v>13</v>
      </c>
      <c r="B36" s="875"/>
      <c r="C36" s="322" t="s">
        <v>381</v>
      </c>
      <c r="D36" s="865" t="s">
        <v>261</v>
      </c>
      <c r="E36" s="834">
        <v>1.6682712000000001E-3</v>
      </c>
      <c r="F36" s="198" t="s">
        <v>35</v>
      </c>
      <c r="G36" s="371">
        <f>+E36*$D$6</f>
        <v>3.9971777952000003</v>
      </c>
      <c r="H36" s="79"/>
      <c r="I36" s="75">
        <f>G36+H36</f>
        <v>3.9971777952000003</v>
      </c>
      <c r="J36" s="369">
        <v>0</v>
      </c>
      <c r="K36" s="75">
        <f>I36-J36</f>
        <v>3.9971777952000003</v>
      </c>
      <c r="L36" s="80">
        <f>J36/I36</f>
        <v>0</v>
      </c>
      <c r="M36" s="365" t="s">
        <v>30</v>
      </c>
      <c r="N36" s="888">
        <f t="shared" ref="N36:O36" si="64">G36+G37</f>
        <v>6.2960555088000003</v>
      </c>
      <c r="O36" s="888">
        <f t="shared" si="64"/>
        <v>0</v>
      </c>
      <c r="P36" s="888">
        <f t="shared" ref="P36" si="65">N36+O36</f>
        <v>6.2960555088000003</v>
      </c>
      <c r="Q36" s="888">
        <f t="shared" ref="Q36" si="66">J36+J37</f>
        <v>0</v>
      </c>
      <c r="R36" s="888">
        <f t="shared" ref="R36" si="67">P36-Q36</f>
        <v>6.2960555088000003</v>
      </c>
      <c r="S36" s="889">
        <f t="shared" ref="S36" si="68">Q36/P36</f>
        <v>0</v>
      </c>
      <c r="T36" s="906">
        <f t="shared" si="46"/>
        <v>0</v>
      </c>
      <c r="V36" s="378">
        <v>0</v>
      </c>
      <c r="W36" s="588">
        <f t="shared" si="4"/>
        <v>0</v>
      </c>
    </row>
    <row r="37" spans="1:23" s="378" customFormat="1" ht="15" customHeight="1">
      <c r="A37" s="46"/>
      <c r="B37" s="875"/>
      <c r="C37" s="320"/>
      <c r="D37" s="865"/>
      <c r="E37" s="834"/>
      <c r="F37" s="198" t="s">
        <v>95</v>
      </c>
      <c r="G37" s="371">
        <f>+E36*$D$8</f>
        <v>2.2988777136</v>
      </c>
      <c r="H37" s="79"/>
      <c r="I37" s="75">
        <f>G37+H37+K36</f>
        <v>6.2960555088000003</v>
      </c>
      <c r="J37" s="265">
        <v>0</v>
      </c>
      <c r="K37" s="75">
        <f>I37-J37</f>
        <v>6.2960555088000003</v>
      </c>
      <c r="L37" s="80">
        <f>J37/I37</f>
        <v>0</v>
      </c>
      <c r="M37" s="365" t="s">
        <v>30</v>
      </c>
      <c r="N37" s="888"/>
      <c r="O37" s="888"/>
      <c r="P37" s="888"/>
      <c r="Q37" s="888"/>
      <c r="R37" s="888"/>
      <c r="S37" s="889"/>
      <c r="T37" s="906"/>
      <c r="V37" s="378">
        <v>0</v>
      </c>
      <c r="W37" s="588">
        <f t="shared" si="4"/>
        <v>0</v>
      </c>
    </row>
    <row r="38" spans="1:23" s="378" customFormat="1" ht="15" customHeight="1">
      <c r="A38" s="46">
        <v>14</v>
      </c>
      <c r="B38" s="875"/>
      <c r="C38" s="322" t="s">
        <v>413</v>
      </c>
      <c r="D38" s="865" t="s">
        <v>259</v>
      </c>
      <c r="E38" s="834">
        <v>2.539492E-3</v>
      </c>
      <c r="F38" s="198" t="s">
        <v>35</v>
      </c>
      <c r="G38" s="371">
        <f>+E38*$D$6</f>
        <v>6.084622832</v>
      </c>
      <c r="H38" s="79"/>
      <c r="I38" s="75">
        <f>G38+H38</f>
        <v>6.084622832</v>
      </c>
      <c r="J38" s="369">
        <v>4.9933333333333341</v>
      </c>
      <c r="K38" s="75">
        <f t="shared" ref="K38:K39" si="69">I38-J38</f>
        <v>1.0912894986666659</v>
      </c>
      <c r="L38" s="80">
        <f t="shared" ref="L38:L39" si="70">J38/I38</f>
        <v>0.82064796310341526</v>
      </c>
      <c r="M38" s="365" t="s">
        <v>30</v>
      </c>
      <c r="N38" s="888">
        <f t="shared" ref="N38:O38" si="71">G38+G39</f>
        <v>9.5840428079999995</v>
      </c>
      <c r="O38" s="888">
        <f t="shared" si="71"/>
        <v>0</v>
      </c>
      <c r="P38" s="888">
        <f>N38+O38</f>
        <v>9.5840428079999995</v>
      </c>
      <c r="Q38" s="888">
        <f t="shared" ref="Q38" si="72">J38+J39</f>
        <v>4.9933333333333341</v>
      </c>
      <c r="R38" s="888">
        <f t="shared" ref="R38" si="73">P38-Q38</f>
        <v>4.5907094746666655</v>
      </c>
      <c r="S38" s="889">
        <f t="shared" ref="S38" si="74">Q38/P38</f>
        <v>0.52100490715309566</v>
      </c>
      <c r="T38" s="906">
        <f>(100%-+(R38/N38))</f>
        <v>0.52100490715309566</v>
      </c>
      <c r="V38" s="378">
        <v>4.9933333333333341</v>
      </c>
      <c r="W38" s="588">
        <f t="shared" si="4"/>
        <v>0</v>
      </c>
    </row>
    <row r="39" spans="1:23" s="378" customFormat="1" ht="15" customHeight="1" thickBot="1">
      <c r="A39" s="210"/>
      <c r="B39" s="875"/>
      <c r="C39" s="320"/>
      <c r="D39" s="865"/>
      <c r="E39" s="834"/>
      <c r="F39" s="198" t="s">
        <v>95</v>
      </c>
      <c r="G39" s="371">
        <f>+E38*$D$8</f>
        <v>3.499419976</v>
      </c>
      <c r="H39" s="79"/>
      <c r="I39" s="75">
        <f>G39+H39+K38</f>
        <v>4.5907094746666655</v>
      </c>
      <c r="J39" s="265">
        <v>0</v>
      </c>
      <c r="K39" s="75">
        <f t="shared" si="69"/>
        <v>4.5907094746666655</v>
      </c>
      <c r="L39" s="80">
        <f t="shared" si="70"/>
        <v>0</v>
      </c>
      <c r="M39" s="365" t="s">
        <v>30</v>
      </c>
      <c r="N39" s="888"/>
      <c r="O39" s="888"/>
      <c r="P39" s="888"/>
      <c r="Q39" s="888"/>
      <c r="R39" s="888"/>
      <c r="S39" s="889"/>
      <c r="T39" s="906"/>
      <c r="V39" s="378">
        <v>0</v>
      </c>
      <c r="W39" s="588">
        <f t="shared" si="4"/>
        <v>0</v>
      </c>
    </row>
    <row r="40" spans="1:23" s="378" customFormat="1" ht="15" customHeight="1">
      <c r="A40" s="46">
        <v>15</v>
      </c>
      <c r="B40" s="875"/>
      <c r="C40" s="322" t="s">
        <v>379</v>
      </c>
      <c r="D40" s="865" t="s">
        <v>260</v>
      </c>
      <c r="E40" s="834">
        <v>5.951998E-3</v>
      </c>
      <c r="F40" s="198" t="s">
        <v>35</v>
      </c>
      <c r="G40" s="371">
        <f>+E40*$D$6</f>
        <v>14.260987208</v>
      </c>
      <c r="H40" s="79"/>
      <c r="I40" s="75">
        <f>G40+H40</f>
        <v>14.260987208</v>
      </c>
      <c r="J40" s="369">
        <v>13.145555555555555</v>
      </c>
      <c r="K40" s="75">
        <f t="shared" si="52"/>
        <v>1.1154316524444443</v>
      </c>
      <c r="L40" s="80">
        <f t="shared" si="53"/>
        <v>0.92178440130577222</v>
      </c>
      <c r="M40" s="365" t="s">
        <v>30</v>
      </c>
      <c r="N40" s="888">
        <f t="shared" ref="N40:O40" si="75">G40+G41</f>
        <v>22.462840452000002</v>
      </c>
      <c r="O40" s="888">
        <f t="shared" si="75"/>
        <v>0</v>
      </c>
      <c r="P40" s="888">
        <f t="shared" ref="P40" si="76">N40+O40</f>
        <v>22.462840452000002</v>
      </c>
      <c r="Q40" s="888">
        <f t="shared" ref="Q40" si="77">J40+J41</f>
        <v>13.145555555555555</v>
      </c>
      <c r="R40" s="888">
        <f t="shared" ref="R40" si="78">P40-Q40</f>
        <v>9.3172848964444466</v>
      </c>
      <c r="S40" s="889">
        <f t="shared" ref="S40" si="79">Q40/P40</f>
        <v>0.58521341428951512</v>
      </c>
      <c r="T40" s="906">
        <f t="shared" si="46"/>
        <v>0.58521341428951512</v>
      </c>
      <c r="U40" s="600"/>
      <c r="V40" s="378">
        <v>13.145555555555555</v>
      </c>
      <c r="W40" s="588">
        <f t="shared" si="4"/>
        <v>0</v>
      </c>
    </row>
    <row r="41" spans="1:23" s="378" customFormat="1" ht="15" customHeight="1">
      <c r="A41" s="46"/>
      <c r="B41" s="875"/>
      <c r="C41" s="320"/>
      <c r="D41" s="865"/>
      <c r="E41" s="834"/>
      <c r="F41" s="198" t="s">
        <v>95</v>
      </c>
      <c r="G41" s="371">
        <f>+E40*$D$8</f>
        <v>8.2018532440000005</v>
      </c>
      <c r="H41" s="79"/>
      <c r="I41" s="75">
        <f>G41+H41+K40</f>
        <v>9.3172848964444448</v>
      </c>
      <c r="J41" s="265">
        <v>0</v>
      </c>
      <c r="K41" s="75">
        <f t="shared" si="52"/>
        <v>9.3172848964444448</v>
      </c>
      <c r="L41" s="80">
        <f t="shared" si="53"/>
        <v>0</v>
      </c>
      <c r="M41" s="365" t="s">
        <v>30</v>
      </c>
      <c r="N41" s="888"/>
      <c r="O41" s="888"/>
      <c r="P41" s="888"/>
      <c r="Q41" s="888"/>
      <c r="R41" s="888"/>
      <c r="S41" s="889"/>
      <c r="T41" s="906"/>
      <c r="V41" s="378">
        <v>0</v>
      </c>
      <c r="W41" s="588">
        <f t="shared" si="4"/>
        <v>0</v>
      </c>
    </row>
    <row r="42" spans="1:23" s="378" customFormat="1" ht="15" customHeight="1">
      <c r="A42" s="46">
        <v>16</v>
      </c>
      <c r="B42" s="875"/>
      <c r="C42" s="322" t="s">
        <v>262</v>
      </c>
      <c r="D42" s="865"/>
      <c r="E42" s="834">
        <v>8.3270640000000003E-3</v>
      </c>
      <c r="F42" s="198" t="s">
        <v>35</v>
      </c>
      <c r="G42" s="371">
        <f>+E42*$D$6</f>
        <v>19.951645343999999</v>
      </c>
      <c r="H42" s="79"/>
      <c r="I42" s="75">
        <f>G42+H42</f>
        <v>19.951645343999999</v>
      </c>
      <c r="J42" s="369">
        <v>15.064444444444444</v>
      </c>
      <c r="K42" s="75">
        <f t="shared" si="52"/>
        <v>4.8872008995555554</v>
      </c>
      <c r="L42" s="80">
        <f t="shared" si="53"/>
        <v>0.75504772587463476</v>
      </c>
      <c r="M42" s="318" t="s">
        <v>30</v>
      </c>
      <c r="N42" s="888">
        <f t="shared" ref="N42:O42" si="80">G42+G43</f>
        <v>31.426339536</v>
      </c>
      <c r="O42" s="888">
        <f t="shared" si="80"/>
        <v>0</v>
      </c>
      <c r="P42" s="888">
        <f t="shared" ref="P42" si="81">N42+O42</f>
        <v>31.426339536</v>
      </c>
      <c r="Q42" s="888">
        <f t="shared" ref="Q42" si="82">J42+J43</f>
        <v>15.064444444444444</v>
      </c>
      <c r="R42" s="888">
        <f t="shared" ref="R42" si="83">P42-Q42</f>
        <v>16.361895091555557</v>
      </c>
      <c r="S42" s="889">
        <f t="shared" ref="S42:S44" si="84">Q42/P42</f>
        <v>0.47935727376672621</v>
      </c>
      <c r="T42" s="906">
        <f t="shared" si="46"/>
        <v>0.47935727376672621</v>
      </c>
      <c r="W42" s="588">
        <f t="shared" si="4"/>
        <v>-15.064444444444444</v>
      </c>
    </row>
    <row r="43" spans="1:23" s="378" customFormat="1" ht="15" customHeight="1">
      <c r="A43" s="210"/>
      <c r="B43" s="875"/>
      <c r="C43" s="320"/>
      <c r="D43" s="890"/>
      <c r="E43" s="891"/>
      <c r="F43" s="199" t="s">
        <v>95</v>
      </c>
      <c r="G43" s="372">
        <f>+E42*$D$8</f>
        <v>11.474694192000001</v>
      </c>
      <c r="H43" s="79"/>
      <c r="I43" s="75">
        <f>G43+H43+K42</f>
        <v>16.361895091555557</v>
      </c>
      <c r="J43" s="265"/>
      <c r="K43" s="78">
        <f t="shared" si="52"/>
        <v>16.361895091555557</v>
      </c>
      <c r="L43" s="84">
        <f>J43/I43</f>
        <v>0</v>
      </c>
      <c r="M43" s="364" t="s">
        <v>30</v>
      </c>
      <c r="N43" s="888"/>
      <c r="O43" s="888"/>
      <c r="P43" s="888"/>
      <c r="Q43" s="888"/>
      <c r="R43" s="888"/>
      <c r="S43" s="889"/>
      <c r="T43" s="906"/>
      <c r="W43" s="588">
        <f t="shared" si="4"/>
        <v>0</v>
      </c>
    </row>
    <row r="44" spans="1:23" s="378" customFormat="1" ht="15" customHeight="1">
      <c r="A44" s="46"/>
      <c r="B44" s="385" t="s">
        <v>263</v>
      </c>
      <c r="C44" s="386"/>
      <c r="D44" s="318"/>
      <c r="E44" s="882">
        <f>SUM(E12:E43)</f>
        <v>0.24698050980000003</v>
      </c>
      <c r="F44" s="318" t="s">
        <v>35</v>
      </c>
      <c r="G44" s="381">
        <f t="shared" ref="G44:K45" si="85">G12+G16+G18+G20+G22+G24+G26+G28+G30+G32+G34+G36+G14+G38+G42+G40</f>
        <v>576.78533609359999</v>
      </c>
      <c r="H44" s="543">
        <f>H12+H16+H18+H20+H22+H24+H26+H28+H30+H32+H34+H36+H14+H38+H42+H40</f>
        <v>-277.50599999999997</v>
      </c>
      <c r="I44" s="202">
        <f t="shared" si="85"/>
        <v>299.27933609360002</v>
      </c>
      <c r="J44" s="202">
        <f>J12+J16+J18+J20+J22+J24+J26+J28+J30+J32+J34+J36+J14+J38+J42+J40</f>
        <v>381.16777777777781</v>
      </c>
      <c r="K44" s="202">
        <f t="shared" si="85"/>
        <v>-81.888441684177749</v>
      </c>
      <c r="L44" s="207">
        <f>J44/I44</f>
        <v>1.2736187628355573</v>
      </c>
      <c r="M44" s="862" t="s">
        <v>30</v>
      </c>
      <c r="N44" s="883">
        <f>SUM(N12:N43)</f>
        <v>886.61803272840007</v>
      </c>
      <c r="O44" s="883">
        <f>SUM(O24:O43)</f>
        <v>-66.293000000000006</v>
      </c>
      <c r="P44" s="883">
        <f>+N44+O44</f>
        <v>820.32503272840006</v>
      </c>
      <c r="Q44" s="883">
        <f>SUM(Q24:Q43)</f>
        <v>309.51666666666665</v>
      </c>
      <c r="R44" s="883">
        <f>+P44-Q44</f>
        <v>510.80836606173341</v>
      </c>
      <c r="S44" s="887">
        <f t="shared" si="84"/>
        <v>0.37730979101931655</v>
      </c>
      <c r="T44" s="817">
        <f t="shared" si="46"/>
        <v>0.42386873805192427</v>
      </c>
    </row>
    <row r="45" spans="1:23" s="378" customFormat="1" ht="15" customHeight="1">
      <c r="A45" s="46"/>
      <c r="B45" s="387"/>
      <c r="C45" s="388"/>
      <c r="D45" s="318"/>
      <c r="E45" s="882"/>
      <c r="F45" s="318" t="s">
        <v>95</v>
      </c>
      <c r="G45" s="381">
        <f t="shared" si="85"/>
        <v>309.83269663480007</v>
      </c>
      <c r="H45" s="543">
        <f>H13+H17+H19+H21+H23+H25+H27+H29+H31+H33+H35+H37+H15+H39+H43+H41</f>
        <v>0</v>
      </c>
      <c r="I45" s="202">
        <f>I13+I17+I19+I21+I23+I25+I27+I29+I31+I33+I35+I37+I15+I39+I43+I41</f>
        <v>227.94425495062228</v>
      </c>
      <c r="J45" s="202">
        <f>J13+J17+J19+J21+J23+J25+J27+J29+J31+J33+J35+J37+J15+J39+J43+J41</f>
        <v>0</v>
      </c>
      <c r="K45" s="202">
        <f>K13+K17+K19+K21+K23+K25+K27+K29+K31+K33+K35+K37+K15+K39+K43+K41</f>
        <v>227.94425495062228</v>
      </c>
      <c r="L45" s="207">
        <f>J45/I45</f>
        <v>0</v>
      </c>
      <c r="M45" s="862"/>
      <c r="N45" s="883"/>
      <c r="O45" s="883"/>
      <c r="P45" s="883"/>
      <c r="Q45" s="883"/>
      <c r="R45" s="883"/>
      <c r="S45" s="887"/>
      <c r="T45" s="817"/>
    </row>
    <row r="46" spans="1:23" s="2" customFormat="1" ht="15" customHeight="1">
      <c r="A46" s="85"/>
      <c r="B46" s="85"/>
      <c r="C46" s="195"/>
      <c r="D46" s="85"/>
      <c r="E46" s="85"/>
      <c r="F46" s="85"/>
      <c r="G46" s="85"/>
      <c r="H46" s="85"/>
      <c r="I46" s="85"/>
      <c r="J46" s="85"/>
      <c r="K46" s="85"/>
      <c r="M46" s="85"/>
      <c r="N46" s="85"/>
      <c r="O46" s="85"/>
      <c r="P46" s="85"/>
      <c r="Q46" s="85"/>
      <c r="R46" s="85"/>
      <c r="S46" s="85"/>
      <c r="T46" s="85"/>
    </row>
    <row r="47" spans="1:23" s="2" customFormat="1" ht="15" customHeight="1">
      <c r="A47" s="85"/>
      <c r="B47" s="85"/>
      <c r="C47" s="195"/>
      <c r="D47" s="85"/>
      <c r="E47" s="85"/>
      <c r="F47" s="490"/>
      <c r="G47" s="85"/>
      <c r="H47" s="85"/>
      <c r="I47" s="85"/>
      <c r="J47" s="85"/>
      <c r="K47" s="85"/>
      <c r="L47" s="490"/>
      <c r="M47" s="85"/>
      <c r="N47" s="85"/>
      <c r="O47" s="85"/>
      <c r="P47" s="85"/>
      <c r="Q47" s="85"/>
      <c r="R47" s="85"/>
      <c r="S47" s="85"/>
      <c r="T47" s="85"/>
    </row>
    <row r="48" spans="1:23" s="379" customFormat="1" ht="27" customHeight="1">
      <c r="A48" s="62"/>
      <c r="B48" s="318" t="s">
        <v>239</v>
      </c>
      <c r="C48" s="257" t="s">
        <v>240</v>
      </c>
      <c r="D48" s="257" t="s">
        <v>241</v>
      </c>
      <c r="E48" s="390" t="s">
        <v>242</v>
      </c>
      <c r="F48" s="364" t="s">
        <v>243</v>
      </c>
      <c r="G48" s="364" t="s">
        <v>235</v>
      </c>
      <c r="H48" s="391" t="s">
        <v>4</v>
      </c>
      <c r="I48" s="364" t="s">
        <v>5</v>
      </c>
      <c r="J48" s="364" t="s">
        <v>236</v>
      </c>
      <c r="K48" s="364" t="s">
        <v>45</v>
      </c>
      <c r="L48" s="385" t="s">
        <v>74</v>
      </c>
      <c r="M48" s="364" t="s">
        <v>75</v>
      </c>
      <c r="N48" s="392" t="s">
        <v>244</v>
      </c>
      <c r="O48" s="392" t="s">
        <v>4</v>
      </c>
      <c r="P48" s="392" t="s">
        <v>5</v>
      </c>
      <c r="Q48" s="392" t="s">
        <v>6</v>
      </c>
      <c r="R48" s="392" t="s">
        <v>7</v>
      </c>
      <c r="S48" s="211" t="s">
        <v>428</v>
      </c>
      <c r="T48" s="392" t="s">
        <v>426</v>
      </c>
    </row>
    <row r="49" spans="1:24" s="378" customFormat="1" ht="15" customHeight="1">
      <c r="A49" s="46">
        <v>1</v>
      </c>
      <c r="B49" s="902" t="s">
        <v>264</v>
      </c>
      <c r="C49" s="820" t="s">
        <v>414</v>
      </c>
      <c r="D49" s="877">
        <v>4312</v>
      </c>
      <c r="E49" s="877">
        <v>2.0576755999999999E-3</v>
      </c>
      <c r="F49" s="321" t="s">
        <v>35</v>
      </c>
      <c r="G49" s="371">
        <f>+E49*$D$6</f>
        <v>4.9301907375999994</v>
      </c>
      <c r="H49" s="79"/>
      <c r="I49" s="75">
        <f>G49+H49</f>
        <v>4.9301907375999994</v>
      </c>
      <c r="J49" s="369">
        <v>4.5266666666666664</v>
      </c>
      <c r="K49" s="75">
        <f>I49-J49</f>
        <v>0.40352407093333298</v>
      </c>
      <c r="L49" s="80">
        <f t="shared" ref="L49:L78" si="86">J49/I49</f>
        <v>0.91815244228669191</v>
      </c>
      <c r="M49" s="318" t="s">
        <v>30</v>
      </c>
      <c r="N49" s="843">
        <f>G49+G50</f>
        <v>7.7656677143999993</v>
      </c>
      <c r="O49" s="838">
        <f>H49+H50</f>
        <v>0</v>
      </c>
      <c r="P49" s="838">
        <f>N49+O49</f>
        <v>7.7656677143999993</v>
      </c>
      <c r="Q49" s="838">
        <f>J49+J50</f>
        <v>4.5266666666666664</v>
      </c>
      <c r="R49" s="838">
        <f>P49-Q49</f>
        <v>3.2390010477333329</v>
      </c>
      <c r="S49" s="817">
        <f>Q49/P49</f>
        <v>0.58290759187040642</v>
      </c>
      <c r="T49" s="817">
        <f t="shared" ref="T49:T57" si="87">(100%-+(R49/N49))</f>
        <v>0.58290759187040642</v>
      </c>
      <c r="V49" s="378">
        <v>4.5266666666666664</v>
      </c>
      <c r="W49" s="588">
        <f t="shared" ref="W49:W83" si="88">+V49-J49</f>
        <v>0</v>
      </c>
    </row>
    <row r="50" spans="1:24" s="378" customFormat="1" ht="15" customHeight="1">
      <c r="A50" s="46"/>
      <c r="B50" s="902"/>
      <c r="C50" s="821"/>
      <c r="D50" s="878"/>
      <c r="E50" s="878"/>
      <c r="F50" s="321" t="s">
        <v>95</v>
      </c>
      <c r="G50" s="371">
        <f>+E49*$D$8</f>
        <v>2.8354769767999999</v>
      </c>
      <c r="H50" s="79"/>
      <c r="I50" s="75">
        <f>G50+H50+K49</f>
        <v>3.2390010477333329</v>
      </c>
      <c r="J50" s="265"/>
      <c r="K50" s="75">
        <f t="shared" ref="K50:K78" si="89">I50-J50</f>
        <v>3.2390010477333329</v>
      </c>
      <c r="L50" s="80">
        <f t="shared" si="86"/>
        <v>0</v>
      </c>
      <c r="M50" s="318" t="s">
        <v>30</v>
      </c>
      <c r="N50" s="843"/>
      <c r="O50" s="838"/>
      <c r="P50" s="838"/>
      <c r="Q50" s="838"/>
      <c r="R50" s="838"/>
      <c r="S50" s="817"/>
      <c r="T50" s="817"/>
      <c r="V50" s="378">
        <v>0</v>
      </c>
      <c r="W50" s="588">
        <f t="shared" si="88"/>
        <v>0</v>
      </c>
    </row>
    <row r="51" spans="1:24" s="378" customFormat="1" ht="15" customHeight="1">
      <c r="A51" s="46">
        <v>2</v>
      </c>
      <c r="B51" s="902"/>
      <c r="C51" s="322" t="s">
        <v>394</v>
      </c>
      <c r="D51" s="877" t="s">
        <v>279</v>
      </c>
      <c r="E51" s="877">
        <v>2.02514905E-2</v>
      </c>
      <c r="F51" s="321" t="s">
        <v>35</v>
      </c>
      <c r="G51" s="370">
        <f>+E51*$D$6</f>
        <v>48.522571237999998</v>
      </c>
      <c r="H51" s="79">
        <v>-49.030999999999999</v>
      </c>
      <c r="I51" s="75">
        <f>G51+H51</f>
        <v>-0.5084287620000012</v>
      </c>
      <c r="J51" s="369">
        <v>14.746</v>
      </c>
      <c r="K51" s="75">
        <f t="shared" ref="K51:K62" si="90">I51-J51</f>
        <v>-15.254428762000002</v>
      </c>
      <c r="L51" s="507">
        <f>J51/I51</f>
        <v>-29.003079884768528</v>
      </c>
      <c r="M51" s="362">
        <v>43524</v>
      </c>
      <c r="N51" s="843">
        <f t="shared" ref="N51:O51" si="91">G51+G52</f>
        <v>76.429125146999993</v>
      </c>
      <c r="O51" s="838">
        <f t="shared" si="91"/>
        <v>-49.030999999999999</v>
      </c>
      <c r="P51" s="838">
        <f t="shared" ref="P51" si="92">N51+O51</f>
        <v>27.398125146999995</v>
      </c>
      <c r="Q51" s="838">
        <f t="shared" ref="Q51" si="93">J51+J52</f>
        <v>14.746</v>
      </c>
      <c r="R51" s="838">
        <f t="shared" ref="R51" si="94">P51-Q51</f>
        <v>12.652125146999994</v>
      </c>
      <c r="S51" s="817">
        <f t="shared" ref="S51" si="95">Q51/P51</f>
        <v>0.53821200979566441</v>
      </c>
      <c r="T51" s="817">
        <f t="shared" si="87"/>
        <v>0.83445937497432388</v>
      </c>
      <c r="V51" s="378">
        <v>14.613333333333332</v>
      </c>
      <c r="W51" s="588">
        <f t="shared" si="88"/>
        <v>-0.13266666666666893</v>
      </c>
    </row>
    <row r="52" spans="1:24" s="378" customFormat="1" ht="15" customHeight="1">
      <c r="A52" s="46"/>
      <c r="B52" s="902"/>
      <c r="C52" s="320"/>
      <c r="D52" s="884"/>
      <c r="E52" s="884">
        <v>2.02514905E-2</v>
      </c>
      <c r="F52" s="321" t="s">
        <v>95</v>
      </c>
      <c r="G52" s="371">
        <f>+E51*$D$8</f>
        <v>27.906553908999999</v>
      </c>
      <c r="H52" s="79"/>
      <c r="I52" s="75">
        <f>G52+H52+K51</f>
        <v>12.652125146999998</v>
      </c>
      <c r="J52" s="265"/>
      <c r="K52" s="75">
        <f t="shared" si="90"/>
        <v>12.652125146999998</v>
      </c>
      <c r="L52" s="80">
        <f t="shared" ref="L52:L62" si="96">J52/I52</f>
        <v>0</v>
      </c>
      <c r="M52" s="318" t="s">
        <v>30</v>
      </c>
      <c r="N52" s="843"/>
      <c r="O52" s="838"/>
      <c r="P52" s="838"/>
      <c r="Q52" s="838"/>
      <c r="R52" s="838"/>
      <c r="S52" s="817"/>
      <c r="T52" s="817"/>
      <c r="V52" s="378">
        <v>0</v>
      </c>
      <c r="W52" s="588">
        <f t="shared" si="88"/>
        <v>0</v>
      </c>
    </row>
    <row r="53" spans="1:24" s="378" customFormat="1" ht="15" customHeight="1">
      <c r="A53" s="46">
        <v>3</v>
      </c>
      <c r="B53" s="902"/>
      <c r="C53" s="820" t="s">
        <v>418</v>
      </c>
      <c r="D53" s="877" t="s">
        <v>282</v>
      </c>
      <c r="E53" s="877">
        <v>1.1437660000000001E-3</v>
      </c>
      <c r="F53" s="514" t="s">
        <v>35</v>
      </c>
      <c r="G53" s="371">
        <f>+E53*$D$6</f>
        <v>2.7404633359999999</v>
      </c>
      <c r="H53" s="79">
        <v>-4.3159999999999998</v>
      </c>
      <c r="I53" s="75">
        <f>G53+H53</f>
        <v>-1.5755366639999999</v>
      </c>
      <c r="J53" s="369"/>
      <c r="K53" s="75">
        <f>I53-J53</f>
        <v>-1.5755366639999999</v>
      </c>
      <c r="L53" s="80">
        <f>J53/I53</f>
        <v>0</v>
      </c>
      <c r="M53" s="362">
        <v>43508</v>
      </c>
      <c r="N53" s="847">
        <f>G53+G54</f>
        <v>4.3165728840000002</v>
      </c>
      <c r="O53" s="847">
        <f>H53+H54</f>
        <v>-4.3159999999999998</v>
      </c>
      <c r="P53" s="847">
        <f t="shared" ref="P53" si="97">N53+O53</f>
        <v>5.728840000003288E-4</v>
      </c>
      <c r="Q53" s="847">
        <f t="shared" ref="Q53" si="98">J53+J54</f>
        <v>0</v>
      </c>
      <c r="R53" s="847">
        <f>P53-Q53</f>
        <v>5.728840000003288E-4</v>
      </c>
      <c r="S53" s="780">
        <f t="shared" ref="S53" si="99">Q53/P53</f>
        <v>0</v>
      </c>
      <c r="T53" s="780">
        <f>(100%-+(R53/N53))</f>
        <v>0.99986728267646685</v>
      </c>
      <c r="V53" s="378">
        <v>0</v>
      </c>
      <c r="W53" s="588">
        <f t="shared" si="88"/>
        <v>0</v>
      </c>
    </row>
    <row r="54" spans="1:24" s="378" customFormat="1" ht="15" customHeight="1">
      <c r="A54" s="46"/>
      <c r="B54" s="902"/>
      <c r="C54" s="821"/>
      <c r="D54" s="878"/>
      <c r="E54" s="878">
        <v>1.1437660000000001E-3</v>
      </c>
      <c r="F54" s="514" t="s">
        <v>95</v>
      </c>
      <c r="G54" s="371">
        <f>+E53*$D$8</f>
        <v>1.576109548</v>
      </c>
      <c r="H54" s="79"/>
      <c r="I54" s="75">
        <f>G54+H54+K53</f>
        <v>5.7288400000010675E-4</v>
      </c>
      <c r="J54" s="265"/>
      <c r="K54" s="75">
        <f>I54-J54</f>
        <v>5.7288400000010675E-4</v>
      </c>
      <c r="L54" s="80">
        <f>J54/I54</f>
        <v>0</v>
      </c>
      <c r="M54" s="362">
        <v>43508</v>
      </c>
      <c r="N54" s="847"/>
      <c r="O54" s="847"/>
      <c r="P54" s="847"/>
      <c r="Q54" s="847"/>
      <c r="R54" s="847"/>
      <c r="S54" s="780"/>
      <c r="T54" s="780"/>
      <c r="V54" s="378">
        <v>0</v>
      </c>
      <c r="W54" s="588">
        <f t="shared" si="88"/>
        <v>0</v>
      </c>
    </row>
    <row r="55" spans="1:24" s="378" customFormat="1" ht="15" customHeight="1">
      <c r="A55" s="46">
        <v>4</v>
      </c>
      <c r="B55" s="902"/>
      <c r="C55" s="513" t="s">
        <v>372</v>
      </c>
      <c r="D55" s="877" t="s">
        <v>269</v>
      </c>
      <c r="E55" s="877">
        <v>1.9725258700000001E-2</v>
      </c>
      <c r="F55" s="514" t="s">
        <v>270</v>
      </c>
      <c r="G55" s="370">
        <f>+E55*$D$6</f>
        <v>47.261719845200005</v>
      </c>
      <c r="H55" s="79">
        <f>-68.281</f>
        <v>-68.281000000000006</v>
      </c>
      <c r="I55" s="75">
        <f>G55+H55</f>
        <v>-21.019280154800001</v>
      </c>
      <c r="J55" s="369"/>
      <c r="K55" s="75">
        <f>I55-J55</f>
        <v>-21.019280154800001</v>
      </c>
      <c r="L55" s="507">
        <f>J55/I55</f>
        <v>0</v>
      </c>
      <c r="M55" s="362">
        <v>43524</v>
      </c>
      <c r="N55" s="843">
        <f t="shared" ref="N55:O55" si="100">G55+G56</f>
        <v>74.443126333800009</v>
      </c>
      <c r="O55" s="838">
        <f t="shared" si="100"/>
        <v>-68.281000000000006</v>
      </c>
      <c r="P55" s="838">
        <f t="shared" ref="P55" si="101">N55+O55</f>
        <v>6.1621263338000034</v>
      </c>
      <c r="Q55" s="838">
        <f t="shared" ref="Q55" si="102">J55+J56</f>
        <v>0</v>
      </c>
      <c r="R55" s="838">
        <f t="shared" ref="R55" si="103">P55-Q55</f>
        <v>6.1621263338000034</v>
      </c>
      <c r="S55" s="817">
        <f t="shared" ref="S55" si="104">Q55/P55</f>
        <v>0</v>
      </c>
      <c r="T55" s="817">
        <f>(100%-+(R55/N55))</f>
        <v>0.91722370301632317</v>
      </c>
      <c r="V55" s="378">
        <v>0</v>
      </c>
      <c r="W55" s="588">
        <f t="shared" si="88"/>
        <v>0</v>
      </c>
    </row>
    <row r="56" spans="1:24" s="378" customFormat="1" ht="15" customHeight="1">
      <c r="A56" s="46"/>
      <c r="B56" s="902"/>
      <c r="C56" s="509"/>
      <c r="D56" s="884"/>
      <c r="E56" s="884">
        <v>1.9725258700000001E-2</v>
      </c>
      <c r="F56" s="514" t="s">
        <v>271</v>
      </c>
      <c r="G56" s="371">
        <f>+E55*$D$8</f>
        <v>27.1814064886</v>
      </c>
      <c r="H56" s="79"/>
      <c r="I56" s="75">
        <f>G56+H56+K55</f>
        <v>6.1621263337999999</v>
      </c>
      <c r="J56" s="265"/>
      <c r="K56" s="75">
        <f>I56-J56</f>
        <v>6.1621263337999999</v>
      </c>
      <c r="L56" s="80">
        <f>J56/I56</f>
        <v>0</v>
      </c>
      <c r="M56" s="318" t="s">
        <v>30</v>
      </c>
      <c r="N56" s="843"/>
      <c r="O56" s="838"/>
      <c r="P56" s="838"/>
      <c r="Q56" s="838"/>
      <c r="R56" s="838"/>
      <c r="S56" s="817"/>
      <c r="T56" s="817"/>
      <c r="V56" s="378">
        <v>0</v>
      </c>
      <c r="W56" s="588">
        <f t="shared" si="88"/>
        <v>0</v>
      </c>
    </row>
    <row r="57" spans="1:24" s="378" customFormat="1" ht="15" customHeight="1">
      <c r="A57" s="46">
        <v>5</v>
      </c>
      <c r="B57" s="902"/>
      <c r="C57" s="820" t="s">
        <v>374</v>
      </c>
      <c r="D57" s="877" t="s">
        <v>278</v>
      </c>
      <c r="E57" s="877">
        <v>2.93809311E-2</v>
      </c>
      <c r="F57" s="514" t="s">
        <v>35</v>
      </c>
      <c r="G57" s="371">
        <f>+E57*$D$6</f>
        <v>70.396710915599996</v>
      </c>
      <c r="H57" s="79">
        <v>-97.352000000000004</v>
      </c>
      <c r="I57" s="75">
        <f>G57+H57</f>
        <v>-26.955289084400007</v>
      </c>
      <c r="J57" s="369">
        <v>9.4266666666666659</v>
      </c>
      <c r="K57" s="75">
        <f t="shared" si="90"/>
        <v>-36.38195575106667</v>
      </c>
      <c r="L57" s="507">
        <f t="shared" si="96"/>
        <v>-0.34971491632498264</v>
      </c>
      <c r="M57" s="532"/>
      <c r="N57" s="843">
        <f t="shared" ref="N57:O57" si="105">G57+G58</f>
        <v>110.8836339714</v>
      </c>
      <c r="O57" s="838">
        <f t="shared" si="105"/>
        <v>-97.352000000000004</v>
      </c>
      <c r="P57" s="838">
        <f t="shared" ref="P57" si="106">N57+O57</f>
        <v>13.531633971399998</v>
      </c>
      <c r="Q57" s="838">
        <f t="shared" ref="Q57" si="107">J57+J58</f>
        <v>9.4266666666666659</v>
      </c>
      <c r="R57" s="838">
        <f t="shared" ref="R57" si="108">P57-Q57</f>
        <v>4.1049673047333322</v>
      </c>
      <c r="S57" s="817">
        <f t="shared" ref="S57" si="109">Q57/P57</f>
        <v>0.69663920015798153</v>
      </c>
      <c r="T57" s="817">
        <f t="shared" si="87"/>
        <v>0.9629795024052682</v>
      </c>
      <c r="V57" s="378">
        <v>9.4266666666666659</v>
      </c>
      <c r="W57" s="588">
        <f t="shared" si="88"/>
        <v>0</v>
      </c>
    </row>
    <row r="58" spans="1:24" s="378" customFormat="1" ht="15" customHeight="1">
      <c r="A58" s="46"/>
      <c r="B58" s="902"/>
      <c r="C58" s="821"/>
      <c r="D58" s="878"/>
      <c r="E58" s="878">
        <v>2.93809311E-2</v>
      </c>
      <c r="F58" s="514" t="s">
        <v>95</v>
      </c>
      <c r="G58" s="371">
        <f>+E57*$D$8</f>
        <v>40.486923055799998</v>
      </c>
      <c r="H58" s="79"/>
      <c r="I58" s="75">
        <f>G58+H58+K57</f>
        <v>4.1049673047333286</v>
      </c>
      <c r="J58" s="265"/>
      <c r="K58" s="75">
        <f t="shared" si="90"/>
        <v>4.1049673047333286</v>
      </c>
      <c r="L58" s="80">
        <f t="shared" si="96"/>
        <v>0</v>
      </c>
      <c r="M58" s="512" t="s">
        <v>30</v>
      </c>
      <c r="N58" s="843"/>
      <c r="O58" s="838"/>
      <c r="P58" s="838"/>
      <c r="Q58" s="838"/>
      <c r="R58" s="838"/>
      <c r="S58" s="817"/>
      <c r="T58" s="817"/>
      <c r="V58" s="378">
        <v>0</v>
      </c>
      <c r="W58" s="588">
        <f t="shared" si="88"/>
        <v>0</v>
      </c>
    </row>
    <row r="59" spans="1:24" s="378" customFormat="1" ht="15" customHeight="1">
      <c r="A59" s="46">
        <v>6</v>
      </c>
      <c r="B59" s="902"/>
      <c r="C59" s="513" t="s">
        <v>274</v>
      </c>
      <c r="D59" s="877" t="s">
        <v>275</v>
      </c>
      <c r="E59" s="877">
        <v>1.8474085000000001E-2</v>
      </c>
      <c r="F59" s="514" t="s">
        <v>35</v>
      </c>
      <c r="G59" s="370">
        <f>+E59*$D$6</f>
        <v>44.263907660000001</v>
      </c>
      <c r="H59" s="79">
        <v>-67.206999999999994</v>
      </c>
      <c r="I59" s="75">
        <f>G59+H59</f>
        <v>-22.943092339999993</v>
      </c>
      <c r="J59" s="369">
        <v>2.4444444444444442</v>
      </c>
      <c r="K59" s="75">
        <f t="shared" si="90"/>
        <v>-25.387536784444436</v>
      </c>
      <c r="L59" s="507">
        <f t="shared" si="96"/>
        <v>-0.1065438088388239</v>
      </c>
      <c r="M59" s="362">
        <v>43524</v>
      </c>
      <c r="N59" s="843">
        <f t="shared" ref="N59:O59" si="110">G59+G60</f>
        <v>69.721196790000008</v>
      </c>
      <c r="O59" s="838">
        <f t="shared" si="110"/>
        <v>-67.206999999999994</v>
      </c>
      <c r="P59" s="838">
        <f t="shared" ref="P59" si="111">N59+O59</f>
        <v>2.5141967900000139</v>
      </c>
      <c r="Q59" s="838">
        <f t="shared" ref="Q59" si="112">J59+J60</f>
        <v>2.4444444444444442</v>
      </c>
      <c r="R59" s="838">
        <f t="shared" ref="R59" si="113">P59-Q59</f>
        <v>6.975234555556975E-2</v>
      </c>
      <c r="S59" s="817">
        <f t="shared" ref="S59" si="114">Q59/P59</f>
        <v>0.97225660861830576</v>
      </c>
      <c r="T59" s="816">
        <f>(100%-+(R59/N59))</f>
        <v>0.99899955323822587</v>
      </c>
      <c r="V59" s="378">
        <v>2.4444444444444442</v>
      </c>
      <c r="W59" s="588">
        <f t="shared" si="88"/>
        <v>0</v>
      </c>
    </row>
    <row r="60" spans="1:24" s="378" customFormat="1" ht="15" customHeight="1">
      <c r="A60" s="46"/>
      <c r="B60" s="902"/>
      <c r="C60" s="509"/>
      <c r="D60" s="884"/>
      <c r="E60" s="884">
        <v>1.6815305400000001E-2</v>
      </c>
      <c r="F60" s="514" t="s">
        <v>95</v>
      </c>
      <c r="G60" s="371">
        <f>+E59*$D$8</f>
        <v>25.457289130000003</v>
      </c>
      <c r="H60" s="79"/>
      <c r="I60" s="75">
        <f>G60+H60+K59</f>
        <v>6.975234555556753E-2</v>
      </c>
      <c r="J60" s="265"/>
      <c r="K60" s="75">
        <f t="shared" si="90"/>
        <v>6.975234555556753E-2</v>
      </c>
      <c r="L60" s="80">
        <f t="shared" si="96"/>
        <v>0</v>
      </c>
      <c r="M60" s="318" t="s">
        <v>30</v>
      </c>
      <c r="N60" s="843"/>
      <c r="O60" s="838"/>
      <c r="P60" s="838"/>
      <c r="Q60" s="838"/>
      <c r="R60" s="838"/>
      <c r="S60" s="817"/>
      <c r="T60" s="816"/>
      <c r="V60" s="378">
        <v>0</v>
      </c>
      <c r="W60" s="588">
        <f t="shared" si="88"/>
        <v>0</v>
      </c>
    </row>
    <row r="61" spans="1:24" s="378" customFormat="1" ht="15" customHeight="1">
      <c r="A61" s="46">
        <v>7</v>
      </c>
      <c r="B61" s="902"/>
      <c r="C61" s="820" t="s">
        <v>415</v>
      </c>
      <c r="D61" s="877" t="s">
        <v>277</v>
      </c>
      <c r="E61" s="877">
        <v>2.3606734099999999E-2</v>
      </c>
      <c r="F61" s="514" t="s">
        <v>35</v>
      </c>
      <c r="G61" s="371">
        <f>+E61*$D$6</f>
        <v>56.561734903599998</v>
      </c>
      <c r="H61" s="79"/>
      <c r="I61" s="75">
        <f>G61+H61</f>
        <v>56.561734903599998</v>
      </c>
      <c r="J61" s="369">
        <v>43.158000000000001</v>
      </c>
      <c r="K61" s="75">
        <f t="shared" si="90"/>
        <v>13.403734903599997</v>
      </c>
      <c r="L61" s="80">
        <f t="shared" si="96"/>
        <v>0.76302468574479876</v>
      </c>
      <c r="M61" s="318" t="s">
        <v>30</v>
      </c>
      <c r="N61" s="843">
        <f t="shared" ref="N61:O61" si="115">G61+G62</f>
        <v>89.091814493399994</v>
      </c>
      <c r="O61" s="838">
        <f t="shared" si="115"/>
        <v>0</v>
      </c>
      <c r="P61" s="838">
        <f t="shared" ref="P61" si="116">N61+O61</f>
        <v>89.091814493399994</v>
      </c>
      <c r="Q61" s="838">
        <f t="shared" ref="Q61" si="117">J61+J62</f>
        <v>43.158000000000001</v>
      </c>
      <c r="R61" s="838">
        <f t="shared" ref="R61" si="118">P61-Q61</f>
        <v>45.933814493399993</v>
      </c>
      <c r="S61" s="817">
        <f t="shared" ref="S61" si="119">Q61/P61</f>
        <v>0.48442160758996761</v>
      </c>
      <c r="T61" s="816">
        <f t="shared" ref="T61" si="120">(100%-+(R61/N61))</f>
        <v>0.48442160758996766</v>
      </c>
      <c r="V61" s="378">
        <v>41.539999999999978</v>
      </c>
      <c r="W61" s="588">
        <f t="shared" si="88"/>
        <v>-1.6180000000000234</v>
      </c>
    </row>
    <row r="62" spans="1:24" s="378" customFormat="1" ht="15" customHeight="1">
      <c r="A62" s="46"/>
      <c r="B62" s="902"/>
      <c r="C62" s="821"/>
      <c r="D62" s="878"/>
      <c r="E62" s="878">
        <v>2.3606734099999999E-2</v>
      </c>
      <c r="F62" s="514" t="s">
        <v>95</v>
      </c>
      <c r="G62" s="371">
        <f>+E61*$D$8</f>
        <v>32.530079589799996</v>
      </c>
      <c r="H62" s="79"/>
      <c r="I62" s="75">
        <f>G62+H62+K61</f>
        <v>45.933814493399993</v>
      </c>
      <c r="J62" s="265"/>
      <c r="K62" s="75">
        <f t="shared" si="90"/>
        <v>45.933814493399993</v>
      </c>
      <c r="L62" s="80">
        <f t="shared" si="96"/>
        <v>0</v>
      </c>
      <c r="M62" s="318" t="s">
        <v>30</v>
      </c>
      <c r="N62" s="843"/>
      <c r="O62" s="838"/>
      <c r="P62" s="838"/>
      <c r="Q62" s="838"/>
      <c r="R62" s="838"/>
      <c r="S62" s="817"/>
      <c r="T62" s="816"/>
      <c r="V62" s="378">
        <v>0</v>
      </c>
      <c r="W62" s="588">
        <f t="shared" si="88"/>
        <v>0</v>
      </c>
    </row>
    <row r="63" spans="1:24" s="378" customFormat="1" ht="15" customHeight="1">
      <c r="A63" s="46">
        <v>8</v>
      </c>
      <c r="B63" s="902"/>
      <c r="C63" s="513" t="s">
        <v>416</v>
      </c>
      <c r="D63" s="877" t="s">
        <v>266</v>
      </c>
      <c r="E63" s="877">
        <v>1.4061789599999999E-2</v>
      </c>
      <c r="F63" s="514" t="s">
        <v>35</v>
      </c>
      <c r="G63" s="370">
        <f>+E63*$D$6</f>
        <v>33.692047881599997</v>
      </c>
      <c r="H63" s="79">
        <v>-13.84</v>
      </c>
      <c r="I63" s="75">
        <f>G63+H63</f>
        <v>19.852047881599997</v>
      </c>
      <c r="J63" s="369">
        <v>22.034444444444446</v>
      </c>
      <c r="K63" s="75">
        <f t="shared" si="89"/>
        <v>-2.1823965628444491</v>
      </c>
      <c r="L63" s="507">
        <f t="shared" si="86"/>
        <v>1.1099330696692111</v>
      </c>
      <c r="M63" s="362">
        <v>43612</v>
      </c>
      <c r="N63" s="843">
        <f t="shared" ref="N63:O63" si="121">G63+G64</f>
        <v>53.069193950399992</v>
      </c>
      <c r="O63" s="838">
        <f t="shared" si="121"/>
        <v>-13.84</v>
      </c>
      <c r="P63" s="838">
        <f t="shared" ref="P63" si="122">N63+O63</f>
        <v>39.229193950399988</v>
      </c>
      <c r="Q63" s="838">
        <f t="shared" ref="Q63" si="123">J63+J64</f>
        <v>22.034444444444446</v>
      </c>
      <c r="R63" s="838">
        <f t="shared" ref="R63" si="124">P63-Q63</f>
        <v>17.194749505955542</v>
      </c>
      <c r="S63" s="817">
        <f t="shared" ref="S63" si="125">Q63/P63</f>
        <v>0.56168486337761669</v>
      </c>
      <c r="T63" s="816">
        <f t="shared" ref="T63" si="126">(100%-+(R63/N63))</f>
        <v>0.67599376915303711</v>
      </c>
      <c r="V63" s="378">
        <v>22.034444444444446</v>
      </c>
      <c r="W63" s="650">
        <f t="shared" si="88"/>
        <v>0</v>
      </c>
      <c r="X63" s="649">
        <v>0.41666666666666785</v>
      </c>
    </row>
    <row r="64" spans="1:24" s="378" customFormat="1" ht="15" customHeight="1">
      <c r="A64" s="46"/>
      <c r="B64" s="902"/>
      <c r="C64" s="509"/>
      <c r="D64" s="884"/>
      <c r="E64" s="884">
        <v>1.4061789599999999E-2</v>
      </c>
      <c r="F64" s="514" t="s">
        <v>95</v>
      </c>
      <c r="G64" s="371">
        <f>+E63*$D$8</f>
        <v>19.377146068799998</v>
      </c>
      <c r="H64" s="79"/>
      <c r="I64" s="75">
        <f>G64+H64+K63</f>
        <v>17.194749505955549</v>
      </c>
      <c r="J64" s="265"/>
      <c r="K64" s="75">
        <f t="shared" si="89"/>
        <v>17.194749505955549</v>
      </c>
      <c r="L64" s="80">
        <f t="shared" si="86"/>
        <v>0</v>
      </c>
      <c r="M64" s="318" t="s">
        <v>30</v>
      </c>
      <c r="N64" s="843"/>
      <c r="O64" s="838"/>
      <c r="P64" s="838"/>
      <c r="Q64" s="838"/>
      <c r="R64" s="838"/>
      <c r="S64" s="817"/>
      <c r="T64" s="816"/>
      <c r="V64" s="378">
        <v>0</v>
      </c>
      <c r="W64" s="588">
        <f t="shared" si="88"/>
        <v>0</v>
      </c>
    </row>
    <row r="65" spans="1:23" s="378" customFormat="1" ht="15" customHeight="1">
      <c r="A65" s="46">
        <v>9</v>
      </c>
      <c r="B65" s="902"/>
      <c r="C65" s="820" t="s">
        <v>373</v>
      </c>
      <c r="D65" s="877" t="s">
        <v>276</v>
      </c>
      <c r="E65" s="877">
        <v>1.7517082E-2</v>
      </c>
      <c r="F65" s="514" t="s">
        <v>35</v>
      </c>
      <c r="G65" s="371">
        <f>+E65*$D$6</f>
        <v>41.970928471999997</v>
      </c>
      <c r="H65" s="79">
        <v>-66.11</v>
      </c>
      <c r="I65" s="75">
        <f>G65+H65</f>
        <v>-24.139071528000002</v>
      </c>
      <c r="J65" s="369"/>
      <c r="K65" s="75">
        <f t="shared" ref="K65:K70" si="127">I65-J65</f>
        <v>-24.139071528000002</v>
      </c>
      <c r="L65" s="80">
        <f t="shared" ref="L65:L70" si="128">J65/I65</f>
        <v>0</v>
      </c>
      <c r="M65" s="362">
        <v>43508</v>
      </c>
      <c r="N65" s="847">
        <f t="shared" ref="N65:O65" si="129">G65+G66</f>
        <v>66.109467467999991</v>
      </c>
      <c r="O65" s="847">
        <f t="shared" si="129"/>
        <v>-66.11</v>
      </c>
      <c r="P65" s="847">
        <f t="shared" ref="P65" si="130">N65+O65</f>
        <v>-5.3253200000824563E-4</v>
      </c>
      <c r="Q65" s="847">
        <f t="shared" ref="Q65" si="131">J65+J66</f>
        <v>0</v>
      </c>
      <c r="R65" s="847">
        <f t="shared" ref="R65" si="132">P65-Q65</f>
        <v>-5.3253200000824563E-4</v>
      </c>
      <c r="S65" s="780">
        <f t="shared" ref="S65" si="133">Q65/P65</f>
        <v>0</v>
      </c>
      <c r="T65" s="780">
        <f>(100%-+(R65/N65))</f>
        <v>1.0000080553061521</v>
      </c>
      <c r="V65" s="378">
        <v>0</v>
      </c>
      <c r="W65" s="588">
        <f t="shared" si="88"/>
        <v>0</v>
      </c>
    </row>
    <row r="66" spans="1:23" s="378" customFormat="1" ht="15" customHeight="1">
      <c r="A66" s="46"/>
      <c r="B66" s="902"/>
      <c r="C66" s="821"/>
      <c r="D66" s="878"/>
      <c r="E66" s="878">
        <v>1.7517082E-2</v>
      </c>
      <c r="F66" s="514" t="s">
        <v>95</v>
      </c>
      <c r="G66" s="371">
        <f>+E65*$D$8</f>
        <v>24.138538996000001</v>
      </c>
      <c r="H66" s="79"/>
      <c r="I66" s="75">
        <f>G66+H66+K65</f>
        <v>-5.325320000011402E-4</v>
      </c>
      <c r="J66" s="265"/>
      <c r="K66" s="75">
        <f t="shared" si="127"/>
        <v>-5.325320000011402E-4</v>
      </c>
      <c r="L66" s="80">
        <f t="shared" si="128"/>
        <v>0</v>
      </c>
      <c r="M66" s="362">
        <v>43508</v>
      </c>
      <c r="N66" s="847"/>
      <c r="O66" s="847"/>
      <c r="P66" s="847"/>
      <c r="Q66" s="847"/>
      <c r="R66" s="847"/>
      <c r="S66" s="780"/>
      <c r="T66" s="780"/>
      <c r="V66" s="378">
        <v>0</v>
      </c>
      <c r="W66" s="588">
        <f t="shared" si="88"/>
        <v>0</v>
      </c>
    </row>
    <row r="67" spans="1:23" s="378" customFormat="1" ht="15" customHeight="1">
      <c r="A67" s="46">
        <v>10</v>
      </c>
      <c r="B67" s="902"/>
      <c r="C67" s="559" t="s">
        <v>370</v>
      </c>
      <c r="D67" s="877" t="s">
        <v>265</v>
      </c>
      <c r="E67" s="877">
        <v>5.4949761999999999E-2</v>
      </c>
      <c r="F67" s="514" t="s">
        <v>35</v>
      </c>
      <c r="G67" s="370">
        <f>+E67*$D$6</f>
        <v>131.659629752</v>
      </c>
      <c r="H67" s="79">
        <v>-207.38</v>
      </c>
      <c r="I67" s="75">
        <f>G67+H67</f>
        <v>-75.720370247999995</v>
      </c>
      <c r="J67" s="369"/>
      <c r="K67" s="75">
        <f t="shared" si="127"/>
        <v>-75.720370247999995</v>
      </c>
      <c r="L67" s="507">
        <f t="shared" si="128"/>
        <v>0</v>
      </c>
      <c r="M67" s="362">
        <v>43508</v>
      </c>
      <c r="N67" s="847">
        <f t="shared" ref="N67:O67" si="134">G67+G68</f>
        <v>207.380401788</v>
      </c>
      <c r="O67" s="847">
        <f t="shared" si="134"/>
        <v>-207.38</v>
      </c>
      <c r="P67" s="847">
        <f t="shared" ref="P67" si="135">N67+O67</f>
        <v>4.01788000004899E-4</v>
      </c>
      <c r="Q67" s="847">
        <f t="shared" ref="Q67" si="136">J67+J68</f>
        <v>0</v>
      </c>
      <c r="R67" s="847">
        <f t="shared" ref="R67" si="137">P67-Q67</f>
        <v>4.01788000004899E-4</v>
      </c>
      <c r="S67" s="780">
        <f t="shared" ref="S67" si="138">Q67/P67</f>
        <v>0</v>
      </c>
      <c r="T67" s="780">
        <f t="shared" ref="T67" si="139">(100%-+(R67/N67))</f>
        <v>0.99999806255559087</v>
      </c>
      <c r="V67" s="378">
        <v>0</v>
      </c>
      <c r="W67" s="588">
        <f t="shared" si="88"/>
        <v>0</v>
      </c>
    </row>
    <row r="68" spans="1:23" s="378" customFormat="1" ht="15" customHeight="1">
      <c r="A68" s="46"/>
      <c r="B68" s="902"/>
      <c r="C68" s="553"/>
      <c r="D68" s="884"/>
      <c r="E68" s="884">
        <v>5.9070873500000003E-2</v>
      </c>
      <c r="F68" s="514" t="s">
        <v>95</v>
      </c>
      <c r="G68" s="371">
        <f>+E67*$D$8</f>
        <v>75.720772036</v>
      </c>
      <c r="H68" s="79"/>
      <c r="I68" s="75">
        <f>G68+H68+K67</f>
        <v>4.01788000004899E-4</v>
      </c>
      <c r="J68" s="265"/>
      <c r="K68" s="75">
        <f t="shared" si="127"/>
        <v>4.01788000004899E-4</v>
      </c>
      <c r="L68" s="80">
        <f t="shared" si="128"/>
        <v>0</v>
      </c>
      <c r="M68" s="362">
        <v>43508</v>
      </c>
      <c r="N68" s="847"/>
      <c r="O68" s="847"/>
      <c r="P68" s="847"/>
      <c r="Q68" s="847"/>
      <c r="R68" s="847"/>
      <c r="S68" s="780"/>
      <c r="T68" s="780"/>
      <c r="V68" s="378">
        <v>0</v>
      </c>
      <c r="W68" s="588">
        <f t="shared" si="88"/>
        <v>0</v>
      </c>
    </row>
    <row r="69" spans="1:23" s="378" customFormat="1" ht="15" customHeight="1">
      <c r="A69" s="46">
        <v>11</v>
      </c>
      <c r="B69" s="902"/>
      <c r="C69" s="822" t="s">
        <v>371</v>
      </c>
      <c r="D69" s="877" t="s">
        <v>268</v>
      </c>
      <c r="E69" s="877">
        <v>1.4386281000000001E-2</v>
      </c>
      <c r="F69" s="514" t="s">
        <v>35</v>
      </c>
      <c r="G69" s="371">
        <f>+E69*$D$6</f>
        <v>34.469529276000003</v>
      </c>
      <c r="H69" s="79">
        <v>-54.293999999999997</v>
      </c>
      <c r="I69" s="75">
        <f>G69+H69</f>
        <v>-19.824470723999994</v>
      </c>
      <c r="J69" s="369">
        <v>1.558888888888889</v>
      </c>
      <c r="K69" s="75">
        <f t="shared" si="127"/>
        <v>-21.383359612888881</v>
      </c>
      <c r="L69" s="80">
        <f t="shared" si="128"/>
        <v>-7.8634577971439079E-2</v>
      </c>
      <c r="M69" s="362">
        <v>43508</v>
      </c>
      <c r="N69" s="886">
        <f t="shared" ref="N69:O69" si="140">G69+G70</f>
        <v>54.293824494000006</v>
      </c>
      <c r="O69" s="886">
        <f t="shared" si="140"/>
        <v>-54.293999999999997</v>
      </c>
      <c r="P69" s="886">
        <f t="shared" ref="P69" si="141">N69+O69</f>
        <v>-1.7550599999083261E-4</v>
      </c>
      <c r="Q69" s="886">
        <f t="shared" ref="Q69" si="142">J69+J70</f>
        <v>1.558888888888889</v>
      </c>
      <c r="R69" s="885">
        <f t="shared" ref="R69" si="143">P69-Q69</f>
        <v>-1.5590643948888798</v>
      </c>
      <c r="S69" s="904">
        <f>Q69/P69</f>
        <v>-8882.2541051036205</v>
      </c>
      <c r="T69" s="904">
        <f>(100%-+(R69/N69))</f>
        <v>1.0287153172468293</v>
      </c>
      <c r="V69" s="378">
        <v>1.558888888888889</v>
      </c>
      <c r="W69" s="588">
        <f t="shared" si="88"/>
        <v>0</v>
      </c>
    </row>
    <row r="70" spans="1:23" s="378" customFormat="1" ht="15" customHeight="1">
      <c r="A70" s="46"/>
      <c r="B70" s="902"/>
      <c r="C70" s="823"/>
      <c r="D70" s="878"/>
      <c r="E70" s="878">
        <v>1.14960093E-2</v>
      </c>
      <c r="F70" s="514" t="s">
        <v>95</v>
      </c>
      <c r="G70" s="371">
        <f>+E69*$D$8</f>
        <v>19.824295218</v>
      </c>
      <c r="H70" s="79"/>
      <c r="I70" s="75">
        <f>G70+H70+K69</f>
        <v>-1.5590643948888818</v>
      </c>
      <c r="J70" s="265"/>
      <c r="K70" s="75">
        <f t="shared" si="127"/>
        <v>-1.5590643948888818</v>
      </c>
      <c r="L70" s="80">
        <f t="shared" si="128"/>
        <v>0</v>
      </c>
      <c r="M70" s="362">
        <v>43508</v>
      </c>
      <c r="N70" s="886"/>
      <c r="O70" s="886"/>
      <c r="P70" s="886"/>
      <c r="Q70" s="886"/>
      <c r="R70" s="885"/>
      <c r="S70" s="904"/>
      <c r="T70" s="904"/>
      <c r="V70" s="378">
        <v>0</v>
      </c>
      <c r="W70" s="588">
        <f t="shared" si="88"/>
        <v>0</v>
      </c>
    </row>
    <row r="71" spans="1:23" s="378" customFormat="1" ht="15" customHeight="1">
      <c r="A71" s="46">
        <v>12</v>
      </c>
      <c r="B71" s="902"/>
      <c r="C71" s="513" t="s">
        <v>393</v>
      </c>
      <c r="D71" s="877" t="s">
        <v>267</v>
      </c>
      <c r="E71" s="877">
        <v>3.7086950000000001E-3</v>
      </c>
      <c r="F71" s="514" t="s">
        <v>35</v>
      </c>
      <c r="G71" s="370">
        <f>+E71*$D$6</f>
        <v>8.8860332199999998</v>
      </c>
      <c r="H71" s="79">
        <v>-13.997</v>
      </c>
      <c r="I71" s="75">
        <f>G71+H71</f>
        <v>-5.11096678</v>
      </c>
      <c r="J71" s="369"/>
      <c r="K71" s="75">
        <f t="shared" si="89"/>
        <v>-5.11096678</v>
      </c>
      <c r="L71" s="507">
        <f t="shared" si="86"/>
        <v>0</v>
      </c>
      <c r="M71" s="362">
        <v>43508</v>
      </c>
      <c r="N71" s="847">
        <f t="shared" ref="N71:O71" si="144">G71+G72</f>
        <v>13.99661493</v>
      </c>
      <c r="O71" s="847">
        <f t="shared" si="144"/>
        <v>-13.997</v>
      </c>
      <c r="P71" s="847">
        <f t="shared" ref="P71" si="145">N71+O71</f>
        <v>-3.8507000000009839E-4</v>
      </c>
      <c r="Q71" s="847">
        <f t="shared" ref="Q71" si="146">J71+J72</f>
        <v>0</v>
      </c>
      <c r="R71" s="847">
        <f t="shared" ref="R71" si="147">P71-Q71</f>
        <v>-3.8507000000009839E-4</v>
      </c>
      <c r="S71" s="780">
        <f t="shared" ref="S71" si="148">Q71/P71</f>
        <v>0</v>
      </c>
      <c r="T71" s="780">
        <f t="shared" ref="T71" si="149">(100%-+(R71/N71))</f>
        <v>1.0000275116520621</v>
      </c>
      <c r="V71" s="378">
        <v>0</v>
      </c>
      <c r="W71" s="588">
        <f t="shared" si="88"/>
        <v>0</v>
      </c>
    </row>
    <row r="72" spans="1:23" s="378" customFormat="1" ht="15" customHeight="1">
      <c r="A72" s="46"/>
      <c r="B72" s="902"/>
      <c r="C72" s="509"/>
      <c r="D72" s="884"/>
      <c r="E72" s="884">
        <v>3.7086950000000001E-3</v>
      </c>
      <c r="F72" s="514" t="s">
        <v>95</v>
      </c>
      <c r="G72" s="371">
        <f>+E71*$D$8</f>
        <v>5.1105817099999999</v>
      </c>
      <c r="H72" s="79"/>
      <c r="I72" s="75">
        <f>G72+H72+K71</f>
        <v>-3.8507000000009839E-4</v>
      </c>
      <c r="J72" s="265"/>
      <c r="K72" s="75">
        <f t="shared" si="89"/>
        <v>-3.8507000000009839E-4</v>
      </c>
      <c r="L72" s="80">
        <f t="shared" si="86"/>
        <v>0</v>
      </c>
      <c r="M72" s="362">
        <v>43508</v>
      </c>
      <c r="N72" s="847"/>
      <c r="O72" s="847"/>
      <c r="P72" s="847"/>
      <c r="Q72" s="847"/>
      <c r="R72" s="847"/>
      <c r="S72" s="780"/>
      <c r="T72" s="780"/>
      <c r="V72" s="378">
        <v>0</v>
      </c>
      <c r="W72" s="588">
        <f t="shared" si="88"/>
        <v>0</v>
      </c>
    </row>
    <row r="73" spans="1:23" s="378" customFormat="1" ht="15" customHeight="1">
      <c r="A73" s="46">
        <v>13</v>
      </c>
      <c r="B73" s="902"/>
      <c r="C73" s="820" t="s">
        <v>417</v>
      </c>
      <c r="D73" s="877" t="s">
        <v>280</v>
      </c>
      <c r="E73" s="877">
        <v>7.8781179999999999E-3</v>
      </c>
      <c r="F73" s="514" t="s">
        <v>35</v>
      </c>
      <c r="G73" s="371">
        <f>+E73*$D$6</f>
        <v>18.875970727999999</v>
      </c>
      <c r="H73" s="79">
        <v>-24.238</v>
      </c>
      <c r="I73" s="75">
        <f>G73+H73</f>
        <v>-5.3620292720000009</v>
      </c>
      <c r="J73" s="369"/>
      <c r="K73" s="75">
        <f t="shared" si="89"/>
        <v>-5.3620292720000009</v>
      </c>
      <c r="L73" s="80">
        <f t="shared" si="86"/>
        <v>0</v>
      </c>
      <c r="M73" s="362">
        <v>43524</v>
      </c>
      <c r="N73" s="843">
        <f t="shared" ref="N73:O73" si="150">G73+G74</f>
        <v>29.732017331999998</v>
      </c>
      <c r="O73" s="838">
        <f t="shared" si="150"/>
        <v>-24.238</v>
      </c>
      <c r="P73" s="838">
        <f t="shared" ref="P73" si="151">N73+O73</f>
        <v>5.4940173319999985</v>
      </c>
      <c r="Q73" s="838">
        <f t="shared" ref="Q73" si="152">J73+J74</f>
        <v>0</v>
      </c>
      <c r="R73" s="838">
        <f t="shared" ref="R73" si="153">P73-Q73</f>
        <v>5.4940173319999985</v>
      </c>
      <c r="S73" s="817">
        <f t="shared" ref="S73" si="154">Q73/P73</f>
        <v>0</v>
      </c>
      <c r="T73" s="816">
        <f t="shared" ref="T73:T83" si="155">(100%-+(R73/N73))</f>
        <v>0.81521545374296234</v>
      </c>
      <c r="V73" s="378">
        <v>0</v>
      </c>
      <c r="W73" s="588">
        <f t="shared" si="88"/>
        <v>0</v>
      </c>
    </row>
    <row r="74" spans="1:23" s="378" customFormat="1" ht="15" customHeight="1">
      <c r="A74" s="46"/>
      <c r="B74" s="902"/>
      <c r="C74" s="821"/>
      <c r="D74" s="878"/>
      <c r="E74" s="878">
        <v>6.5118729999999996E-3</v>
      </c>
      <c r="F74" s="514" t="s">
        <v>95</v>
      </c>
      <c r="G74" s="371">
        <f>+E73*$D$8</f>
        <v>10.856046603999999</v>
      </c>
      <c r="H74" s="79"/>
      <c r="I74" s="75">
        <f>G74+H74+K73</f>
        <v>5.4940173319999985</v>
      </c>
      <c r="J74" s="265"/>
      <c r="K74" s="75">
        <f t="shared" si="89"/>
        <v>5.4940173319999985</v>
      </c>
      <c r="L74" s="80">
        <f t="shared" si="86"/>
        <v>0</v>
      </c>
      <c r="M74" s="534" t="s">
        <v>30</v>
      </c>
      <c r="N74" s="843"/>
      <c r="O74" s="838"/>
      <c r="P74" s="838"/>
      <c r="Q74" s="838"/>
      <c r="R74" s="838"/>
      <c r="S74" s="817"/>
      <c r="T74" s="816"/>
      <c r="V74" s="378">
        <v>0</v>
      </c>
      <c r="W74" s="588">
        <f t="shared" si="88"/>
        <v>0</v>
      </c>
    </row>
    <row r="75" spans="1:23" s="378" customFormat="1" ht="15" customHeight="1">
      <c r="A75" s="46">
        <v>14</v>
      </c>
      <c r="B75" s="902"/>
      <c r="C75" s="513" t="s">
        <v>375</v>
      </c>
      <c r="D75" s="877" t="s">
        <v>281</v>
      </c>
      <c r="E75" s="877">
        <v>3.7391969000000001E-3</v>
      </c>
      <c r="F75" s="514" t="s">
        <v>35</v>
      </c>
      <c r="G75" s="370">
        <f>+E75*$D$6</f>
        <v>8.9591157724000006</v>
      </c>
      <c r="H75" s="79">
        <f>-10.192</f>
        <v>-10.192</v>
      </c>
      <c r="I75" s="75">
        <f>G75+H75</f>
        <v>-1.2328842275999996</v>
      </c>
      <c r="J75" s="369">
        <v>1.9077777777777776</v>
      </c>
      <c r="K75" s="75">
        <f>I75-J75</f>
        <v>-3.1406620053777772</v>
      </c>
      <c r="L75" s="507">
        <f>J75/I75</f>
        <v>-1.5474103205063812</v>
      </c>
      <c r="M75" s="532"/>
      <c r="N75" s="843">
        <f t="shared" ref="N75:O75" si="156">G75+G76</f>
        <v>14.111729100600002</v>
      </c>
      <c r="O75" s="838">
        <f t="shared" si="156"/>
        <v>-10.192</v>
      </c>
      <c r="P75" s="838">
        <f t="shared" ref="P75" si="157">N75+O75</f>
        <v>3.9197291006000015</v>
      </c>
      <c r="Q75" s="838">
        <f t="shared" ref="Q75" si="158">J75+J76</f>
        <v>1.9077777777777776</v>
      </c>
      <c r="R75" s="838">
        <f t="shared" ref="R75" si="159">P75-Q75</f>
        <v>2.0119513228222239</v>
      </c>
      <c r="S75" s="817">
        <f t="shared" ref="S75" si="160">Q75/P75</f>
        <v>0.48671163971146625</v>
      </c>
      <c r="T75" s="816">
        <f t="shared" ref="T75" si="161">(100%-+(R75/N75))</f>
        <v>0.85742701631533724</v>
      </c>
      <c r="V75" s="378">
        <v>1.9077777777777776</v>
      </c>
      <c r="W75" s="588">
        <f t="shared" si="88"/>
        <v>0</v>
      </c>
    </row>
    <row r="76" spans="1:23" s="378" customFormat="1" ht="15" customHeight="1">
      <c r="A76" s="46"/>
      <c r="B76" s="902"/>
      <c r="C76" s="509"/>
      <c r="D76" s="884"/>
      <c r="E76" s="884">
        <v>3.7391969000000001E-3</v>
      </c>
      <c r="F76" s="514" t="s">
        <v>95</v>
      </c>
      <c r="G76" s="371">
        <f>+E75*$D$8</f>
        <v>5.1526133282000002</v>
      </c>
      <c r="H76" s="79"/>
      <c r="I76" s="75">
        <f>G76+H76+K75</f>
        <v>2.011951322822223</v>
      </c>
      <c r="J76" s="265"/>
      <c r="K76" s="75">
        <f>I76-J76</f>
        <v>2.011951322822223</v>
      </c>
      <c r="L76" s="80">
        <f>J76/I76</f>
        <v>0</v>
      </c>
      <c r="M76" s="512" t="s">
        <v>30</v>
      </c>
      <c r="N76" s="843"/>
      <c r="O76" s="838"/>
      <c r="P76" s="838"/>
      <c r="Q76" s="838"/>
      <c r="R76" s="838"/>
      <c r="S76" s="817"/>
      <c r="T76" s="816"/>
      <c r="V76" s="378">
        <v>0</v>
      </c>
      <c r="W76" s="588">
        <f t="shared" si="88"/>
        <v>0</v>
      </c>
    </row>
    <row r="77" spans="1:23" s="378" customFormat="1" ht="15" customHeight="1">
      <c r="A77" s="46">
        <v>15</v>
      </c>
      <c r="B77" s="902"/>
      <c r="C77" s="820" t="s">
        <v>376</v>
      </c>
      <c r="D77" s="877" t="s">
        <v>283</v>
      </c>
      <c r="E77" s="877">
        <v>3.0986989999999999E-3</v>
      </c>
      <c r="F77" s="514" t="s">
        <v>35</v>
      </c>
      <c r="G77" s="371">
        <f>+E77*$D$6</f>
        <v>7.4244828040000002</v>
      </c>
      <c r="H77" s="79">
        <v>-10.819000000000001</v>
      </c>
      <c r="I77" s="75">
        <f>G77+H77</f>
        <v>-3.3945171960000007</v>
      </c>
      <c r="J77" s="369">
        <v>0.87555555555555542</v>
      </c>
      <c r="K77" s="75">
        <f t="shared" si="89"/>
        <v>-4.2700727515555563</v>
      </c>
      <c r="L77" s="507">
        <f t="shared" si="86"/>
        <v>-0.25793227873091479</v>
      </c>
      <c r="M77" s="362">
        <v>43573</v>
      </c>
      <c r="N77" s="879">
        <f t="shared" ref="N77:O77" si="162">G77+G78</f>
        <v>11.694490026</v>
      </c>
      <c r="O77" s="880">
        <f t="shared" si="162"/>
        <v>-10.819000000000001</v>
      </c>
      <c r="P77" s="880">
        <f t="shared" ref="P77" si="163">N77+O77</f>
        <v>0.87549002599999959</v>
      </c>
      <c r="Q77" s="880">
        <f t="shared" ref="Q77" si="164">J77+J78</f>
        <v>0.87555555555555542</v>
      </c>
      <c r="R77" s="880">
        <f>P77-Q77</f>
        <v>-6.5529555555832175E-5</v>
      </c>
      <c r="S77" s="881">
        <f t="shared" ref="S77" si="165">Q77/P77</f>
        <v>1.0000748490029694</v>
      </c>
      <c r="T77" s="905">
        <f t="shared" ref="T77" si="166">(100%-+(R77/N77))</f>
        <v>1.000005603455594</v>
      </c>
      <c r="V77" s="378">
        <v>0.87555555555555542</v>
      </c>
      <c r="W77" s="588">
        <f t="shared" si="88"/>
        <v>0</v>
      </c>
    </row>
    <row r="78" spans="1:23" s="378" customFormat="1" ht="15" customHeight="1">
      <c r="A78" s="46"/>
      <c r="B78" s="902"/>
      <c r="C78" s="821"/>
      <c r="D78" s="878"/>
      <c r="E78" s="878"/>
      <c r="F78" s="514" t="s">
        <v>95</v>
      </c>
      <c r="G78" s="371">
        <f>+E77*$D$8</f>
        <v>4.2700072220000003</v>
      </c>
      <c r="H78" s="79"/>
      <c r="I78" s="75">
        <f>G78+H78+K77</f>
        <v>-6.552955555605422E-5</v>
      </c>
      <c r="J78" s="265"/>
      <c r="K78" s="75">
        <f t="shared" si="89"/>
        <v>-6.552955555605422E-5</v>
      </c>
      <c r="L78" s="80">
        <f t="shared" si="86"/>
        <v>0</v>
      </c>
      <c r="M78" s="362">
        <v>43573</v>
      </c>
      <c r="N78" s="879"/>
      <c r="O78" s="880"/>
      <c r="P78" s="880"/>
      <c r="Q78" s="880"/>
      <c r="R78" s="880"/>
      <c r="S78" s="881"/>
      <c r="T78" s="905"/>
      <c r="V78" s="378">
        <v>0</v>
      </c>
      <c r="W78" s="588">
        <f t="shared" si="88"/>
        <v>0</v>
      </c>
    </row>
    <row r="79" spans="1:23" s="378" customFormat="1" ht="15" customHeight="1">
      <c r="A79" s="46">
        <v>16</v>
      </c>
      <c r="B79" s="902"/>
      <c r="C79" s="513" t="s">
        <v>272</v>
      </c>
      <c r="D79" s="877" t="s">
        <v>273</v>
      </c>
      <c r="E79" s="877">
        <v>6.0805267E-3</v>
      </c>
      <c r="F79" s="514" t="s">
        <v>35</v>
      </c>
      <c r="G79" s="370">
        <f>+E79*$D$6+8.378</f>
        <v>22.946941973199998</v>
      </c>
      <c r="H79" s="79">
        <v>-22.302</v>
      </c>
      <c r="I79" s="75">
        <f>G79+H79</f>
        <v>0.64494197319999813</v>
      </c>
      <c r="J79" s="369">
        <v>0.56999999999999995</v>
      </c>
      <c r="K79" s="75">
        <f>I79-J79</f>
        <v>7.494197319999818E-2</v>
      </c>
      <c r="L79" s="507">
        <f t="shared" ref="L79:L84" si="167">J79/I79</f>
        <v>0.88380044048279294</v>
      </c>
      <c r="M79" s="362">
        <v>43524</v>
      </c>
      <c r="N79" s="843">
        <f t="shared" ref="N79:O79" si="168">G79+G80</f>
        <v>22.947907765799997</v>
      </c>
      <c r="O79" s="838">
        <f t="shared" si="168"/>
        <v>-22.302</v>
      </c>
      <c r="P79" s="838">
        <f t="shared" ref="P79" si="169">N79+O79</f>
        <v>0.64590776579999698</v>
      </c>
      <c r="Q79" s="838">
        <f t="shared" ref="Q79" si="170">J79+J80</f>
        <v>0.56999999999999995</v>
      </c>
      <c r="R79" s="838">
        <f t="shared" ref="R79" si="171">P79-Q79</f>
        <v>7.5907765799997029E-2</v>
      </c>
      <c r="S79" s="817">
        <f t="shared" ref="S79" si="172">Q79/P79</f>
        <v>0.88247893922442544</v>
      </c>
      <c r="T79" s="816">
        <f t="shared" ref="T79" si="173">(100%-+(R79/N79))</f>
        <v>0.9966921705205245</v>
      </c>
      <c r="V79" s="378">
        <v>0.56999999999999995</v>
      </c>
      <c r="W79" s="588">
        <f t="shared" si="88"/>
        <v>0</v>
      </c>
    </row>
    <row r="80" spans="1:23" s="378" customFormat="1" ht="15" customHeight="1">
      <c r="A80" s="46"/>
      <c r="B80" s="902"/>
      <c r="C80" s="509"/>
      <c r="D80" s="884"/>
      <c r="E80" s="884">
        <v>6.0805267E-3</v>
      </c>
      <c r="F80" s="514" t="s">
        <v>95</v>
      </c>
      <c r="G80" s="371">
        <f>+E79*$D$8-8.378</f>
        <v>9.6579260000062561E-4</v>
      </c>
      <c r="H80" s="79"/>
      <c r="I80" s="75">
        <f>G80+H80+K79</f>
        <v>7.5907765799998805E-2</v>
      </c>
      <c r="J80" s="265"/>
      <c r="K80" s="75">
        <f>I80-J80</f>
        <v>7.5907765799998805E-2</v>
      </c>
      <c r="L80" s="80">
        <f t="shared" si="167"/>
        <v>0</v>
      </c>
      <c r="M80" s="534" t="s">
        <v>30</v>
      </c>
      <c r="N80" s="843"/>
      <c r="O80" s="838"/>
      <c r="P80" s="838"/>
      <c r="Q80" s="838"/>
      <c r="R80" s="838"/>
      <c r="S80" s="817"/>
      <c r="T80" s="816"/>
      <c r="V80" s="378">
        <v>0</v>
      </c>
      <c r="W80" s="588">
        <f t="shared" si="88"/>
        <v>0</v>
      </c>
    </row>
    <row r="81" spans="1:25" s="378" customFormat="1" ht="15" customHeight="1">
      <c r="A81" s="46">
        <v>17</v>
      </c>
      <c r="B81" s="902"/>
      <c r="C81" s="820" t="s">
        <v>284</v>
      </c>
      <c r="D81" s="877"/>
      <c r="E81" s="877">
        <v>2.1869110000000001E-3</v>
      </c>
      <c r="F81" s="514" t="s">
        <v>35</v>
      </c>
      <c r="G81" s="371">
        <f>+E81*$D$6</f>
        <v>5.2398387560000002</v>
      </c>
      <c r="H81" s="79"/>
      <c r="I81" s="75">
        <f>G81+H81</f>
        <v>5.2398387560000002</v>
      </c>
      <c r="J81" s="369">
        <v>5.1888888888888891</v>
      </c>
      <c r="K81" s="75">
        <f>I81-J81</f>
        <v>5.0949867111111047E-2</v>
      </c>
      <c r="L81" s="80">
        <f t="shared" si="167"/>
        <v>0.99027644370682788</v>
      </c>
      <c r="M81" s="318" t="s">
        <v>30</v>
      </c>
      <c r="N81" s="843">
        <f t="shared" ref="N81:O81" si="174">G81+G82</f>
        <v>8.253402114</v>
      </c>
      <c r="O81" s="838">
        <f t="shared" si="174"/>
        <v>0</v>
      </c>
      <c r="P81" s="838">
        <f t="shared" ref="P81" si="175">N81+O81</f>
        <v>8.253402114</v>
      </c>
      <c r="Q81" s="838">
        <f t="shared" ref="Q81" si="176">J81+J82</f>
        <v>5.1888888888888891</v>
      </c>
      <c r="R81" s="838">
        <f t="shared" ref="R81" si="177">P81-Q81</f>
        <v>3.0645132251111109</v>
      </c>
      <c r="S81" s="817">
        <f t="shared" ref="S81" si="178">Q81/P81</f>
        <v>0.62869696850067824</v>
      </c>
      <c r="T81" s="816">
        <f t="shared" ref="T81" si="179">(100%-+(R81/N81))</f>
        <v>0.62869696850067824</v>
      </c>
      <c r="W81" s="588">
        <f t="shared" si="88"/>
        <v>-5.1888888888888891</v>
      </c>
    </row>
    <row r="82" spans="1:25" s="378" customFormat="1" ht="15" customHeight="1">
      <c r="A82" s="46"/>
      <c r="B82" s="903"/>
      <c r="C82" s="821"/>
      <c r="D82" s="878"/>
      <c r="E82" s="878">
        <v>3.5531563000000001E-3</v>
      </c>
      <c r="F82" s="514" t="s">
        <v>95</v>
      </c>
      <c r="G82" s="371">
        <f>+E81*$D$8</f>
        <v>3.0135633580000003</v>
      </c>
      <c r="H82" s="79"/>
      <c r="I82" s="75">
        <f>G82+H82+K81</f>
        <v>3.0645132251111113</v>
      </c>
      <c r="J82" s="265"/>
      <c r="K82" s="75">
        <f>I82-J82</f>
        <v>3.0645132251111113</v>
      </c>
      <c r="L82" s="80">
        <f t="shared" si="167"/>
        <v>0</v>
      </c>
      <c r="M82" s="364" t="s">
        <v>30</v>
      </c>
      <c r="N82" s="843"/>
      <c r="O82" s="838"/>
      <c r="P82" s="838"/>
      <c r="Q82" s="838"/>
      <c r="R82" s="838"/>
      <c r="S82" s="817"/>
      <c r="T82" s="816"/>
      <c r="W82" s="588">
        <f t="shared" si="88"/>
        <v>0</v>
      </c>
    </row>
    <row r="83" spans="1:25" s="378" customFormat="1" ht="15" customHeight="1">
      <c r="A83" s="46"/>
      <c r="B83" s="385" t="s">
        <v>285</v>
      </c>
      <c r="C83" s="389"/>
      <c r="D83" s="390"/>
      <c r="E83" s="882">
        <f>SUM(E49:E82)</f>
        <v>0.47890969030000002</v>
      </c>
      <c r="F83" s="318" t="s">
        <v>35</v>
      </c>
      <c r="G83" s="391">
        <f>+G49+G51+G53+G55+G57+G59+G61+G63+G65+G67+G69+G71+G73+G75+G77+G79+G81</f>
        <v>588.80181727119987</v>
      </c>
      <c r="H83" s="391">
        <f>+H49+H51+H53+H55+H57+H59+H61+H63+H65+H67+H69+H71+H73+H75+H77+H79+H81</f>
        <v>-709.35900000000004</v>
      </c>
      <c r="I83" s="391">
        <f t="shared" ref="I83:J83" si="180">+I49+I51+I53+I55+I57+I59+I61+I63+I65+I67+I69+I71+I73+I75+I77+I79+I81</f>
        <v>-120.55718272879999</v>
      </c>
      <c r="J83" s="391">
        <f t="shared" si="180"/>
        <v>106.43733333333331</v>
      </c>
      <c r="K83" s="391">
        <f t="shared" ref="K83" si="181">+K49+K51+K53+K55+K57+K59+K61+K63+K65+K67+K69+K71+K73+K75+K77+K79+K81</f>
        <v>-226.99451606213333</v>
      </c>
      <c r="L83" s="393">
        <f t="shared" si="167"/>
        <v>-0.88287840611512924</v>
      </c>
      <c r="M83" s="394" t="s">
        <v>30</v>
      </c>
      <c r="N83" s="883">
        <f>SUM(N49:N82)</f>
        <v>914.2401863028</v>
      </c>
      <c r="O83" s="883">
        <f>SUM(O49:O82)</f>
        <v>-709.35900000000004</v>
      </c>
      <c r="P83" s="883">
        <f>+N83+O83</f>
        <v>204.88118630279996</v>
      </c>
      <c r="Q83" s="883">
        <f>SUM(Q49:Q82)</f>
        <v>106.43733333333331</v>
      </c>
      <c r="R83" s="883">
        <f>+P83-Q83</f>
        <v>98.443852969466647</v>
      </c>
      <c r="S83" s="876">
        <f>Q83/P83</f>
        <v>0.51950759976578054</v>
      </c>
      <c r="T83" s="816">
        <f t="shared" si="155"/>
        <v>0.89232167383980898</v>
      </c>
      <c r="W83" s="588">
        <f t="shared" si="88"/>
        <v>-106.43733333333331</v>
      </c>
    </row>
    <row r="84" spans="1:25" s="378" customFormat="1" ht="15" customHeight="1">
      <c r="A84" s="46"/>
      <c r="B84" s="387"/>
      <c r="C84" s="395"/>
      <c r="D84" s="396"/>
      <c r="E84" s="882"/>
      <c r="F84" s="318" t="s">
        <v>95</v>
      </c>
      <c r="G84" s="391">
        <f>+G50+G52+G54+G56+G58+G60+G62+G64+G66+G68+G70+G72+G74+G76+G78+G80+G82</f>
        <v>325.43836903159996</v>
      </c>
      <c r="H84" s="391">
        <f>+H50+H52+H54+H56+H58+H60+H62+H64+H66+H68+H70+H72+H74+H76+H78+H80+H82</f>
        <v>0</v>
      </c>
      <c r="I84" s="391">
        <f t="shared" ref="I84:J84" si="182">+I50+I52+I54+I56+I58+I60+I62+I64+I66+I68+I70+I72+I74+I76+I78+I80+I82</f>
        <v>98.443852969466676</v>
      </c>
      <c r="J84" s="391">
        <f t="shared" si="182"/>
        <v>0</v>
      </c>
      <c r="K84" s="391">
        <f t="shared" ref="K84" si="183">+K50+K52+K54+K56+K58+K60+K62+K64+K66+K68+K70+K72+K74+K76+K78+K80+K82</f>
        <v>98.443852969466676</v>
      </c>
      <c r="L84" s="393">
        <f t="shared" si="167"/>
        <v>0</v>
      </c>
      <c r="M84" s="397" t="s">
        <v>30</v>
      </c>
      <c r="N84" s="883"/>
      <c r="O84" s="883"/>
      <c r="P84" s="883"/>
      <c r="Q84" s="883"/>
      <c r="R84" s="883"/>
      <c r="S84" s="876"/>
      <c r="T84" s="816"/>
      <c r="W84" s="588"/>
    </row>
    <row r="85" spans="1:25" s="402" customFormat="1" ht="15" customHeight="1">
      <c r="A85" s="267"/>
      <c r="B85" s="398"/>
      <c r="C85" s="399"/>
      <c r="D85" s="398"/>
      <c r="E85" s="398"/>
      <c r="F85" s="398"/>
      <c r="G85" s="382"/>
      <c r="H85" s="373"/>
      <c r="I85" s="373"/>
      <c r="J85" s="373"/>
      <c r="K85" s="373"/>
      <c r="L85" s="400"/>
      <c r="M85" s="401"/>
      <c r="N85" s="373"/>
      <c r="O85" s="373"/>
      <c r="P85" s="373"/>
      <c r="Q85" s="373"/>
      <c r="R85" s="373"/>
      <c r="S85" s="400"/>
      <c r="T85" s="400"/>
      <c r="U85" s="400"/>
      <c r="W85" s="588"/>
    </row>
    <row r="86" spans="1:25" s="378" customFormat="1" ht="15" customHeight="1" thickBot="1">
      <c r="A86" s="46"/>
      <c r="B86" s="85"/>
      <c r="C86" s="195"/>
      <c r="D86" s="85"/>
      <c r="E86" s="85"/>
      <c r="F86" s="85"/>
      <c r="G86" s="85"/>
      <c r="H86" s="85"/>
      <c r="I86" s="85"/>
      <c r="J86" s="85"/>
      <c r="K86" s="85"/>
      <c r="L86" s="85"/>
      <c r="M86" s="85"/>
      <c r="N86" s="85"/>
      <c r="O86" s="85"/>
      <c r="P86" s="85"/>
      <c r="Q86" s="85"/>
      <c r="R86" s="85"/>
      <c r="S86" s="85"/>
      <c r="T86" s="85"/>
      <c r="U86" s="85"/>
      <c r="W86" s="588"/>
    </row>
    <row r="87" spans="1:25" s="378" customFormat="1" ht="15" customHeight="1" thickBot="1">
      <c r="A87" s="46"/>
      <c r="B87" s="318" t="s">
        <v>239</v>
      </c>
      <c r="C87" s="318" t="s">
        <v>240</v>
      </c>
      <c r="D87" s="318" t="s">
        <v>241</v>
      </c>
      <c r="E87" s="318" t="s">
        <v>242</v>
      </c>
      <c r="F87" s="318" t="s">
        <v>243</v>
      </c>
      <c r="G87" s="380" t="s">
        <v>235</v>
      </c>
      <c r="H87" s="202" t="s">
        <v>4</v>
      </c>
      <c r="I87" s="318" t="s">
        <v>5</v>
      </c>
      <c r="J87" s="318" t="s">
        <v>236</v>
      </c>
      <c r="K87" s="318" t="s">
        <v>45</v>
      </c>
      <c r="L87" s="318" t="s">
        <v>46</v>
      </c>
      <c r="M87" s="318" t="s">
        <v>75</v>
      </c>
      <c r="N87" s="392" t="s">
        <v>244</v>
      </c>
      <c r="O87" s="392" t="s">
        <v>4</v>
      </c>
      <c r="P87" s="392" t="s">
        <v>5</v>
      </c>
      <c r="Q87" s="392" t="s">
        <v>6</v>
      </c>
      <c r="R87" s="392" t="s">
        <v>7</v>
      </c>
      <c r="S87" s="403" t="s">
        <v>428</v>
      </c>
      <c r="T87" s="404" t="s">
        <v>427</v>
      </c>
      <c r="W87" s="588"/>
    </row>
    <row r="88" spans="1:25" s="378" customFormat="1" ht="15" customHeight="1">
      <c r="A88" s="46">
        <v>1</v>
      </c>
      <c r="B88" s="875" t="s">
        <v>286</v>
      </c>
      <c r="C88" s="820" t="s">
        <v>377</v>
      </c>
      <c r="D88" s="839" t="s">
        <v>287</v>
      </c>
      <c r="E88" s="840">
        <v>1.0825207E-2</v>
      </c>
      <c r="F88" s="321" t="s">
        <v>35</v>
      </c>
      <c r="G88" s="374">
        <f>+E88*$D$6</f>
        <v>25.937195972000001</v>
      </c>
      <c r="H88" s="79">
        <v>-40.853999999999999</v>
      </c>
      <c r="I88" s="75">
        <f>G88+H88</f>
        <v>-14.916804027999998</v>
      </c>
      <c r="J88" s="369"/>
      <c r="K88" s="87">
        <f>I88-J88</f>
        <v>-14.916804027999998</v>
      </c>
      <c r="L88" s="76">
        <f t="shared" ref="L88:L89" si="184">J88/I88</f>
        <v>0</v>
      </c>
      <c r="M88" s="362">
        <v>43508</v>
      </c>
      <c r="N88" s="847">
        <f>G88+G89</f>
        <v>40.854331217999999</v>
      </c>
      <c r="O88" s="866">
        <f>H88+H89</f>
        <v>-40.853999999999999</v>
      </c>
      <c r="P88" s="866">
        <f>N88+O88</f>
        <v>3.3121799999946688E-4</v>
      </c>
      <c r="Q88" s="866">
        <f>J88+J89</f>
        <v>0</v>
      </c>
      <c r="R88" s="866">
        <f>P88-Q88</f>
        <v>3.3121799999946688E-4</v>
      </c>
      <c r="S88" s="873">
        <f>Q88/P88</f>
        <v>0</v>
      </c>
      <c r="T88" s="780">
        <f t="shared" ref="T88" si="185">(100%-+(R88/N88))</f>
        <v>0.99999189270782007</v>
      </c>
      <c r="V88" s="588">
        <v>0</v>
      </c>
      <c r="W88" s="588">
        <f t="shared" ref="W88:W147" si="186">+V88-J88</f>
        <v>0</v>
      </c>
      <c r="X88" s="378">
        <v>-40.853999999999999</v>
      </c>
      <c r="Y88" s="415">
        <f>+X88-H88</f>
        <v>0</v>
      </c>
    </row>
    <row r="89" spans="1:25" s="378" customFormat="1" ht="15" customHeight="1">
      <c r="A89" s="46"/>
      <c r="B89" s="875"/>
      <c r="C89" s="821"/>
      <c r="D89" s="839"/>
      <c r="E89" s="840"/>
      <c r="F89" s="321" t="s">
        <v>95</v>
      </c>
      <c r="G89" s="374">
        <f>+E88*$D$8</f>
        <v>14.917135245999999</v>
      </c>
      <c r="H89" s="79"/>
      <c r="I89" s="75">
        <f>G89+H89+K88</f>
        <v>3.3121800000124324E-4</v>
      </c>
      <c r="J89" s="265"/>
      <c r="K89" s="87">
        <f t="shared" ref="K89:K156" si="187">I89-J89</f>
        <v>3.3121800000124324E-4</v>
      </c>
      <c r="L89" s="76">
        <f t="shared" si="184"/>
        <v>0</v>
      </c>
      <c r="M89" s="362">
        <v>43508</v>
      </c>
      <c r="N89" s="847"/>
      <c r="O89" s="833"/>
      <c r="P89" s="833"/>
      <c r="Q89" s="833"/>
      <c r="R89" s="833"/>
      <c r="S89" s="874"/>
      <c r="T89" s="780"/>
      <c r="V89" s="588">
        <v>0</v>
      </c>
      <c r="W89" s="588">
        <f t="shared" si="186"/>
        <v>0</v>
      </c>
      <c r="X89" s="378">
        <v>0</v>
      </c>
      <c r="Y89" s="415">
        <f t="shared" ref="Y89:Y152" si="188">+X89-H89</f>
        <v>0</v>
      </c>
    </row>
    <row r="90" spans="1:25" s="378" customFormat="1" ht="15" customHeight="1">
      <c r="A90" s="46">
        <v>2</v>
      </c>
      <c r="B90" s="875"/>
      <c r="C90" s="822" t="s">
        <v>391</v>
      </c>
      <c r="D90" s="839" t="s">
        <v>309</v>
      </c>
      <c r="E90" s="840">
        <v>1.22429215E-2</v>
      </c>
      <c r="F90" s="321" t="s">
        <v>35</v>
      </c>
      <c r="G90" s="374">
        <f>+E90*$D$6</f>
        <v>29.334039914000002</v>
      </c>
      <c r="H90" s="79">
        <v>-46.204999999999998</v>
      </c>
      <c r="I90" s="75">
        <f>G90+H90</f>
        <v>-16.870960085999997</v>
      </c>
      <c r="J90" s="369"/>
      <c r="K90" s="87">
        <f t="shared" ref="K90:K123" si="189">I90-J90</f>
        <v>-16.870960085999997</v>
      </c>
      <c r="L90" s="76">
        <v>0</v>
      </c>
      <c r="M90" s="363">
        <v>43508</v>
      </c>
      <c r="N90" s="847">
        <f>G90+G91</f>
        <v>46.204785741000002</v>
      </c>
      <c r="O90" s="847">
        <f t="shared" ref="O90" si="190">H90+H91</f>
        <v>-46.204999999999998</v>
      </c>
      <c r="P90" s="847">
        <f t="shared" ref="P90" si="191">N90+O90</f>
        <v>-2.1425899999627518E-4</v>
      </c>
      <c r="Q90" s="847">
        <f t="shared" ref="Q90" si="192">J90+J91</f>
        <v>0</v>
      </c>
      <c r="R90" s="847">
        <f t="shared" ref="R90" si="193">P90-Q90</f>
        <v>-2.1425899999627518E-4</v>
      </c>
      <c r="S90" s="780">
        <f>Q90/P90</f>
        <v>0</v>
      </c>
      <c r="T90" s="780">
        <f>(100%-+(R90/N90))</f>
        <v>1.0000046371603408</v>
      </c>
      <c r="V90" s="588">
        <v>0</v>
      </c>
      <c r="W90" s="588">
        <f t="shared" si="186"/>
        <v>0</v>
      </c>
      <c r="X90" s="378">
        <v>-46.204999999999998</v>
      </c>
      <c r="Y90" s="415">
        <f t="shared" si="188"/>
        <v>0</v>
      </c>
    </row>
    <row r="91" spans="1:25" s="378" customFormat="1" ht="15" customHeight="1">
      <c r="A91" s="46"/>
      <c r="B91" s="875"/>
      <c r="C91" s="823"/>
      <c r="D91" s="839"/>
      <c r="E91" s="840">
        <v>1.22429215E-2</v>
      </c>
      <c r="F91" s="321" t="s">
        <v>95</v>
      </c>
      <c r="G91" s="374">
        <f>+E90*$D$8</f>
        <v>16.870745827</v>
      </c>
      <c r="H91" s="79"/>
      <c r="I91" s="75">
        <f>G91+H91+K90</f>
        <v>-2.1425899999627518E-4</v>
      </c>
      <c r="J91" s="265"/>
      <c r="K91" s="87">
        <f t="shared" si="189"/>
        <v>-2.1425899999627518E-4</v>
      </c>
      <c r="L91" s="76">
        <f>J91/I91</f>
        <v>0</v>
      </c>
      <c r="M91" s="363">
        <v>43508</v>
      </c>
      <c r="N91" s="847"/>
      <c r="O91" s="847"/>
      <c r="P91" s="847"/>
      <c r="Q91" s="847"/>
      <c r="R91" s="847"/>
      <c r="S91" s="780"/>
      <c r="T91" s="780"/>
      <c r="V91" s="588">
        <v>0</v>
      </c>
      <c r="W91" s="588">
        <f t="shared" si="186"/>
        <v>0</v>
      </c>
      <c r="X91" s="378">
        <v>0</v>
      </c>
      <c r="Y91" s="415">
        <f t="shared" si="188"/>
        <v>0</v>
      </c>
    </row>
    <row r="92" spans="1:25" s="378" customFormat="1" ht="15" customHeight="1">
      <c r="A92" s="46">
        <v>3</v>
      </c>
      <c r="B92" s="875"/>
      <c r="C92" s="822" t="s">
        <v>401</v>
      </c>
      <c r="D92" s="839" t="s">
        <v>330</v>
      </c>
      <c r="E92" s="840">
        <v>1.3602421E-3</v>
      </c>
      <c r="F92" s="321" t="s">
        <v>35</v>
      </c>
      <c r="G92" s="374">
        <f>+E92*$D$6</f>
        <v>3.2591400716000001</v>
      </c>
      <c r="H92" s="79">
        <v>-5.133</v>
      </c>
      <c r="I92" s="75">
        <f>G92+H92</f>
        <v>-1.8738599283999999</v>
      </c>
      <c r="J92" s="369"/>
      <c r="K92" s="87">
        <f t="shared" si="189"/>
        <v>-1.8738599283999999</v>
      </c>
      <c r="L92" s="76">
        <f>J92/I92</f>
        <v>0</v>
      </c>
      <c r="M92" s="363">
        <v>43508</v>
      </c>
      <c r="N92" s="847">
        <f t="shared" ref="N92:O92" si="194">G92+G93</f>
        <v>5.1335536853999999</v>
      </c>
      <c r="O92" s="847">
        <f t="shared" si="194"/>
        <v>-5.133</v>
      </c>
      <c r="P92" s="847">
        <f t="shared" ref="P92" si="195">N92+O92</f>
        <v>5.5368539999989252E-4</v>
      </c>
      <c r="Q92" s="847">
        <f t="shared" ref="Q92" si="196">J92+J93</f>
        <v>0</v>
      </c>
      <c r="R92" s="847">
        <f t="shared" ref="R92" si="197">P92-Q92</f>
        <v>5.5368539999989252E-4</v>
      </c>
      <c r="S92" s="780">
        <f t="shared" ref="S92" si="198">Q92/P92</f>
        <v>0</v>
      </c>
      <c r="T92" s="780">
        <f>(100%-+(R92/N92))</f>
        <v>0.99989214383759639</v>
      </c>
      <c r="V92" s="588">
        <v>0</v>
      </c>
      <c r="W92" s="588">
        <f t="shared" si="186"/>
        <v>0</v>
      </c>
      <c r="X92" s="378">
        <v>-5.1340000000000003</v>
      </c>
      <c r="Y92" s="415">
        <f t="shared" si="188"/>
        <v>-1.000000000000334E-3</v>
      </c>
    </row>
    <row r="93" spans="1:25" s="378" customFormat="1" ht="15" customHeight="1">
      <c r="A93" s="46"/>
      <c r="B93" s="875"/>
      <c r="C93" s="823"/>
      <c r="D93" s="839"/>
      <c r="E93" s="840">
        <v>1.3602421E-3</v>
      </c>
      <c r="F93" s="321" t="s">
        <v>95</v>
      </c>
      <c r="G93" s="374">
        <f>+E92*$D$8</f>
        <v>1.8744136138</v>
      </c>
      <c r="H93" s="79"/>
      <c r="I93" s="75">
        <f>G93+H93+K92</f>
        <v>5.5368540000011457E-4</v>
      </c>
      <c r="J93" s="265"/>
      <c r="K93" s="87">
        <f t="shared" si="189"/>
        <v>5.5368540000011457E-4</v>
      </c>
      <c r="L93" s="76">
        <f>J93/I93</f>
        <v>0</v>
      </c>
      <c r="M93" s="363">
        <v>43508</v>
      </c>
      <c r="N93" s="847"/>
      <c r="O93" s="847"/>
      <c r="P93" s="847"/>
      <c r="Q93" s="847"/>
      <c r="R93" s="847"/>
      <c r="S93" s="780"/>
      <c r="T93" s="780"/>
      <c r="V93" s="588">
        <v>0</v>
      </c>
      <c r="W93" s="588">
        <f t="shared" si="186"/>
        <v>0</v>
      </c>
      <c r="X93" s="378">
        <v>0</v>
      </c>
      <c r="Y93" s="415">
        <f t="shared" si="188"/>
        <v>0</v>
      </c>
    </row>
    <row r="94" spans="1:25" s="378" customFormat="1" ht="15" customHeight="1">
      <c r="A94" s="46">
        <v>4</v>
      </c>
      <c r="B94" s="875"/>
      <c r="C94" s="822" t="s">
        <v>311</v>
      </c>
      <c r="D94" s="839" t="s">
        <v>312</v>
      </c>
      <c r="E94" s="865">
        <v>2.114129E-2</v>
      </c>
      <c r="F94" s="321" t="s">
        <v>35</v>
      </c>
      <c r="G94" s="374">
        <f>+E94*$D$6</f>
        <v>50.65453084</v>
      </c>
      <c r="H94" s="79">
        <v>-79.787999999999997</v>
      </c>
      <c r="I94" s="75">
        <f>G94+H94</f>
        <v>-29.133469159999997</v>
      </c>
      <c r="J94" s="369"/>
      <c r="K94" s="87">
        <f t="shared" si="189"/>
        <v>-29.133469159999997</v>
      </c>
      <c r="L94" s="76">
        <v>0</v>
      </c>
      <c r="M94" s="363">
        <v>43508</v>
      </c>
      <c r="N94" s="847">
        <f t="shared" ref="N94:O94" si="199">G94+G95</f>
        <v>79.787228459999994</v>
      </c>
      <c r="O94" s="847">
        <f t="shared" si="199"/>
        <v>-79.787999999999997</v>
      </c>
      <c r="P94" s="847">
        <f t="shared" ref="P94" si="200">N94+O94</f>
        <v>-7.7154000000234646E-4</v>
      </c>
      <c r="Q94" s="847">
        <f t="shared" ref="Q94" si="201">J94+J95</f>
        <v>0</v>
      </c>
      <c r="R94" s="847">
        <f t="shared" ref="R94" si="202">P94-Q94</f>
        <v>-7.7154000000234646E-4</v>
      </c>
      <c r="S94" s="780">
        <f t="shared" ref="S94" si="203">Q94/P94</f>
        <v>0</v>
      </c>
      <c r="T94" s="780">
        <f>(100%-+(R94/N94))</f>
        <v>1.0000096699686767</v>
      </c>
      <c r="V94" s="588">
        <v>0</v>
      </c>
      <c r="W94" s="588">
        <f t="shared" si="186"/>
        <v>0</v>
      </c>
      <c r="X94" s="378">
        <v>-79.787999999999997</v>
      </c>
      <c r="Y94" s="415">
        <f t="shared" si="188"/>
        <v>0</v>
      </c>
    </row>
    <row r="95" spans="1:25" s="378" customFormat="1" ht="15" customHeight="1">
      <c r="A95" s="46"/>
      <c r="B95" s="875"/>
      <c r="C95" s="823"/>
      <c r="D95" s="839"/>
      <c r="E95" s="865">
        <v>1.9612607800000001E-2</v>
      </c>
      <c r="F95" s="321" t="s">
        <v>95</v>
      </c>
      <c r="G95" s="374">
        <f>+E94*$D$8</f>
        <v>29.132697620000002</v>
      </c>
      <c r="H95" s="79"/>
      <c r="I95" s="75">
        <f>G95+H95+K94</f>
        <v>-7.7153999999524103E-4</v>
      </c>
      <c r="J95" s="265"/>
      <c r="K95" s="87">
        <f t="shared" si="189"/>
        <v>-7.7153999999524103E-4</v>
      </c>
      <c r="L95" s="76">
        <v>0</v>
      </c>
      <c r="M95" s="363">
        <v>43508</v>
      </c>
      <c r="N95" s="847"/>
      <c r="O95" s="847"/>
      <c r="P95" s="847"/>
      <c r="Q95" s="847"/>
      <c r="R95" s="847"/>
      <c r="S95" s="780"/>
      <c r="T95" s="780"/>
      <c r="V95" s="588">
        <v>0</v>
      </c>
      <c r="W95" s="588">
        <f t="shared" si="186"/>
        <v>0</v>
      </c>
      <c r="X95" s="378">
        <v>0</v>
      </c>
      <c r="Y95" s="415">
        <f t="shared" si="188"/>
        <v>0</v>
      </c>
    </row>
    <row r="96" spans="1:25" s="378" customFormat="1" ht="15" customHeight="1">
      <c r="A96" s="46">
        <v>6</v>
      </c>
      <c r="B96" s="875"/>
      <c r="C96" s="822" t="s">
        <v>305</v>
      </c>
      <c r="D96" s="839" t="s">
        <v>306</v>
      </c>
      <c r="E96" s="840">
        <v>8.3505049999999994E-3</v>
      </c>
      <c r="F96" s="321" t="s">
        <v>35</v>
      </c>
      <c r="G96" s="374">
        <f>+E96*$D$6</f>
        <v>20.007809979999998</v>
      </c>
      <c r="H96" s="79">
        <f>-31.515</f>
        <v>-31.515000000000001</v>
      </c>
      <c r="I96" s="75">
        <f>G96+H96</f>
        <v>-11.507190020000003</v>
      </c>
      <c r="J96" s="369"/>
      <c r="K96" s="87">
        <f t="shared" si="189"/>
        <v>-11.507190020000003</v>
      </c>
      <c r="L96" s="76">
        <f t="shared" ref="L96:L111" si="204">J96/I96</f>
        <v>0</v>
      </c>
      <c r="M96" s="363">
        <v>43528</v>
      </c>
      <c r="N96" s="847">
        <f t="shared" ref="N96:O96" si="205">G96+G97</f>
        <v>31.514805869999996</v>
      </c>
      <c r="O96" s="847">
        <f t="shared" si="205"/>
        <v>-31.515000000000001</v>
      </c>
      <c r="P96" s="847">
        <f t="shared" ref="P96" si="206">N96+O96</f>
        <v>-1.9413000000412239E-4</v>
      </c>
      <c r="Q96" s="847">
        <f t="shared" ref="Q96" si="207">J96+J97</f>
        <v>0</v>
      </c>
      <c r="R96" s="847">
        <f t="shared" ref="R96" si="208">P96-Q96</f>
        <v>-1.9413000000412239E-4</v>
      </c>
      <c r="S96" s="780">
        <f t="shared" ref="S96" si="209">Q96/P96</f>
        <v>0</v>
      </c>
      <c r="T96" s="780">
        <f>(100%-+(R96/N96))</f>
        <v>1.0000061599617909</v>
      </c>
      <c r="V96" s="588">
        <v>0</v>
      </c>
      <c r="W96" s="588">
        <f t="shared" si="186"/>
        <v>0</v>
      </c>
      <c r="X96" s="378">
        <v>-31.515000000000001</v>
      </c>
      <c r="Y96" s="415">
        <f t="shared" si="188"/>
        <v>0</v>
      </c>
    </row>
    <row r="97" spans="1:25" s="378" customFormat="1" ht="15" customHeight="1">
      <c r="A97" s="46"/>
      <c r="B97" s="875"/>
      <c r="C97" s="823"/>
      <c r="D97" s="839"/>
      <c r="E97" s="840">
        <v>5.9917915000000004E-3</v>
      </c>
      <c r="F97" s="321" t="s">
        <v>95</v>
      </c>
      <c r="G97" s="374">
        <f>+E96*$D$8</f>
        <v>11.506995889999999</v>
      </c>
      <c r="H97" s="79"/>
      <c r="I97" s="75">
        <f>G97+H97+K96</f>
        <v>-1.9413000000412239E-4</v>
      </c>
      <c r="J97" s="265"/>
      <c r="K97" s="87">
        <f t="shared" si="189"/>
        <v>-1.9413000000412239E-4</v>
      </c>
      <c r="L97" s="76">
        <f t="shared" si="204"/>
        <v>0</v>
      </c>
      <c r="M97" s="363">
        <v>43528</v>
      </c>
      <c r="N97" s="847"/>
      <c r="O97" s="847"/>
      <c r="P97" s="847"/>
      <c r="Q97" s="847"/>
      <c r="R97" s="847"/>
      <c r="S97" s="780"/>
      <c r="T97" s="780"/>
      <c r="V97" s="588">
        <v>0</v>
      </c>
      <c r="W97" s="588">
        <f t="shared" si="186"/>
        <v>0</v>
      </c>
      <c r="X97" s="378">
        <v>0</v>
      </c>
      <c r="Y97" s="415">
        <f t="shared" si="188"/>
        <v>0</v>
      </c>
    </row>
    <row r="98" spans="1:25" s="378" customFormat="1" ht="15" customHeight="1">
      <c r="A98" s="46">
        <v>7</v>
      </c>
      <c r="B98" s="875"/>
      <c r="C98" s="822" t="s">
        <v>331</v>
      </c>
      <c r="D98" s="839" t="s">
        <v>332</v>
      </c>
      <c r="E98" s="865">
        <v>1.7838174E-3</v>
      </c>
      <c r="F98" s="321" t="s">
        <v>35</v>
      </c>
      <c r="G98" s="374">
        <f>+E98*$D$6</f>
        <v>4.2740264903999998</v>
      </c>
      <c r="H98" s="79"/>
      <c r="I98" s="75">
        <f>G98+H98</f>
        <v>4.2740264903999998</v>
      </c>
      <c r="J98" s="369"/>
      <c r="K98" s="87">
        <f t="shared" si="189"/>
        <v>4.2740264903999998</v>
      </c>
      <c r="L98" s="76">
        <f t="shared" si="204"/>
        <v>0</v>
      </c>
      <c r="M98" s="318" t="s">
        <v>30</v>
      </c>
      <c r="N98" s="843">
        <f t="shared" ref="N98:O98" si="210">G98+G99</f>
        <v>6.7321268675999999</v>
      </c>
      <c r="O98" s="838">
        <f t="shared" si="210"/>
        <v>0</v>
      </c>
      <c r="P98" s="838">
        <f t="shared" ref="P98" si="211">N98+O98</f>
        <v>6.7321268675999999</v>
      </c>
      <c r="Q98" s="838">
        <f t="shared" ref="Q98" si="212">J98+J99</f>
        <v>0</v>
      </c>
      <c r="R98" s="838">
        <f t="shared" ref="R98" si="213">P98-Q98</f>
        <v>6.7321268675999999</v>
      </c>
      <c r="S98" s="817">
        <f t="shared" ref="S98" si="214">Q98/P98</f>
        <v>0</v>
      </c>
      <c r="T98" s="816">
        <f>(100%-+(R98/N98))</f>
        <v>0</v>
      </c>
      <c r="V98" s="588">
        <v>0</v>
      </c>
      <c r="W98" s="588">
        <f t="shared" si="186"/>
        <v>0</v>
      </c>
      <c r="X98" s="378">
        <v>0</v>
      </c>
      <c r="Y98" s="415">
        <f t="shared" si="188"/>
        <v>0</v>
      </c>
    </row>
    <row r="99" spans="1:25" s="378" customFormat="1" ht="15" customHeight="1">
      <c r="A99" s="46"/>
      <c r="B99" s="875"/>
      <c r="C99" s="823"/>
      <c r="D99" s="839"/>
      <c r="E99" s="865">
        <v>1.7838174E-3</v>
      </c>
      <c r="F99" s="321" t="s">
        <v>95</v>
      </c>
      <c r="G99" s="374">
        <f>+E98*$D$8</f>
        <v>2.4581003772000001</v>
      </c>
      <c r="H99" s="79"/>
      <c r="I99" s="75">
        <f>G99+H99+K98</f>
        <v>6.7321268675999999</v>
      </c>
      <c r="J99" s="265"/>
      <c r="K99" s="87">
        <f t="shared" si="189"/>
        <v>6.7321268675999999</v>
      </c>
      <c r="L99" s="76">
        <f t="shared" si="204"/>
        <v>0</v>
      </c>
      <c r="M99" s="318" t="s">
        <v>30</v>
      </c>
      <c r="N99" s="843"/>
      <c r="O99" s="838"/>
      <c r="P99" s="838"/>
      <c r="Q99" s="838"/>
      <c r="R99" s="838"/>
      <c r="S99" s="817"/>
      <c r="T99" s="816"/>
      <c r="V99" s="588">
        <v>0</v>
      </c>
      <c r="W99" s="588">
        <f t="shared" si="186"/>
        <v>0</v>
      </c>
      <c r="X99" s="378">
        <v>0</v>
      </c>
      <c r="Y99" s="415">
        <f t="shared" si="188"/>
        <v>0</v>
      </c>
    </row>
    <row r="100" spans="1:25" s="378" customFormat="1" ht="15" customHeight="1">
      <c r="A100" s="46">
        <v>8</v>
      </c>
      <c r="B100" s="875"/>
      <c r="C100" s="822" t="s">
        <v>527</v>
      </c>
      <c r="D100" s="839" t="s">
        <v>301</v>
      </c>
      <c r="E100" s="840">
        <v>3.3082570000000002E-3</v>
      </c>
      <c r="F100" s="321" t="s">
        <v>35</v>
      </c>
      <c r="G100" s="374">
        <f>+E100*$D$6</f>
        <v>7.9265837720000007</v>
      </c>
      <c r="H100" s="79"/>
      <c r="I100" s="75">
        <f>G100+H100</f>
        <v>7.9265837720000007</v>
      </c>
      <c r="J100" s="369">
        <v>11.705555555555554</v>
      </c>
      <c r="K100" s="87">
        <f t="shared" si="189"/>
        <v>-3.7789717835555532</v>
      </c>
      <c r="L100" s="508">
        <f t="shared" si="204"/>
        <v>1.4767465899880421</v>
      </c>
      <c r="M100" s="560">
        <v>43613</v>
      </c>
      <c r="N100" s="843">
        <f t="shared" ref="N100:O100" si="215">G100+G101</f>
        <v>12.485361918000001</v>
      </c>
      <c r="O100" s="838">
        <f t="shared" si="215"/>
        <v>0</v>
      </c>
      <c r="P100" s="838">
        <f t="shared" ref="P100" si="216">N100+O100</f>
        <v>12.485361918000001</v>
      </c>
      <c r="Q100" s="838">
        <f t="shared" ref="Q100" si="217">J100+J101</f>
        <v>11.705555555555554</v>
      </c>
      <c r="R100" s="838">
        <f t="shared" ref="R100" si="218">P100-Q100</f>
        <v>0.77980636244444668</v>
      </c>
      <c r="S100" s="817">
        <f t="shared" ref="S100" si="219">Q100/P100</f>
        <v>0.93754235018848686</v>
      </c>
      <c r="T100" s="816">
        <f>(100%-+(R100/N100))</f>
        <v>0.93754235018848686</v>
      </c>
      <c r="V100" s="588">
        <v>11.705555555555554</v>
      </c>
      <c r="W100" s="588">
        <f t="shared" si="186"/>
        <v>0</v>
      </c>
      <c r="X100" s="378">
        <v>0</v>
      </c>
      <c r="Y100" s="415">
        <f t="shared" si="188"/>
        <v>0</v>
      </c>
    </row>
    <row r="101" spans="1:25" s="378" customFormat="1" ht="15" customHeight="1">
      <c r="A101" s="46"/>
      <c r="B101" s="875"/>
      <c r="C101" s="823"/>
      <c r="D101" s="839"/>
      <c r="E101" s="840">
        <v>3.8237229999999998E-3</v>
      </c>
      <c r="F101" s="321" t="s">
        <v>95</v>
      </c>
      <c r="G101" s="374">
        <f>+E100*$D$8</f>
        <v>4.5587781459999999</v>
      </c>
      <c r="H101" s="79"/>
      <c r="I101" s="75">
        <f>G101+H101+K100</f>
        <v>0.77980636244444668</v>
      </c>
      <c r="J101" s="265"/>
      <c r="K101" s="87">
        <f t="shared" si="189"/>
        <v>0.77980636244444668</v>
      </c>
      <c r="L101" s="76">
        <f t="shared" si="204"/>
        <v>0</v>
      </c>
      <c r="M101" s="560"/>
      <c r="N101" s="843"/>
      <c r="O101" s="838"/>
      <c r="P101" s="838"/>
      <c r="Q101" s="838"/>
      <c r="R101" s="838"/>
      <c r="S101" s="817"/>
      <c r="T101" s="816"/>
      <c r="V101" s="588">
        <v>0</v>
      </c>
      <c r="W101" s="588">
        <f t="shared" si="186"/>
        <v>0</v>
      </c>
      <c r="X101" s="378">
        <v>0</v>
      </c>
      <c r="Y101" s="415">
        <f t="shared" si="188"/>
        <v>0</v>
      </c>
    </row>
    <row r="102" spans="1:25" s="378" customFormat="1" ht="15" customHeight="1">
      <c r="A102" s="46">
        <v>9</v>
      </c>
      <c r="B102" s="875"/>
      <c r="C102" s="822" t="s">
        <v>314</v>
      </c>
      <c r="D102" s="839" t="s">
        <v>315</v>
      </c>
      <c r="E102" s="840">
        <v>1.41230929E-2</v>
      </c>
      <c r="F102" s="321" t="s">
        <v>35</v>
      </c>
      <c r="G102" s="374">
        <f>+E102*$D$6</f>
        <v>33.838930588400004</v>
      </c>
      <c r="H102" s="79">
        <v>-49.481000000000002</v>
      </c>
      <c r="I102" s="75">
        <f>G102+H102</f>
        <v>-15.642069411599998</v>
      </c>
      <c r="J102" s="479">
        <v>0.54444444444444451</v>
      </c>
      <c r="K102" s="87">
        <f t="shared" si="189"/>
        <v>-16.186513856044442</v>
      </c>
      <c r="L102" s="508">
        <f t="shared" si="204"/>
        <v>-3.4806420436971727E-2</v>
      </c>
      <c r="M102" s="362">
        <v>43524</v>
      </c>
      <c r="N102" s="843">
        <f t="shared" ref="N102:O102" si="220">G102+G103</f>
        <v>53.3005526046</v>
      </c>
      <c r="O102" s="838">
        <f t="shared" si="220"/>
        <v>-49.481000000000002</v>
      </c>
      <c r="P102" s="838">
        <f t="shared" ref="P102" si="221">N102+O102</f>
        <v>3.8195526045999983</v>
      </c>
      <c r="Q102" s="838">
        <f t="shared" ref="Q102" si="222">J102+J103</f>
        <v>0.54444444444444451</v>
      </c>
      <c r="R102" s="838">
        <f t="shared" ref="R102" si="223">P102-Q102</f>
        <v>3.2751081601555541</v>
      </c>
      <c r="S102" s="817">
        <f t="shared" ref="S102" si="224">Q102/P102</f>
        <v>0.14254141801549067</v>
      </c>
      <c r="T102" s="816">
        <f>(100%-+(R102/N102))</f>
        <v>0.93855395488201931</v>
      </c>
      <c r="V102" s="588">
        <v>0.54444444444444451</v>
      </c>
      <c r="W102" s="588">
        <f t="shared" si="186"/>
        <v>0</v>
      </c>
      <c r="X102" s="378">
        <v>-49.481000000000002</v>
      </c>
      <c r="Y102" s="415">
        <f t="shared" si="188"/>
        <v>0</v>
      </c>
    </row>
    <row r="103" spans="1:25" s="378" customFormat="1" ht="15" customHeight="1">
      <c r="A103" s="46"/>
      <c r="B103" s="875"/>
      <c r="C103" s="823"/>
      <c r="D103" s="839"/>
      <c r="E103" s="840">
        <v>1.3707184799999999E-2</v>
      </c>
      <c r="F103" s="321" t="s">
        <v>95</v>
      </c>
      <c r="G103" s="374">
        <f>+E102*$D$8</f>
        <v>19.4616220162</v>
      </c>
      <c r="H103" s="79"/>
      <c r="I103" s="75">
        <f>G103+H103+K102</f>
        <v>3.2751081601555576</v>
      </c>
      <c r="J103" s="265"/>
      <c r="K103" s="87">
        <f t="shared" si="189"/>
        <v>3.2751081601555576</v>
      </c>
      <c r="L103" s="76">
        <f t="shared" si="204"/>
        <v>0</v>
      </c>
      <c r="M103" s="318" t="s">
        <v>30</v>
      </c>
      <c r="N103" s="843"/>
      <c r="O103" s="838"/>
      <c r="P103" s="838"/>
      <c r="Q103" s="838"/>
      <c r="R103" s="838"/>
      <c r="S103" s="817"/>
      <c r="T103" s="816"/>
      <c r="V103" s="588">
        <v>0</v>
      </c>
      <c r="W103" s="588">
        <f t="shared" si="186"/>
        <v>0</v>
      </c>
      <c r="X103" s="378">
        <v>0</v>
      </c>
      <c r="Y103" s="415">
        <f t="shared" si="188"/>
        <v>0</v>
      </c>
    </row>
    <row r="104" spans="1:25" s="378" customFormat="1" ht="15" customHeight="1">
      <c r="A104" s="46">
        <v>10</v>
      </c>
      <c r="B104" s="875"/>
      <c r="C104" s="822" t="s">
        <v>318</v>
      </c>
      <c r="D104" s="871">
        <v>833</v>
      </c>
      <c r="E104" s="865">
        <v>1.6850338999999999E-2</v>
      </c>
      <c r="F104" s="321" t="s">
        <v>35</v>
      </c>
      <c r="G104" s="498">
        <f>+E104*$D$9-0.001</f>
        <v>63.592179385999998</v>
      </c>
      <c r="H104" s="79">
        <f>-50.126-0.34</f>
        <v>-50.466000000000001</v>
      </c>
      <c r="I104" s="75">
        <f>G104+H104</f>
        <v>13.126179385999997</v>
      </c>
      <c r="J104" s="504">
        <v>7.3605555555555551</v>
      </c>
      <c r="K104" s="87">
        <f t="shared" si="189"/>
        <v>5.7656238304444418</v>
      </c>
      <c r="L104" s="76">
        <f t="shared" si="204"/>
        <v>0.56075384459594624</v>
      </c>
      <c r="M104" s="512"/>
      <c r="N104" s="843">
        <f t="shared" ref="N104:O104" si="225">G104+G105</f>
        <v>63.593179385999996</v>
      </c>
      <c r="O104" s="838">
        <f t="shared" si="225"/>
        <v>-50.466000000000001</v>
      </c>
      <c r="P104" s="838">
        <f t="shared" ref="P104" si="226">N104+O104</f>
        <v>13.127179385999995</v>
      </c>
      <c r="Q104" s="838">
        <f t="shared" ref="Q104" si="227">J104+J105</f>
        <v>7.3605555555555551</v>
      </c>
      <c r="R104" s="838">
        <f t="shared" ref="R104" si="228">P104-Q104</f>
        <v>5.7666238304444395</v>
      </c>
      <c r="S104" s="817">
        <f t="shared" ref="S104" si="229">Q104/P104</f>
        <v>0.56071112758659436</v>
      </c>
      <c r="T104" s="816">
        <f>(100%-+(R104/N104))</f>
        <v>0.90932008925922703</v>
      </c>
      <c r="V104" s="588">
        <v>7.3605555555555551</v>
      </c>
      <c r="W104" s="588">
        <f t="shared" si="186"/>
        <v>0</v>
      </c>
      <c r="X104" s="378">
        <v>-50.466000000000001</v>
      </c>
      <c r="Y104" s="415">
        <f t="shared" si="188"/>
        <v>0</v>
      </c>
    </row>
    <row r="105" spans="1:25" s="378" customFormat="1" ht="15" customHeight="1">
      <c r="A105" s="46"/>
      <c r="B105" s="875"/>
      <c r="C105" s="823"/>
      <c r="D105" s="872"/>
      <c r="E105" s="865">
        <v>1.92966044E-2</v>
      </c>
      <c r="F105" s="321" t="s">
        <v>95</v>
      </c>
      <c r="G105" s="374">
        <f>0.001</f>
        <v>1E-3</v>
      </c>
      <c r="H105" s="79"/>
      <c r="I105" s="75">
        <f>G105+H105+K104</f>
        <v>5.7666238304444422</v>
      </c>
      <c r="J105" s="503"/>
      <c r="K105" s="87">
        <f t="shared" si="189"/>
        <v>5.7666238304444422</v>
      </c>
      <c r="L105" s="76">
        <f t="shared" si="204"/>
        <v>0</v>
      </c>
      <c r="M105" s="512" t="s">
        <v>30</v>
      </c>
      <c r="N105" s="843"/>
      <c r="O105" s="838"/>
      <c r="P105" s="838"/>
      <c r="Q105" s="838"/>
      <c r="R105" s="838"/>
      <c r="S105" s="817"/>
      <c r="T105" s="816"/>
      <c r="V105" s="588">
        <v>0</v>
      </c>
      <c r="W105" s="588">
        <f t="shared" si="186"/>
        <v>0</v>
      </c>
      <c r="X105" s="378">
        <v>0</v>
      </c>
      <c r="Y105" s="415">
        <f t="shared" si="188"/>
        <v>0</v>
      </c>
    </row>
    <row r="106" spans="1:25" s="378" customFormat="1" ht="15" customHeight="1">
      <c r="A106" s="46">
        <v>11</v>
      </c>
      <c r="B106" s="875"/>
      <c r="C106" s="822" t="s">
        <v>378</v>
      </c>
      <c r="D106" s="839" t="s">
        <v>288</v>
      </c>
      <c r="E106" s="865">
        <v>4.0591379999999999E-4</v>
      </c>
      <c r="F106" s="321" t="s">
        <v>35</v>
      </c>
      <c r="G106" s="374">
        <f>+E106*$D$6</f>
        <v>0.97256946479999995</v>
      </c>
      <c r="H106" s="79"/>
      <c r="I106" s="75">
        <f>G106+H106</f>
        <v>0.97256946479999995</v>
      </c>
      <c r="J106" s="369">
        <v>1.1622222222222223</v>
      </c>
      <c r="K106" s="87">
        <f t="shared" si="189"/>
        <v>-0.18965275742222232</v>
      </c>
      <c r="L106" s="508">
        <f t="shared" si="204"/>
        <v>1.1950017600657683</v>
      </c>
      <c r="M106" s="560">
        <v>43609</v>
      </c>
      <c r="N106" s="843">
        <f>G106+G107</f>
        <v>1.5319186812000001</v>
      </c>
      <c r="O106" s="838">
        <f t="shared" ref="O106" si="230">H106+H107</f>
        <v>0</v>
      </c>
      <c r="P106" s="838">
        <f t="shared" ref="P106" si="231">N106+O106</f>
        <v>1.5319186812000001</v>
      </c>
      <c r="Q106" s="838">
        <f t="shared" ref="Q106" si="232">J106+J107</f>
        <v>1.1622222222222223</v>
      </c>
      <c r="R106" s="838">
        <f t="shared" ref="R106" si="233">P106-Q106</f>
        <v>0.36969645897777781</v>
      </c>
      <c r="S106" s="817">
        <f t="shared" ref="S106" si="234">Q106/P106</f>
        <v>0.75867096373014853</v>
      </c>
      <c r="T106" s="816">
        <f>(100%-+(R106/N106))</f>
        <v>0.75867096373014853</v>
      </c>
      <c r="V106" s="588">
        <v>1.1622222222222223</v>
      </c>
      <c r="W106" s="588">
        <f t="shared" si="186"/>
        <v>0</v>
      </c>
      <c r="X106" s="378">
        <v>0</v>
      </c>
      <c r="Y106" s="415">
        <f t="shared" si="188"/>
        <v>0</v>
      </c>
    </row>
    <row r="107" spans="1:25" s="378" customFormat="1" ht="15" customHeight="1">
      <c r="A107" s="46"/>
      <c r="B107" s="875"/>
      <c r="C107" s="823"/>
      <c r="D107" s="839"/>
      <c r="E107" s="865">
        <v>4.0591379999999999E-4</v>
      </c>
      <c r="F107" s="321" t="s">
        <v>95</v>
      </c>
      <c r="G107" s="374">
        <f>+E106*$D$8</f>
        <v>0.55934921640000002</v>
      </c>
      <c r="H107" s="79"/>
      <c r="I107" s="75">
        <f>G107+H107+K106</f>
        <v>0.3696964589777777</v>
      </c>
      <c r="J107" s="265"/>
      <c r="K107" s="87">
        <f t="shared" si="189"/>
        <v>0.3696964589777777</v>
      </c>
      <c r="L107" s="76">
        <f t="shared" si="204"/>
        <v>0</v>
      </c>
      <c r="M107" s="560" t="s">
        <v>30</v>
      </c>
      <c r="N107" s="843"/>
      <c r="O107" s="838"/>
      <c r="P107" s="838"/>
      <c r="Q107" s="838"/>
      <c r="R107" s="838"/>
      <c r="S107" s="817"/>
      <c r="T107" s="816"/>
      <c r="V107" s="588">
        <v>0</v>
      </c>
      <c r="W107" s="588">
        <f t="shared" si="186"/>
        <v>0</v>
      </c>
      <c r="X107" s="378">
        <v>0</v>
      </c>
      <c r="Y107" s="415">
        <f t="shared" si="188"/>
        <v>0</v>
      </c>
    </row>
    <row r="108" spans="1:25" s="378" customFormat="1" ht="15" customHeight="1">
      <c r="A108" s="46">
        <v>13</v>
      </c>
      <c r="B108" s="875"/>
      <c r="C108" s="822" t="s">
        <v>300</v>
      </c>
      <c r="D108" s="839">
        <v>4650</v>
      </c>
      <c r="E108" s="840">
        <v>4.7307310000000002E-3</v>
      </c>
      <c r="F108" s="321" t="s">
        <v>35</v>
      </c>
      <c r="G108" s="374">
        <f>+E108*$D$6</f>
        <v>11.334831476</v>
      </c>
      <c r="H108" s="79">
        <v>-17.853999999999999</v>
      </c>
      <c r="I108" s="323">
        <f>G108+H108</f>
        <v>-6.5191685239999995</v>
      </c>
      <c r="J108" s="369"/>
      <c r="K108" s="88">
        <f t="shared" si="189"/>
        <v>-6.5191685239999995</v>
      </c>
      <c r="L108" s="76">
        <f t="shared" si="204"/>
        <v>0</v>
      </c>
      <c r="M108" s="363">
        <v>43508</v>
      </c>
      <c r="N108" s="847">
        <f t="shared" ref="N108:O108" si="235">G108+G109</f>
        <v>17.853778794</v>
      </c>
      <c r="O108" s="847">
        <f t="shared" si="235"/>
        <v>-17.853999999999999</v>
      </c>
      <c r="P108" s="847">
        <f t="shared" ref="P108" si="236">N108+O108</f>
        <v>-2.2120599999908563E-4</v>
      </c>
      <c r="Q108" s="847">
        <f t="shared" ref="Q108" si="237">J108+J109</f>
        <v>0</v>
      </c>
      <c r="R108" s="847">
        <f t="shared" ref="R108" si="238">P108-Q108</f>
        <v>-2.2120599999908563E-4</v>
      </c>
      <c r="S108" s="780">
        <f t="shared" ref="S108" si="239">Q108/P108</f>
        <v>0</v>
      </c>
      <c r="T108" s="780">
        <f>(100%-+(R108/N108))</f>
        <v>1.000012389870097</v>
      </c>
      <c r="V108" s="588">
        <v>0</v>
      </c>
      <c r="W108" s="588">
        <f t="shared" si="186"/>
        <v>0</v>
      </c>
      <c r="X108" s="378">
        <v>-17.853999999999999</v>
      </c>
      <c r="Y108" s="415">
        <f t="shared" si="188"/>
        <v>0</v>
      </c>
    </row>
    <row r="109" spans="1:25" s="378" customFormat="1" ht="15" customHeight="1">
      <c r="A109" s="46"/>
      <c r="B109" s="875"/>
      <c r="C109" s="823"/>
      <c r="D109" s="839"/>
      <c r="E109" s="840">
        <v>4.7307310000000002E-3</v>
      </c>
      <c r="F109" s="321" t="s">
        <v>95</v>
      </c>
      <c r="G109" s="374">
        <f>+E108*$D$8</f>
        <v>6.5189473180000004</v>
      </c>
      <c r="H109" s="416"/>
      <c r="I109" s="323">
        <f>G109+H109+K108</f>
        <v>-2.2120599999908563E-4</v>
      </c>
      <c r="J109" s="265"/>
      <c r="K109" s="88">
        <f t="shared" si="189"/>
        <v>-2.2120599999908563E-4</v>
      </c>
      <c r="L109" s="76">
        <f t="shared" si="204"/>
        <v>0</v>
      </c>
      <c r="M109" s="363">
        <v>43508</v>
      </c>
      <c r="N109" s="847"/>
      <c r="O109" s="847"/>
      <c r="P109" s="847"/>
      <c r="Q109" s="847"/>
      <c r="R109" s="847"/>
      <c r="S109" s="780"/>
      <c r="T109" s="780"/>
      <c r="V109" s="588">
        <v>0</v>
      </c>
      <c r="W109" s="588">
        <f t="shared" si="186"/>
        <v>0</v>
      </c>
      <c r="X109" s="378">
        <v>0</v>
      </c>
      <c r="Y109" s="415">
        <f t="shared" si="188"/>
        <v>0</v>
      </c>
    </row>
    <row r="110" spans="1:25" s="378" customFormat="1" ht="15" customHeight="1">
      <c r="A110" s="46">
        <v>14</v>
      </c>
      <c r="B110" s="875"/>
      <c r="C110" s="822" t="s">
        <v>307</v>
      </c>
      <c r="D110" s="839" t="s">
        <v>308</v>
      </c>
      <c r="E110" s="865">
        <v>1.3130843999999999E-2</v>
      </c>
      <c r="F110" s="321" t="s">
        <v>35</v>
      </c>
      <c r="G110" s="374">
        <f>+E110*$D$6</f>
        <v>31.461502223999997</v>
      </c>
      <c r="H110" s="79">
        <v>-49.555999999999997</v>
      </c>
      <c r="I110" s="75">
        <f>G110+H110</f>
        <v>-18.094497776000001</v>
      </c>
      <c r="J110" s="369"/>
      <c r="K110" s="87">
        <f t="shared" si="189"/>
        <v>-18.094497776000001</v>
      </c>
      <c r="L110" s="76">
        <f t="shared" si="204"/>
        <v>0</v>
      </c>
      <c r="M110" s="363">
        <v>43508</v>
      </c>
      <c r="N110" s="847">
        <f t="shared" ref="N110:O110" si="240">G110+G111</f>
        <v>49.555805255999999</v>
      </c>
      <c r="O110" s="847">
        <f t="shared" si="240"/>
        <v>-49.555999999999997</v>
      </c>
      <c r="P110" s="847">
        <f t="shared" ref="P110" si="241">N110+O110</f>
        <v>-1.9474399999808156E-4</v>
      </c>
      <c r="Q110" s="847">
        <f t="shared" ref="Q110" si="242">J110+J111</f>
        <v>0</v>
      </c>
      <c r="R110" s="847">
        <f t="shared" ref="R110" si="243">P110-Q110</f>
        <v>-1.9474399999808156E-4</v>
      </c>
      <c r="S110" s="780">
        <f t="shared" ref="S110" si="244">Q110/P110</f>
        <v>0</v>
      </c>
      <c r="T110" s="780">
        <f>(100%-+(R110/N110))</f>
        <v>1.0000039297918577</v>
      </c>
      <c r="V110" s="588">
        <v>0</v>
      </c>
      <c r="W110" s="588">
        <f t="shared" si="186"/>
        <v>0</v>
      </c>
      <c r="X110" s="378">
        <v>-49.555999999999997</v>
      </c>
      <c r="Y110" s="415">
        <f t="shared" si="188"/>
        <v>0</v>
      </c>
    </row>
    <row r="111" spans="1:25" s="378" customFormat="1" ht="15" customHeight="1">
      <c r="A111" s="46"/>
      <c r="B111" s="875"/>
      <c r="C111" s="823"/>
      <c r="D111" s="839"/>
      <c r="E111" s="865">
        <v>1.1902403799999999E-2</v>
      </c>
      <c r="F111" s="321" t="s">
        <v>95</v>
      </c>
      <c r="G111" s="374">
        <f>+E110*$D$8</f>
        <v>18.094303031999999</v>
      </c>
      <c r="H111" s="79"/>
      <c r="I111" s="75">
        <f>G111+H111+K110</f>
        <v>-1.9474400000163428E-4</v>
      </c>
      <c r="J111" s="265"/>
      <c r="K111" s="87">
        <f t="shared" si="189"/>
        <v>-1.9474400000163428E-4</v>
      </c>
      <c r="L111" s="76">
        <f t="shared" si="204"/>
        <v>0</v>
      </c>
      <c r="M111" s="363">
        <v>43508</v>
      </c>
      <c r="N111" s="847"/>
      <c r="O111" s="847"/>
      <c r="P111" s="847"/>
      <c r="Q111" s="847"/>
      <c r="R111" s="847"/>
      <c r="S111" s="780"/>
      <c r="T111" s="780"/>
      <c r="V111" s="588">
        <v>0</v>
      </c>
      <c r="W111" s="588">
        <f t="shared" si="186"/>
        <v>0</v>
      </c>
      <c r="X111" s="378">
        <v>0</v>
      </c>
      <c r="Y111" s="415">
        <f t="shared" si="188"/>
        <v>0</v>
      </c>
    </row>
    <row r="112" spans="1:25" s="378" customFormat="1" ht="15" customHeight="1">
      <c r="A112" s="46">
        <v>15</v>
      </c>
      <c r="B112" s="875"/>
      <c r="C112" s="822" t="s">
        <v>400</v>
      </c>
      <c r="D112" s="839" t="s">
        <v>304</v>
      </c>
      <c r="E112" s="840">
        <v>9.1363445000000008E-3</v>
      </c>
      <c r="F112" s="321" t="s">
        <v>35</v>
      </c>
      <c r="G112" s="374">
        <f>+E112*$D$6</f>
        <v>21.890681422000004</v>
      </c>
      <c r="H112" s="79">
        <v>-34.481000000000002</v>
      </c>
      <c r="I112" s="75">
        <f>G112+H112</f>
        <v>-12.590318577999998</v>
      </c>
      <c r="J112" s="369"/>
      <c r="K112" s="87">
        <f t="shared" si="189"/>
        <v>-12.590318577999998</v>
      </c>
      <c r="L112" s="76">
        <v>0</v>
      </c>
      <c r="M112" s="363">
        <v>43508</v>
      </c>
      <c r="N112" s="847">
        <f t="shared" ref="N112:O112" si="245">G112+G113</f>
        <v>34.480564143000002</v>
      </c>
      <c r="O112" s="847">
        <f t="shared" si="245"/>
        <v>-34.481000000000002</v>
      </c>
      <c r="P112" s="847">
        <f t="shared" ref="P112" si="246">N112+O112</f>
        <v>-4.3585699999937333E-4</v>
      </c>
      <c r="Q112" s="847">
        <f t="shared" ref="Q112" si="247">J112+J113</f>
        <v>0</v>
      </c>
      <c r="R112" s="847">
        <f t="shared" ref="R112" si="248">P112-Q112</f>
        <v>-4.3585699999937333E-4</v>
      </c>
      <c r="S112" s="780">
        <f t="shared" ref="S112" si="249">Q112/P112</f>
        <v>0</v>
      </c>
      <c r="T112" s="780">
        <f>(100%-+(R112/N112))</f>
        <v>1.0000126406574497</v>
      </c>
      <c r="V112" s="588">
        <v>0</v>
      </c>
      <c r="W112" s="588">
        <f t="shared" si="186"/>
        <v>0</v>
      </c>
      <c r="X112" s="378">
        <v>-34.481000000000002</v>
      </c>
      <c r="Y112" s="415">
        <f t="shared" si="188"/>
        <v>0</v>
      </c>
    </row>
    <row r="113" spans="1:25" s="378" customFormat="1" ht="15" customHeight="1">
      <c r="A113" s="46"/>
      <c r="B113" s="875"/>
      <c r="C113" s="823"/>
      <c r="D113" s="839"/>
      <c r="E113" s="840">
        <v>9.1363445000000008E-3</v>
      </c>
      <c r="F113" s="321" t="s">
        <v>95</v>
      </c>
      <c r="G113" s="374">
        <f>+E112*$D$8</f>
        <v>12.589882721</v>
      </c>
      <c r="H113" s="79"/>
      <c r="I113" s="75">
        <f>G113+H113+K112</f>
        <v>-4.3585699999759697E-4</v>
      </c>
      <c r="J113" s="265"/>
      <c r="K113" s="87">
        <f t="shared" si="189"/>
        <v>-4.3585699999759697E-4</v>
      </c>
      <c r="L113" s="76">
        <v>0</v>
      </c>
      <c r="M113" s="363">
        <v>43508</v>
      </c>
      <c r="N113" s="847"/>
      <c r="O113" s="847"/>
      <c r="P113" s="847"/>
      <c r="Q113" s="847"/>
      <c r="R113" s="847"/>
      <c r="S113" s="780"/>
      <c r="T113" s="780"/>
      <c r="V113" s="588">
        <v>0</v>
      </c>
      <c r="W113" s="588">
        <f t="shared" si="186"/>
        <v>0</v>
      </c>
      <c r="X113" s="378">
        <v>0</v>
      </c>
      <c r="Y113" s="415">
        <f t="shared" si="188"/>
        <v>0</v>
      </c>
    </row>
    <row r="114" spans="1:25" s="378" customFormat="1" ht="15" customHeight="1">
      <c r="A114" s="46">
        <v>16</v>
      </c>
      <c r="B114" s="875"/>
      <c r="C114" s="822" t="s">
        <v>316</v>
      </c>
      <c r="D114" s="839" t="s">
        <v>317</v>
      </c>
      <c r="E114" s="840">
        <v>2.0106202E-2</v>
      </c>
      <c r="F114" s="514" t="s">
        <v>35</v>
      </c>
      <c r="G114" s="374">
        <f>+E114*$D$6</f>
        <v>48.174459992000003</v>
      </c>
      <c r="H114" s="79">
        <v>-75.88</v>
      </c>
      <c r="I114" s="75">
        <f>G114+H114</f>
        <v>-27.705540007999993</v>
      </c>
      <c r="J114" s="369"/>
      <c r="K114" s="87">
        <f t="shared" si="189"/>
        <v>-27.705540007999993</v>
      </c>
      <c r="L114" s="76">
        <v>0</v>
      </c>
      <c r="M114" s="363">
        <v>43508</v>
      </c>
      <c r="N114" s="847">
        <f t="shared" ref="N114:O114" si="250">G114+G115</f>
        <v>75.880806348000007</v>
      </c>
      <c r="O114" s="847">
        <f t="shared" si="250"/>
        <v>-75.88</v>
      </c>
      <c r="P114" s="847">
        <f t="shared" ref="P114" si="251">N114+O114</f>
        <v>8.0634800001178064E-4</v>
      </c>
      <c r="Q114" s="847">
        <f t="shared" ref="Q114" si="252">J114+J115</f>
        <v>0</v>
      </c>
      <c r="R114" s="847">
        <f t="shared" ref="R114" si="253">P114-Q114</f>
        <v>8.0634800001178064E-4</v>
      </c>
      <c r="S114" s="780">
        <f t="shared" ref="S114" si="254">Q114/P114</f>
        <v>0</v>
      </c>
      <c r="T114" s="780">
        <f>(100%-+(R114/N114))</f>
        <v>0.99998937349194317</v>
      </c>
      <c r="V114" s="588">
        <v>0</v>
      </c>
      <c r="W114" s="588">
        <f t="shared" si="186"/>
        <v>0</v>
      </c>
      <c r="X114" s="378">
        <v>-75.88</v>
      </c>
      <c r="Y114" s="415">
        <f t="shared" si="188"/>
        <v>0</v>
      </c>
    </row>
    <row r="115" spans="1:25" s="378" customFormat="1" ht="15" customHeight="1">
      <c r="A115" s="46"/>
      <c r="B115" s="875"/>
      <c r="C115" s="823"/>
      <c r="D115" s="839"/>
      <c r="E115" s="840">
        <v>2.0106202E-2</v>
      </c>
      <c r="F115" s="514" t="s">
        <v>95</v>
      </c>
      <c r="G115" s="374">
        <f>+E114*$D$8</f>
        <v>27.706346356000001</v>
      </c>
      <c r="H115" s="79"/>
      <c r="I115" s="75">
        <f>G115+H115+K114</f>
        <v>8.0634800000822793E-4</v>
      </c>
      <c r="J115" s="265"/>
      <c r="K115" s="87">
        <f t="shared" si="189"/>
        <v>8.0634800000822793E-4</v>
      </c>
      <c r="L115" s="76">
        <f>J115/I115</f>
        <v>0</v>
      </c>
      <c r="M115" s="363">
        <v>43508</v>
      </c>
      <c r="N115" s="847"/>
      <c r="O115" s="847"/>
      <c r="P115" s="847"/>
      <c r="Q115" s="847"/>
      <c r="R115" s="847"/>
      <c r="S115" s="780"/>
      <c r="T115" s="780"/>
      <c r="V115" s="588">
        <v>0</v>
      </c>
      <c r="W115" s="588">
        <f t="shared" si="186"/>
        <v>0</v>
      </c>
      <c r="X115" s="378">
        <v>0</v>
      </c>
      <c r="Y115" s="415">
        <f t="shared" si="188"/>
        <v>0</v>
      </c>
    </row>
    <row r="116" spans="1:25" s="378" customFormat="1" ht="15" customHeight="1">
      <c r="A116" s="46">
        <v>17</v>
      </c>
      <c r="B116" s="875"/>
      <c r="C116" s="822" t="s">
        <v>322</v>
      </c>
      <c r="D116" s="839" t="s">
        <v>323</v>
      </c>
      <c r="E116" s="840">
        <v>2.5707523999999999E-2</v>
      </c>
      <c r="F116" s="321" t="s">
        <v>35</v>
      </c>
      <c r="G116" s="374">
        <f>+E116*$D$6</f>
        <v>61.595227504</v>
      </c>
      <c r="H116" s="79">
        <v>-93.686999999999998</v>
      </c>
      <c r="I116" s="75">
        <f>G116+H116</f>
        <v>-32.091772495999997</v>
      </c>
      <c r="J116" s="369"/>
      <c r="K116" s="87">
        <f t="shared" si="189"/>
        <v>-32.091772495999997</v>
      </c>
      <c r="L116" s="76">
        <v>0</v>
      </c>
      <c r="M116" s="362">
        <v>43524</v>
      </c>
      <c r="N116" s="843">
        <f t="shared" ref="N116:O116" si="255">G116+G117</f>
        <v>97.020195575999992</v>
      </c>
      <c r="O116" s="838">
        <f t="shared" si="255"/>
        <v>-93.686999999999998</v>
      </c>
      <c r="P116" s="838">
        <f t="shared" ref="P116" si="256">N116+O116</f>
        <v>3.3331955759999943</v>
      </c>
      <c r="Q116" s="838">
        <f t="shared" ref="Q116" si="257">J116+J117</f>
        <v>0</v>
      </c>
      <c r="R116" s="838">
        <f t="shared" ref="R116" si="258">P116-Q116</f>
        <v>3.3331955759999943</v>
      </c>
      <c r="S116" s="817">
        <f t="shared" ref="S116" si="259">Q116/P116</f>
        <v>0</v>
      </c>
      <c r="T116" s="816">
        <f>(100%-+(R116/N116))</f>
        <v>0.96564431192690225</v>
      </c>
      <c r="V116" s="588">
        <v>0</v>
      </c>
      <c r="W116" s="588">
        <f t="shared" si="186"/>
        <v>0</v>
      </c>
      <c r="X116" s="378">
        <v>-93.686999999999998</v>
      </c>
      <c r="Y116" s="415">
        <f t="shared" si="188"/>
        <v>0</v>
      </c>
    </row>
    <row r="117" spans="1:25" s="378" customFormat="1" ht="15" customHeight="1">
      <c r="A117" s="46"/>
      <c r="B117" s="875"/>
      <c r="C117" s="823"/>
      <c r="D117" s="839"/>
      <c r="E117" s="840">
        <v>2.7236206400000001E-2</v>
      </c>
      <c r="F117" s="321" t="s">
        <v>95</v>
      </c>
      <c r="G117" s="374">
        <f>+E116*$D$8</f>
        <v>35.424968071999999</v>
      </c>
      <c r="H117" s="79"/>
      <c r="I117" s="75">
        <f>G117+H117+K116</f>
        <v>3.3331955760000014</v>
      </c>
      <c r="J117" s="265"/>
      <c r="K117" s="87">
        <f t="shared" si="189"/>
        <v>3.3331955760000014</v>
      </c>
      <c r="L117" s="76">
        <v>0</v>
      </c>
      <c r="M117" s="318" t="s">
        <v>30</v>
      </c>
      <c r="N117" s="843"/>
      <c r="O117" s="838"/>
      <c r="P117" s="838"/>
      <c r="Q117" s="838"/>
      <c r="R117" s="838"/>
      <c r="S117" s="817"/>
      <c r="T117" s="816"/>
      <c r="V117" s="588">
        <v>0</v>
      </c>
      <c r="W117" s="588">
        <f t="shared" si="186"/>
        <v>0</v>
      </c>
      <c r="X117" s="378">
        <v>0</v>
      </c>
      <c r="Y117" s="415">
        <f t="shared" si="188"/>
        <v>0</v>
      </c>
    </row>
    <row r="118" spans="1:25" s="378" customFormat="1" ht="15" customHeight="1">
      <c r="A118" s="46">
        <v>18</v>
      </c>
      <c r="B118" s="875"/>
      <c r="C118" s="822" t="s">
        <v>411</v>
      </c>
      <c r="D118" s="839" t="s">
        <v>299</v>
      </c>
      <c r="E118" s="865">
        <v>1.4015631E-3</v>
      </c>
      <c r="F118" s="321" t="s">
        <v>35</v>
      </c>
      <c r="G118" s="374">
        <f>+E118*$D$6</f>
        <v>3.3581451875999999</v>
      </c>
      <c r="H118" s="79"/>
      <c r="I118" s="75">
        <f>G118+H118</f>
        <v>3.3581451875999999</v>
      </c>
      <c r="J118" s="369">
        <v>3.2599999999999993</v>
      </c>
      <c r="K118" s="87">
        <f t="shared" si="189"/>
        <v>9.8145187600000572E-2</v>
      </c>
      <c r="L118" s="76">
        <f>J118/I118</f>
        <v>0.97077398917640512</v>
      </c>
      <c r="M118" s="318" t="s">
        <v>30</v>
      </c>
      <c r="N118" s="843">
        <f t="shared" ref="N118:O118" si="260">G118+G119</f>
        <v>5.2894991394000002</v>
      </c>
      <c r="O118" s="838">
        <f t="shared" si="260"/>
        <v>0</v>
      </c>
      <c r="P118" s="838">
        <f t="shared" ref="P118" si="261">N118+O118</f>
        <v>5.2894991394000002</v>
      </c>
      <c r="Q118" s="838">
        <f t="shared" ref="Q118" si="262">J118+J119</f>
        <v>3.2599999999999993</v>
      </c>
      <c r="R118" s="838">
        <f t="shared" ref="R118" si="263">P118-Q118</f>
        <v>2.0294991394000008</v>
      </c>
      <c r="S118" s="817">
        <f t="shared" ref="S118" si="264">Q118/P118</f>
        <v>0.61631544198904786</v>
      </c>
      <c r="T118" s="816">
        <f>(100%-+(R118/N118))</f>
        <v>0.61631544198904786</v>
      </c>
      <c r="V118" s="588">
        <v>3.2599999999999993</v>
      </c>
      <c r="W118" s="588">
        <f t="shared" si="186"/>
        <v>0</v>
      </c>
      <c r="X118" s="378">
        <v>0</v>
      </c>
      <c r="Y118" s="415">
        <f t="shared" si="188"/>
        <v>0</v>
      </c>
    </row>
    <row r="119" spans="1:25" s="378" customFormat="1" ht="15" customHeight="1">
      <c r="A119" s="46"/>
      <c r="B119" s="875"/>
      <c r="C119" s="823"/>
      <c r="D119" s="839"/>
      <c r="E119" s="865">
        <v>1.4015631E-3</v>
      </c>
      <c r="F119" s="321" t="s">
        <v>95</v>
      </c>
      <c r="G119" s="374">
        <f>+E118*$D$8</f>
        <v>1.9313539518</v>
      </c>
      <c r="H119" s="79"/>
      <c r="I119" s="75">
        <f>G119+H119+K118</f>
        <v>2.0294991394000004</v>
      </c>
      <c r="J119" s="265"/>
      <c r="K119" s="87">
        <f t="shared" si="189"/>
        <v>2.0294991394000004</v>
      </c>
      <c r="L119" s="76">
        <f>J119/I119</f>
        <v>0</v>
      </c>
      <c r="M119" s="318" t="s">
        <v>30</v>
      </c>
      <c r="N119" s="843"/>
      <c r="O119" s="838"/>
      <c r="P119" s="838"/>
      <c r="Q119" s="838"/>
      <c r="R119" s="838"/>
      <c r="S119" s="817"/>
      <c r="T119" s="816"/>
      <c r="V119" s="588">
        <v>0</v>
      </c>
      <c r="W119" s="588">
        <f t="shared" si="186"/>
        <v>0</v>
      </c>
      <c r="X119" s="378">
        <v>0</v>
      </c>
      <c r="Y119" s="415">
        <f t="shared" si="188"/>
        <v>0</v>
      </c>
    </row>
    <row r="120" spans="1:25" s="378" customFormat="1" ht="15" customHeight="1">
      <c r="A120" s="46">
        <v>19</v>
      </c>
      <c r="B120" s="875"/>
      <c r="C120" s="822" t="s">
        <v>302</v>
      </c>
      <c r="D120" s="839" t="s">
        <v>303</v>
      </c>
      <c r="E120" s="865">
        <v>1.3139868000000001E-2</v>
      </c>
      <c r="F120" s="321" t="s">
        <v>35</v>
      </c>
      <c r="G120" s="374">
        <f>+E120*$D$6</f>
        <v>31.483123728000002</v>
      </c>
      <c r="H120" s="79">
        <f>-44.368-5.222</f>
        <v>-49.59</v>
      </c>
      <c r="I120" s="75">
        <f>G120+H120</f>
        <v>-18.106876272000001</v>
      </c>
      <c r="J120" s="369"/>
      <c r="K120" s="87">
        <f t="shared" si="189"/>
        <v>-18.106876272000001</v>
      </c>
      <c r="L120" s="76">
        <v>0</v>
      </c>
      <c r="M120" s="362">
        <v>43524</v>
      </c>
      <c r="N120" s="847">
        <f t="shared" ref="N120:O120" si="265">G120+G121</f>
        <v>49.589861832000004</v>
      </c>
      <c r="O120" s="847">
        <f t="shared" si="265"/>
        <v>-49.59</v>
      </c>
      <c r="P120" s="847">
        <f t="shared" ref="P120" si="266">N120+O120</f>
        <v>-1.3816799999943896E-4</v>
      </c>
      <c r="Q120" s="847">
        <f t="shared" ref="Q120" si="267">J120+J121</f>
        <v>0</v>
      </c>
      <c r="R120" s="847">
        <f t="shared" ref="R120" si="268">P120-Q120</f>
        <v>-1.3816799999943896E-4</v>
      </c>
      <c r="S120" s="780">
        <f t="shared" ref="S120" si="269">Q120/P120</f>
        <v>0</v>
      </c>
      <c r="T120" s="780">
        <f>(100%-+(R120/N120))</f>
        <v>1.0000027862146594</v>
      </c>
      <c r="V120" s="588">
        <v>0</v>
      </c>
      <c r="W120" s="588">
        <f t="shared" si="186"/>
        <v>0</v>
      </c>
      <c r="X120" s="378">
        <v>-49.59</v>
      </c>
      <c r="Y120" s="415">
        <f t="shared" si="188"/>
        <v>0</v>
      </c>
    </row>
    <row r="121" spans="1:25" s="378" customFormat="1" ht="15" customHeight="1">
      <c r="A121" s="46"/>
      <c r="B121" s="875"/>
      <c r="C121" s="823"/>
      <c r="D121" s="839"/>
      <c r="E121" s="865">
        <v>1.3139868000000001E-2</v>
      </c>
      <c r="F121" s="321" t="s">
        <v>95</v>
      </c>
      <c r="G121" s="374">
        <f>+E120*$D$8</f>
        <v>18.106738104000001</v>
      </c>
      <c r="H121" s="79"/>
      <c r="I121" s="75">
        <f>G121+H121+K120</f>
        <v>-1.3816799999943896E-4</v>
      </c>
      <c r="J121" s="265"/>
      <c r="K121" s="87">
        <f t="shared" si="189"/>
        <v>-1.3816799999943896E-4</v>
      </c>
      <c r="L121" s="76">
        <v>0</v>
      </c>
      <c r="M121" s="363">
        <v>43524</v>
      </c>
      <c r="N121" s="847"/>
      <c r="O121" s="847"/>
      <c r="P121" s="847"/>
      <c r="Q121" s="847"/>
      <c r="R121" s="847"/>
      <c r="S121" s="780"/>
      <c r="T121" s="780"/>
      <c r="V121" s="588">
        <v>0</v>
      </c>
      <c r="W121" s="588">
        <f t="shared" si="186"/>
        <v>0</v>
      </c>
      <c r="X121" s="378">
        <v>0</v>
      </c>
      <c r="Y121" s="415">
        <f t="shared" si="188"/>
        <v>0</v>
      </c>
    </row>
    <row r="122" spans="1:25" s="378" customFormat="1" ht="15" customHeight="1">
      <c r="A122" s="46">
        <v>20</v>
      </c>
      <c r="B122" s="875"/>
      <c r="C122" s="830" t="s">
        <v>528</v>
      </c>
      <c r="D122" s="868" t="s">
        <v>321</v>
      </c>
      <c r="E122" s="869">
        <v>2.9587983000000002E-2</v>
      </c>
      <c r="F122" s="321" t="s">
        <v>35</v>
      </c>
      <c r="G122" s="374">
        <f>+E122*$D$6</f>
        <v>70.892807267999999</v>
      </c>
      <c r="H122" s="79">
        <v>-111.66500000000001</v>
      </c>
      <c r="I122" s="75">
        <f>G122+H122</f>
        <v>-40.772192732000008</v>
      </c>
      <c r="J122" s="562"/>
      <c r="K122" s="87">
        <f t="shared" si="189"/>
        <v>-40.772192732000008</v>
      </c>
      <c r="L122" s="76">
        <v>0</v>
      </c>
      <c r="M122" s="563">
        <v>43619</v>
      </c>
      <c r="N122" s="844">
        <f t="shared" ref="N122" si="270">G122+G123</f>
        <v>111.66504784200001</v>
      </c>
      <c r="O122" s="870">
        <f>H122+H123</f>
        <v>-111.66500000000001</v>
      </c>
      <c r="P122" s="844">
        <f t="shared" ref="P122" si="271">N122+O122</f>
        <v>4.7842000000741791E-5</v>
      </c>
      <c r="Q122" s="845">
        <f>J85+J123</f>
        <v>0</v>
      </c>
      <c r="R122" s="844">
        <f t="shared" ref="R122" si="272">P122-Q122</f>
        <v>4.7842000000741791E-5</v>
      </c>
      <c r="S122" s="867">
        <f t="shared" ref="S122" si="273">Q122/P122</f>
        <v>0</v>
      </c>
      <c r="T122" s="905">
        <f>(100%-+(R122/N122))</f>
        <v>0.99999957155796804</v>
      </c>
      <c r="V122" s="588">
        <v>0</v>
      </c>
      <c r="W122" s="588">
        <f t="shared" si="186"/>
        <v>0</v>
      </c>
      <c r="X122" s="378">
        <v>-111.66500000000001</v>
      </c>
      <c r="Y122" s="691">
        <f t="shared" si="188"/>
        <v>0</v>
      </c>
    </row>
    <row r="123" spans="1:25" s="378" customFormat="1" ht="15" customHeight="1">
      <c r="A123" s="46"/>
      <c r="B123" s="875"/>
      <c r="C123" s="831"/>
      <c r="D123" s="868"/>
      <c r="E123" s="869">
        <v>2.8822000399999999E-2</v>
      </c>
      <c r="F123" s="321" t="s">
        <v>95</v>
      </c>
      <c r="G123" s="374">
        <f>+E122*$D$8</f>
        <v>40.772240574000001</v>
      </c>
      <c r="H123" s="79"/>
      <c r="I123" s="75">
        <f>G123+H123+K122</f>
        <v>4.7841999993636364E-5</v>
      </c>
      <c r="J123" s="363"/>
      <c r="K123" s="87">
        <f t="shared" si="189"/>
        <v>4.7841999993636364E-5</v>
      </c>
      <c r="L123" s="76">
        <v>0</v>
      </c>
      <c r="M123" s="563">
        <v>43619</v>
      </c>
      <c r="N123" s="844"/>
      <c r="O123" s="870"/>
      <c r="P123" s="844"/>
      <c r="Q123" s="845"/>
      <c r="R123" s="844"/>
      <c r="S123" s="867"/>
      <c r="T123" s="905"/>
      <c r="V123" s="588">
        <v>0</v>
      </c>
      <c r="W123" s="588">
        <f t="shared" si="186"/>
        <v>0</v>
      </c>
      <c r="X123" s="378">
        <v>0</v>
      </c>
      <c r="Y123" s="415">
        <f t="shared" si="188"/>
        <v>0</v>
      </c>
    </row>
    <row r="124" spans="1:25" s="378" customFormat="1" ht="15" customHeight="1">
      <c r="A124" s="46">
        <v>21</v>
      </c>
      <c r="B124" s="875"/>
      <c r="C124" s="824" t="s">
        <v>522</v>
      </c>
      <c r="D124" s="839" t="s">
        <v>313</v>
      </c>
      <c r="E124" s="840">
        <v>1.2361425000000001E-2</v>
      </c>
      <c r="F124" s="321" t="s">
        <v>35</v>
      </c>
      <c r="G124" s="374">
        <f>+E124*$D$6</f>
        <v>29.6179743</v>
      </c>
      <c r="H124" s="79">
        <f>-46652/1000</f>
        <v>-46.652000000000001</v>
      </c>
      <c r="I124" s="75">
        <f>G124+H124</f>
        <v>-17.034025700000001</v>
      </c>
      <c r="J124" s="369"/>
      <c r="K124" s="87">
        <f t="shared" ref="K124:K153" si="274">I124-J124</f>
        <v>-17.034025700000001</v>
      </c>
      <c r="L124" s="76">
        <f t="shared" ref="L124:L125" si="275">J124/I124</f>
        <v>0</v>
      </c>
      <c r="M124" s="363">
        <v>43564</v>
      </c>
      <c r="N124" s="844">
        <f t="shared" ref="N124:O124" si="276">G124+G125</f>
        <v>46.652017950000001</v>
      </c>
      <c r="O124" s="870">
        <f t="shared" si="276"/>
        <v>-46.652000000000001</v>
      </c>
      <c r="P124" s="844">
        <f t="shared" ref="P124" si="277">N124+O124</f>
        <v>1.7950000000155342E-5</v>
      </c>
      <c r="Q124" s="845">
        <f t="shared" ref="Q124" si="278">J124+J125</f>
        <v>0</v>
      </c>
      <c r="R124" s="844">
        <f t="shared" ref="R124" si="279">P124-Q124</f>
        <v>1.7950000000155342E-5</v>
      </c>
      <c r="S124" s="867">
        <f t="shared" ref="S124" si="280">Q124/P124</f>
        <v>0</v>
      </c>
      <c r="T124" s="905">
        <f>(100%-+(R124/N124))</f>
        <v>0.99999961523636516</v>
      </c>
      <c r="V124" s="588">
        <v>0</v>
      </c>
      <c r="W124" s="588">
        <f t="shared" si="186"/>
        <v>0</v>
      </c>
      <c r="X124" s="378">
        <v>-46.652000000000001</v>
      </c>
      <c r="Y124" s="415">
        <f t="shared" si="188"/>
        <v>0</v>
      </c>
    </row>
    <row r="125" spans="1:25" s="378" customFormat="1" ht="15" customHeight="1">
      <c r="A125" s="46"/>
      <c r="B125" s="875"/>
      <c r="C125" s="825"/>
      <c r="D125" s="839"/>
      <c r="E125" s="840">
        <v>1.30862228E-2</v>
      </c>
      <c r="F125" s="321" t="s">
        <v>95</v>
      </c>
      <c r="G125" s="374">
        <f>+E124*$D$8</f>
        <v>17.034043650000001</v>
      </c>
      <c r="H125" s="79"/>
      <c r="I125" s="75">
        <f>G125+H125+K124</f>
        <v>1.7950000000155342E-5</v>
      </c>
      <c r="J125" s="265"/>
      <c r="K125" s="87">
        <f t="shared" si="274"/>
        <v>1.7950000000155342E-5</v>
      </c>
      <c r="L125" s="76">
        <f t="shared" si="275"/>
        <v>0</v>
      </c>
      <c r="M125" s="363">
        <v>43564</v>
      </c>
      <c r="N125" s="844"/>
      <c r="O125" s="870"/>
      <c r="P125" s="844"/>
      <c r="Q125" s="845"/>
      <c r="R125" s="844"/>
      <c r="S125" s="867"/>
      <c r="T125" s="905"/>
      <c r="V125" s="588">
        <v>0</v>
      </c>
      <c r="W125" s="588">
        <f t="shared" si="186"/>
        <v>0</v>
      </c>
      <c r="X125" s="378">
        <v>0</v>
      </c>
      <c r="Y125" s="415">
        <f t="shared" si="188"/>
        <v>0</v>
      </c>
    </row>
    <row r="126" spans="1:25" s="378" customFormat="1" ht="15" customHeight="1">
      <c r="A126" s="46">
        <v>22</v>
      </c>
      <c r="B126" s="875"/>
      <c r="C126" s="822" t="s">
        <v>521</v>
      </c>
      <c r="D126" s="839" t="s">
        <v>310</v>
      </c>
      <c r="E126" s="840">
        <v>2.2955632E-2</v>
      </c>
      <c r="F126" s="321" t="s">
        <v>35</v>
      </c>
      <c r="G126" s="374">
        <f>+E126*$D$6</f>
        <v>55.001694272000002</v>
      </c>
      <c r="H126" s="79">
        <v>-86.635000000000005</v>
      </c>
      <c r="I126" s="75">
        <f>G126+H126</f>
        <v>-31.633305728000003</v>
      </c>
      <c r="J126" s="369"/>
      <c r="K126" s="87">
        <f t="shared" si="274"/>
        <v>-31.633305728000003</v>
      </c>
      <c r="L126" s="76">
        <v>0</v>
      </c>
      <c r="M126" s="363">
        <v>43508</v>
      </c>
      <c r="N126" s="847">
        <f t="shared" ref="N126:O126" si="281">G126+G127</f>
        <v>86.634555168000006</v>
      </c>
      <c r="O126" s="847">
        <f t="shared" si="281"/>
        <v>-86.635000000000005</v>
      </c>
      <c r="P126" s="847">
        <f t="shared" ref="P126" si="282">N126+O126</f>
        <v>-4.44831999999451E-4</v>
      </c>
      <c r="Q126" s="847">
        <f t="shared" ref="Q126" si="283">J126+J127</f>
        <v>0</v>
      </c>
      <c r="R126" s="847">
        <f t="shared" ref="R126" si="284">P126-Q126</f>
        <v>-4.44831999999451E-4</v>
      </c>
      <c r="S126" s="780">
        <v>1</v>
      </c>
      <c r="T126" s="780">
        <f>(100%-+(R126/N126))</f>
        <v>1.0000051345793735</v>
      </c>
      <c r="V126" s="588">
        <v>0</v>
      </c>
      <c r="W126" s="588">
        <f t="shared" si="186"/>
        <v>0</v>
      </c>
      <c r="X126" s="378">
        <v>-86.635000000000005</v>
      </c>
      <c r="Y126" s="415">
        <f t="shared" si="188"/>
        <v>0</v>
      </c>
    </row>
    <row r="127" spans="1:25" s="378" customFormat="1" ht="15" customHeight="1">
      <c r="A127" s="46"/>
      <c r="B127" s="875"/>
      <c r="C127" s="823"/>
      <c r="D127" s="839"/>
      <c r="E127" s="840">
        <v>2.2940783100000001E-2</v>
      </c>
      <c r="F127" s="321" t="s">
        <v>95</v>
      </c>
      <c r="G127" s="374">
        <f>+E126*$D$8</f>
        <v>31.632860896</v>
      </c>
      <c r="H127" s="79"/>
      <c r="I127" s="75">
        <f>G127+H127+K126</f>
        <v>-4.4483200000300371E-4</v>
      </c>
      <c r="J127" s="265"/>
      <c r="K127" s="87">
        <f t="shared" si="274"/>
        <v>-4.4483200000300371E-4</v>
      </c>
      <c r="L127" s="76">
        <v>0</v>
      </c>
      <c r="M127" s="363">
        <v>43508</v>
      </c>
      <c r="N127" s="847"/>
      <c r="O127" s="847"/>
      <c r="P127" s="847"/>
      <c r="Q127" s="847"/>
      <c r="R127" s="847"/>
      <c r="S127" s="780"/>
      <c r="T127" s="780"/>
      <c r="V127" s="588">
        <v>0</v>
      </c>
      <c r="W127" s="588">
        <f t="shared" si="186"/>
        <v>0</v>
      </c>
      <c r="X127" s="378">
        <v>0</v>
      </c>
      <c r="Y127" s="415">
        <f t="shared" si="188"/>
        <v>0</v>
      </c>
    </row>
    <row r="128" spans="1:25" s="378" customFormat="1" ht="15" customHeight="1">
      <c r="A128" s="46">
        <v>23</v>
      </c>
      <c r="B128" s="875"/>
      <c r="C128" s="822" t="s">
        <v>291</v>
      </c>
      <c r="D128" s="839" t="s">
        <v>292</v>
      </c>
      <c r="E128" s="840">
        <v>6.8654809999999997E-4</v>
      </c>
      <c r="F128" s="321" t="s">
        <v>35</v>
      </c>
      <c r="G128" s="374">
        <f>+E128*$D$6</f>
        <v>1.6449692476</v>
      </c>
      <c r="H128" s="79"/>
      <c r="I128" s="75">
        <f>G128+H128</f>
        <v>1.6449692476</v>
      </c>
      <c r="J128" s="369">
        <v>2.2477777777777779</v>
      </c>
      <c r="K128" s="87">
        <f t="shared" si="274"/>
        <v>-0.60280853017777791</v>
      </c>
      <c r="L128" s="508">
        <f>J128/I128</f>
        <v>1.3664558052117217</v>
      </c>
      <c r="M128" s="362">
        <v>43612</v>
      </c>
      <c r="N128" s="843">
        <f t="shared" ref="N128:O128" si="285">G128+G129</f>
        <v>2.5910325294000001</v>
      </c>
      <c r="O128" s="838">
        <f t="shared" si="285"/>
        <v>0</v>
      </c>
      <c r="P128" s="838">
        <f>N128+O128</f>
        <v>2.5910325294000001</v>
      </c>
      <c r="Q128" s="838">
        <f>J128+J129</f>
        <v>2.2477777777777779</v>
      </c>
      <c r="R128" s="838">
        <f t="shared" ref="R128" si="286">P128-Q128</f>
        <v>0.34325475162222219</v>
      </c>
      <c r="S128" s="817">
        <f t="shared" ref="S128" si="287">Q128/P128</f>
        <v>0.86752202153876123</v>
      </c>
      <c r="T128" s="816">
        <f>(100%-+(R128/N128))</f>
        <v>0.86752202153876123</v>
      </c>
      <c r="V128" s="588">
        <v>2.2477777777777779</v>
      </c>
      <c r="W128" s="588">
        <f t="shared" si="186"/>
        <v>0</v>
      </c>
      <c r="X128" s="378">
        <v>0</v>
      </c>
      <c r="Y128" s="415">
        <f t="shared" si="188"/>
        <v>0</v>
      </c>
    </row>
    <row r="129" spans="1:25" s="378" customFormat="1" ht="15" customHeight="1">
      <c r="A129" s="46"/>
      <c r="B129" s="875"/>
      <c r="C129" s="823"/>
      <c r="D129" s="839"/>
      <c r="E129" s="840">
        <v>6.8654809999999997E-4</v>
      </c>
      <c r="F129" s="321" t="s">
        <v>95</v>
      </c>
      <c r="G129" s="374">
        <f>+E128*$D$8</f>
        <v>0.94606328179999999</v>
      </c>
      <c r="H129" s="79"/>
      <c r="I129" s="75">
        <f>G129+H129+K128</f>
        <v>0.34325475162222208</v>
      </c>
      <c r="J129" s="265"/>
      <c r="K129" s="87">
        <f t="shared" si="274"/>
        <v>0.34325475162222208</v>
      </c>
      <c r="L129" s="76">
        <f t="shared" ref="L129:L139" si="288">J129/I129</f>
        <v>0</v>
      </c>
      <c r="M129" s="318" t="s">
        <v>30</v>
      </c>
      <c r="N129" s="843"/>
      <c r="O129" s="838"/>
      <c r="P129" s="838"/>
      <c r="Q129" s="838"/>
      <c r="R129" s="838"/>
      <c r="S129" s="817"/>
      <c r="T129" s="816"/>
      <c r="V129" s="588">
        <v>0</v>
      </c>
      <c r="W129" s="588">
        <f t="shared" si="186"/>
        <v>0</v>
      </c>
      <c r="X129" s="378">
        <v>0</v>
      </c>
      <c r="Y129" s="415">
        <f t="shared" si="188"/>
        <v>0</v>
      </c>
    </row>
    <row r="130" spans="1:25" s="378" customFormat="1" ht="15" customHeight="1">
      <c r="A130" s="46">
        <v>24</v>
      </c>
      <c r="B130" s="875"/>
      <c r="C130" s="822" t="s">
        <v>297</v>
      </c>
      <c r="D130" s="839" t="s">
        <v>298</v>
      </c>
      <c r="E130" s="840">
        <v>2.4980152000000002E-3</v>
      </c>
      <c r="F130" s="321" t="s">
        <v>35</v>
      </c>
      <c r="G130" s="374">
        <f>+E130*$D$6</f>
        <v>5.9852444192000007</v>
      </c>
      <c r="H130" s="79">
        <v>-9.4269999999999996</v>
      </c>
      <c r="I130" s="75">
        <f>G130+H130</f>
        <v>-3.4417555807999989</v>
      </c>
      <c r="J130" s="369">
        <v>0</v>
      </c>
      <c r="K130" s="87">
        <f t="shared" si="274"/>
        <v>-3.4417555807999989</v>
      </c>
      <c r="L130" s="76">
        <f t="shared" si="288"/>
        <v>0</v>
      </c>
      <c r="M130" s="363">
        <v>43508</v>
      </c>
      <c r="N130" s="847">
        <f t="shared" ref="N130:O130" si="289">G130+G131</f>
        <v>9.4275093648000006</v>
      </c>
      <c r="O130" s="847">
        <f t="shared" si="289"/>
        <v>-9.4269999999999996</v>
      </c>
      <c r="P130" s="847">
        <f t="shared" ref="P130" si="290">N130+O130</f>
        <v>5.0936480000096651E-4</v>
      </c>
      <c r="Q130" s="847">
        <f t="shared" ref="Q130" si="291">J130+J131</f>
        <v>0</v>
      </c>
      <c r="R130" s="847">
        <f t="shared" ref="R130" si="292">P130-Q130</f>
        <v>5.0936480000096651E-4</v>
      </c>
      <c r="S130" s="780">
        <f t="shared" ref="S130" si="293">Q130/P130</f>
        <v>0</v>
      </c>
      <c r="T130" s="780">
        <f>(100%-+(R130/N130))</f>
        <v>0.99994597037454003</v>
      </c>
      <c r="V130" s="588">
        <v>0</v>
      </c>
      <c r="W130" s="588">
        <f t="shared" si="186"/>
        <v>0</v>
      </c>
      <c r="X130" s="378">
        <v>-9.4269999999999996</v>
      </c>
      <c r="Y130" s="415">
        <f t="shared" si="188"/>
        <v>0</v>
      </c>
    </row>
    <row r="131" spans="1:25" s="378" customFormat="1" ht="15" customHeight="1">
      <c r="A131" s="46"/>
      <c r="B131" s="875"/>
      <c r="C131" s="823"/>
      <c r="D131" s="839"/>
      <c r="E131" s="840">
        <v>2.4980152000000002E-3</v>
      </c>
      <c r="F131" s="321" t="s">
        <v>95</v>
      </c>
      <c r="G131" s="374">
        <f>+E130*$D$8</f>
        <v>3.4422649456000003</v>
      </c>
      <c r="H131" s="79"/>
      <c r="I131" s="75">
        <f>G131+H131+K130</f>
        <v>5.093648000014106E-4</v>
      </c>
      <c r="J131" s="265"/>
      <c r="K131" s="87">
        <f t="shared" si="274"/>
        <v>5.093648000014106E-4</v>
      </c>
      <c r="L131" s="76">
        <f t="shared" si="288"/>
        <v>0</v>
      </c>
      <c r="M131" s="363">
        <v>43508</v>
      </c>
      <c r="N131" s="847"/>
      <c r="O131" s="847"/>
      <c r="P131" s="847"/>
      <c r="Q131" s="847"/>
      <c r="R131" s="847"/>
      <c r="S131" s="780"/>
      <c r="T131" s="780"/>
      <c r="V131" s="588">
        <v>0</v>
      </c>
      <c r="W131" s="588">
        <f t="shared" si="186"/>
        <v>0</v>
      </c>
      <c r="X131" s="378">
        <v>0</v>
      </c>
      <c r="Y131" s="415">
        <f t="shared" si="188"/>
        <v>0</v>
      </c>
    </row>
    <row r="132" spans="1:25" s="378" customFormat="1" ht="15" customHeight="1">
      <c r="A132" s="46">
        <v>25</v>
      </c>
      <c r="B132" s="875"/>
      <c r="C132" s="822" t="s">
        <v>289</v>
      </c>
      <c r="D132" s="839" t="s">
        <v>290</v>
      </c>
      <c r="E132" s="840">
        <v>6.4659199999999998E-4</v>
      </c>
      <c r="F132" s="321" t="s">
        <v>35</v>
      </c>
      <c r="G132" s="374">
        <f>+E132*$D$6</f>
        <v>1.549234432</v>
      </c>
      <c r="H132" s="79">
        <f>-2.44</f>
        <v>-2.44</v>
      </c>
      <c r="I132" s="75">
        <f>G132+H132</f>
        <v>-0.89076556799999995</v>
      </c>
      <c r="J132" s="369">
        <v>0</v>
      </c>
      <c r="K132" s="87">
        <f t="shared" si="274"/>
        <v>-0.89076556799999995</v>
      </c>
      <c r="L132" s="76">
        <f t="shared" si="288"/>
        <v>0</v>
      </c>
      <c r="M132" s="362">
        <v>43528</v>
      </c>
      <c r="N132" s="847">
        <f t="shared" ref="N132:O132" si="294">G132+G133</f>
        <v>2.4402382080000002</v>
      </c>
      <c r="O132" s="866">
        <f t="shared" si="294"/>
        <v>-2.44</v>
      </c>
      <c r="P132" s="866">
        <f t="shared" ref="P132" si="295">N132+O132</f>
        <v>2.3820800000029507E-4</v>
      </c>
      <c r="Q132" s="866">
        <f t="shared" ref="Q132" si="296">J132+J133</f>
        <v>0</v>
      </c>
      <c r="R132" s="866">
        <f t="shared" ref="R132" si="297">P132-Q132</f>
        <v>2.3820800000029507E-4</v>
      </c>
      <c r="S132" s="873">
        <f t="shared" ref="S132" si="298">Q132/P132</f>
        <v>0</v>
      </c>
      <c r="T132" s="780">
        <f>(100%-+(R132/N132))</f>
        <v>0.99990238330044201</v>
      </c>
      <c r="V132" s="588">
        <v>0</v>
      </c>
      <c r="W132" s="588">
        <f t="shared" si="186"/>
        <v>0</v>
      </c>
      <c r="X132" s="378">
        <v>-2.44</v>
      </c>
      <c r="Y132" s="415">
        <f t="shared" si="188"/>
        <v>0</v>
      </c>
    </row>
    <row r="133" spans="1:25" s="378" customFormat="1" ht="15" customHeight="1">
      <c r="A133" s="46"/>
      <c r="B133" s="875"/>
      <c r="C133" s="823"/>
      <c r="D133" s="839"/>
      <c r="E133" s="840">
        <v>6.4659199999999998E-4</v>
      </c>
      <c r="F133" s="321" t="s">
        <v>95</v>
      </c>
      <c r="G133" s="374">
        <f>+E132*$D$8</f>
        <v>0.89100377600000003</v>
      </c>
      <c r="H133" s="79"/>
      <c r="I133" s="75">
        <f>G133+H133+K132</f>
        <v>2.3820800000007303E-4</v>
      </c>
      <c r="J133" s="265"/>
      <c r="K133" s="87">
        <f t="shared" si="274"/>
        <v>2.3820800000007303E-4</v>
      </c>
      <c r="L133" s="76">
        <f t="shared" si="288"/>
        <v>0</v>
      </c>
      <c r="M133" s="362">
        <v>43528</v>
      </c>
      <c r="N133" s="847"/>
      <c r="O133" s="833"/>
      <c r="P133" s="833"/>
      <c r="Q133" s="833"/>
      <c r="R133" s="833"/>
      <c r="S133" s="874"/>
      <c r="T133" s="780"/>
      <c r="V133" s="588">
        <v>0</v>
      </c>
      <c r="W133" s="588">
        <f t="shared" si="186"/>
        <v>0</v>
      </c>
      <c r="X133" s="378">
        <v>0</v>
      </c>
      <c r="Y133" s="415">
        <f t="shared" si="188"/>
        <v>0</v>
      </c>
    </row>
    <row r="134" spans="1:25" s="378" customFormat="1" ht="15" customHeight="1">
      <c r="A134" s="46">
        <v>26</v>
      </c>
      <c r="B134" s="875"/>
      <c r="C134" s="822" t="s">
        <v>333</v>
      </c>
      <c r="D134" s="839" t="s">
        <v>334</v>
      </c>
      <c r="E134" s="840">
        <v>4.2194629999999997E-3</v>
      </c>
      <c r="F134" s="321" t="s">
        <v>35</v>
      </c>
      <c r="G134" s="374">
        <f>+E134*$D$6</f>
        <v>10.109833347999999</v>
      </c>
      <c r="H134" s="79">
        <f>-15.924</f>
        <v>-15.923999999999999</v>
      </c>
      <c r="I134" s="75">
        <f>G134+H134</f>
        <v>-5.8141666520000008</v>
      </c>
      <c r="J134" s="369"/>
      <c r="K134" s="87">
        <f t="shared" si="274"/>
        <v>-5.8141666520000008</v>
      </c>
      <c r="L134" s="76">
        <f t="shared" si="288"/>
        <v>0</v>
      </c>
      <c r="M134" s="363">
        <v>43556</v>
      </c>
      <c r="N134" s="847">
        <f t="shared" ref="N134:O134" si="299">G134+G135</f>
        <v>15.924253361999998</v>
      </c>
      <c r="O134" s="847">
        <f t="shared" si="299"/>
        <v>-15.923999999999999</v>
      </c>
      <c r="P134" s="847">
        <f t="shared" ref="P134" si="300">N134+O134</f>
        <v>2.5336199999870246E-4</v>
      </c>
      <c r="Q134" s="847">
        <f t="shared" ref="Q134" si="301">J134+J135</f>
        <v>0</v>
      </c>
      <c r="R134" s="847">
        <f t="shared" ref="R134" si="302">P134-Q134</f>
        <v>2.5336199999870246E-4</v>
      </c>
      <c r="S134" s="780">
        <f t="shared" ref="S134" si="303">Q134/P134</f>
        <v>0</v>
      </c>
      <c r="T134" s="780">
        <f>(100%-+(R134/N134))</f>
        <v>0.99998408955231755</v>
      </c>
      <c r="V134" s="588">
        <v>0</v>
      </c>
      <c r="W134" s="588">
        <f t="shared" si="186"/>
        <v>0</v>
      </c>
      <c r="X134" s="378">
        <v>-15.923999999999999</v>
      </c>
      <c r="Y134" s="415">
        <f t="shared" si="188"/>
        <v>0</v>
      </c>
    </row>
    <row r="135" spans="1:25" s="378" customFormat="1" ht="15" customHeight="1">
      <c r="A135" s="46"/>
      <c r="B135" s="875"/>
      <c r="C135" s="823"/>
      <c r="D135" s="839"/>
      <c r="E135" s="840">
        <v>4.2194629999999997E-3</v>
      </c>
      <c r="F135" s="321" t="s">
        <v>95</v>
      </c>
      <c r="G135" s="374">
        <f>+E134*$D$8</f>
        <v>5.8144200139999995</v>
      </c>
      <c r="H135" s="79"/>
      <c r="I135" s="75">
        <f>G135+H135+K134</f>
        <v>2.5336199999870246E-4</v>
      </c>
      <c r="J135" s="265"/>
      <c r="K135" s="87">
        <f t="shared" si="274"/>
        <v>2.5336199999870246E-4</v>
      </c>
      <c r="L135" s="76">
        <f t="shared" si="288"/>
        <v>0</v>
      </c>
      <c r="M135" s="363">
        <v>43556</v>
      </c>
      <c r="N135" s="847"/>
      <c r="O135" s="847"/>
      <c r="P135" s="847"/>
      <c r="Q135" s="847"/>
      <c r="R135" s="847"/>
      <c r="S135" s="780"/>
      <c r="T135" s="780"/>
      <c r="V135" s="588">
        <v>0</v>
      </c>
      <c r="W135" s="588">
        <f t="shared" si="186"/>
        <v>0</v>
      </c>
      <c r="X135" s="378">
        <v>0</v>
      </c>
      <c r="Y135" s="415">
        <f t="shared" si="188"/>
        <v>0</v>
      </c>
    </row>
    <row r="136" spans="1:25" s="378" customFormat="1" ht="15" customHeight="1">
      <c r="A136" s="46">
        <v>27</v>
      </c>
      <c r="B136" s="875"/>
      <c r="C136" s="822" t="s">
        <v>293</v>
      </c>
      <c r="D136" s="839" t="s">
        <v>294</v>
      </c>
      <c r="E136" s="865">
        <v>2.0477631999999998E-3</v>
      </c>
      <c r="F136" s="321" t="s">
        <v>35</v>
      </c>
      <c r="G136" s="374">
        <f>+E136*$D$6</f>
        <v>4.9064406271999994</v>
      </c>
      <c r="H136" s="79">
        <v>-7.7279999999999998</v>
      </c>
      <c r="I136" s="75">
        <f>G136+H136</f>
        <v>-2.8215593728000004</v>
      </c>
      <c r="J136" s="369"/>
      <c r="K136" s="87">
        <f t="shared" si="274"/>
        <v>-2.8215593728000004</v>
      </c>
      <c r="L136" s="76">
        <f t="shared" si="288"/>
        <v>0</v>
      </c>
      <c r="M136" s="362">
        <v>43508</v>
      </c>
      <c r="N136" s="847">
        <f t="shared" ref="N136:O136" si="304">G136+G137</f>
        <v>7.728258316799999</v>
      </c>
      <c r="O136" s="866">
        <f t="shared" si="304"/>
        <v>-7.7279999999999998</v>
      </c>
      <c r="P136" s="866">
        <f t="shared" ref="P136" si="305">N136+O136</f>
        <v>2.583167999992142E-4</v>
      </c>
      <c r="Q136" s="866">
        <f t="shared" ref="Q136" si="306">J136+J137</f>
        <v>0</v>
      </c>
      <c r="R136" s="866">
        <f t="shared" ref="R136" si="307">P136-Q136</f>
        <v>2.583167999992142E-4</v>
      </c>
      <c r="S136" s="873">
        <f t="shared" ref="S136" si="308">Q136/P136</f>
        <v>0</v>
      </c>
      <c r="T136" s="780">
        <f>(100%-+(R136/N136))</f>
        <v>0.9999665750303095</v>
      </c>
      <c r="V136" s="588">
        <v>0</v>
      </c>
      <c r="W136" s="588">
        <f t="shared" si="186"/>
        <v>0</v>
      </c>
      <c r="X136" s="378">
        <v>-7.7279999999999998</v>
      </c>
      <c r="Y136" s="415">
        <f t="shared" si="188"/>
        <v>0</v>
      </c>
    </row>
    <row r="137" spans="1:25" s="378" customFormat="1" ht="15" customHeight="1">
      <c r="A137" s="46"/>
      <c r="B137" s="875"/>
      <c r="C137" s="823"/>
      <c r="D137" s="839"/>
      <c r="E137" s="865">
        <v>2.0477631999999998E-3</v>
      </c>
      <c r="F137" s="321" t="s">
        <v>95</v>
      </c>
      <c r="G137" s="374">
        <f>+E136*$D$8</f>
        <v>2.8218176895999996</v>
      </c>
      <c r="H137" s="79"/>
      <c r="I137" s="75">
        <f>G137+H137+K136</f>
        <v>2.583167999992142E-4</v>
      </c>
      <c r="J137" s="265"/>
      <c r="K137" s="87">
        <f t="shared" si="274"/>
        <v>2.583167999992142E-4</v>
      </c>
      <c r="L137" s="76">
        <f t="shared" si="288"/>
        <v>0</v>
      </c>
      <c r="M137" s="362">
        <v>43508</v>
      </c>
      <c r="N137" s="847"/>
      <c r="O137" s="833"/>
      <c r="P137" s="833"/>
      <c r="Q137" s="833"/>
      <c r="R137" s="833"/>
      <c r="S137" s="874"/>
      <c r="T137" s="780"/>
      <c r="V137" s="588">
        <v>0</v>
      </c>
      <c r="W137" s="588">
        <f t="shared" si="186"/>
        <v>0</v>
      </c>
      <c r="X137" s="378">
        <v>0</v>
      </c>
      <c r="Y137" s="415">
        <f t="shared" si="188"/>
        <v>0</v>
      </c>
    </row>
    <row r="138" spans="1:25" s="378" customFormat="1" ht="15" customHeight="1">
      <c r="A138" s="46">
        <v>28</v>
      </c>
      <c r="B138" s="875"/>
      <c r="C138" s="822" t="s">
        <v>319</v>
      </c>
      <c r="D138" s="839" t="s">
        <v>320</v>
      </c>
      <c r="E138" s="840">
        <v>1.9397521000000001E-2</v>
      </c>
      <c r="F138" s="321" t="s">
        <v>35</v>
      </c>
      <c r="G138" s="374">
        <f>+E138*$D$6</f>
        <v>46.476460316000001</v>
      </c>
      <c r="H138" s="79">
        <v>-73.206000000000003</v>
      </c>
      <c r="I138" s="75">
        <f>G138+H138</f>
        <v>-26.729539684000002</v>
      </c>
      <c r="J138" s="369"/>
      <c r="K138" s="87">
        <f t="shared" si="274"/>
        <v>-26.729539684000002</v>
      </c>
      <c r="L138" s="76">
        <f t="shared" si="288"/>
        <v>0</v>
      </c>
      <c r="M138" s="363">
        <v>43508</v>
      </c>
      <c r="N138" s="847">
        <f t="shared" ref="N138" si="309">G138+G139</f>
        <v>73.206244253999998</v>
      </c>
      <c r="O138" s="847">
        <f>H138+H139</f>
        <v>-73.206000000000003</v>
      </c>
      <c r="P138" s="847">
        <f t="shared" ref="P138" si="310">N138+O138</f>
        <v>2.4425399999472575E-4</v>
      </c>
      <c r="Q138" s="847">
        <f t="shared" ref="Q138" si="311">J138+J139</f>
        <v>0</v>
      </c>
      <c r="R138" s="847">
        <f t="shared" ref="R138" si="312">P138-Q138</f>
        <v>2.4425399999472575E-4</v>
      </c>
      <c r="S138" s="780">
        <f t="shared" ref="S138" si="313">Q138/P138</f>
        <v>0</v>
      </c>
      <c r="T138" s="780">
        <f>(100%-+(R138/N138))</f>
        <v>0.99999666348133986</v>
      </c>
      <c r="V138" s="588">
        <v>0</v>
      </c>
      <c r="W138" s="588">
        <f t="shared" si="186"/>
        <v>0</v>
      </c>
      <c r="X138" s="378">
        <v>-73.206000000000003</v>
      </c>
      <c r="Y138" s="415">
        <f t="shared" si="188"/>
        <v>0</v>
      </c>
    </row>
    <row r="139" spans="1:25" s="378" customFormat="1" ht="15" customHeight="1">
      <c r="A139" s="46"/>
      <c r="B139" s="875"/>
      <c r="C139" s="823"/>
      <c r="D139" s="839"/>
      <c r="E139" s="840">
        <v>1.7914275600000001E-2</v>
      </c>
      <c r="F139" s="321" t="s">
        <v>95</v>
      </c>
      <c r="G139" s="374">
        <f>+E138*$D$8</f>
        <v>26.729783938000001</v>
      </c>
      <c r="H139" s="79"/>
      <c r="I139" s="75">
        <f>G139+H139+K138</f>
        <v>2.4425399999827846E-4</v>
      </c>
      <c r="J139" s="265"/>
      <c r="K139" s="87">
        <f t="shared" si="274"/>
        <v>2.4425399999827846E-4</v>
      </c>
      <c r="L139" s="76">
        <f t="shared" si="288"/>
        <v>0</v>
      </c>
      <c r="M139" s="363">
        <v>43508</v>
      </c>
      <c r="N139" s="847"/>
      <c r="O139" s="847"/>
      <c r="P139" s="847"/>
      <c r="Q139" s="847"/>
      <c r="R139" s="847"/>
      <c r="S139" s="780"/>
      <c r="T139" s="780"/>
      <c r="V139" s="588">
        <v>0</v>
      </c>
      <c r="W139" s="588">
        <f t="shared" si="186"/>
        <v>0</v>
      </c>
      <c r="X139" s="378">
        <v>0</v>
      </c>
      <c r="Y139" s="415">
        <f t="shared" si="188"/>
        <v>0</v>
      </c>
    </row>
    <row r="140" spans="1:25" s="378" customFormat="1" ht="15" customHeight="1">
      <c r="A140" s="46">
        <v>29</v>
      </c>
      <c r="B140" s="875"/>
      <c r="C140" s="828" t="s">
        <v>295</v>
      </c>
      <c r="D140" s="872" t="s">
        <v>296</v>
      </c>
      <c r="E140" s="840">
        <v>2.4852229999999999E-3</v>
      </c>
      <c r="F140" s="321" t="s">
        <v>35</v>
      </c>
      <c r="G140" s="374">
        <f>+(E140*$D$6)+3.424</f>
        <v>9.3785943080000003</v>
      </c>
      <c r="H140" s="79">
        <f>-5-3.889</f>
        <v>-8.8889999999999993</v>
      </c>
      <c r="I140" s="75">
        <f>G140+H140</f>
        <v>0.48959430800000092</v>
      </c>
      <c r="J140" s="369"/>
      <c r="K140" s="87">
        <f t="shared" si="274"/>
        <v>0.48959430800000092</v>
      </c>
      <c r="L140" s="76">
        <f t="shared" ref="L140:L141" si="314">J140/I140</f>
        <v>0</v>
      </c>
      <c r="M140" s="318" t="s">
        <v>30</v>
      </c>
      <c r="N140" s="843">
        <f t="shared" ref="N140:O140" si="315">G140+G141</f>
        <v>9.3792316020000008</v>
      </c>
      <c r="O140" s="838">
        <f t="shared" si="315"/>
        <v>-8.8889999999999993</v>
      </c>
      <c r="P140" s="838">
        <f t="shared" ref="P140" si="316">N140+O140</f>
        <v>0.49023160200000149</v>
      </c>
      <c r="Q140" s="838">
        <f t="shared" ref="Q140" si="317">J140+J141</f>
        <v>0</v>
      </c>
      <c r="R140" s="838">
        <f t="shared" ref="R140" si="318">P140-Q140</f>
        <v>0.49023160200000149</v>
      </c>
      <c r="S140" s="817">
        <f t="shared" ref="S140" si="319">Q140/P140</f>
        <v>0</v>
      </c>
      <c r="T140" s="816">
        <f>(100%-+(R140/N140))</f>
        <v>0.94773222127327938</v>
      </c>
      <c r="V140" s="588">
        <v>0</v>
      </c>
      <c r="W140" s="588">
        <f t="shared" si="186"/>
        <v>0</v>
      </c>
      <c r="X140" s="378">
        <v>-8.8889999999999993</v>
      </c>
      <c r="Y140" s="415">
        <f t="shared" si="188"/>
        <v>0</v>
      </c>
    </row>
    <row r="141" spans="1:25" s="378" customFormat="1" ht="15" customHeight="1">
      <c r="A141" s="46"/>
      <c r="B141" s="875"/>
      <c r="C141" s="829"/>
      <c r="D141" s="872"/>
      <c r="E141" s="840">
        <v>2.4852228999999999E-3</v>
      </c>
      <c r="F141" s="321" t="s">
        <v>95</v>
      </c>
      <c r="G141" s="374">
        <f>+(E140*$D$8)-3.424</f>
        <v>6.3729400000012149E-4</v>
      </c>
      <c r="H141" s="79"/>
      <c r="I141" s="75">
        <f>G141+H141+K140</f>
        <v>0.49023160200000104</v>
      </c>
      <c r="J141" s="265"/>
      <c r="K141" s="87">
        <f t="shared" si="274"/>
        <v>0.49023160200000104</v>
      </c>
      <c r="L141" s="76">
        <f t="shared" si="314"/>
        <v>0</v>
      </c>
      <c r="M141" s="318" t="s">
        <v>30</v>
      </c>
      <c r="N141" s="843"/>
      <c r="O141" s="838"/>
      <c r="P141" s="838"/>
      <c r="Q141" s="838"/>
      <c r="R141" s="838"/>
      <c r="S141" s="817"/>
      <c r="T141" s="816"/>
      <c r="V141" s="588">
        <v>0</v>
      </c>
      <c r="W141" s="588">
        <f t="shared" si="186"/>
        <v>0</v>
      </c>
      <c r="X141" s="378">
        <v>0</v>
      </c>
      <c r="Y141" s="415">
        <f t="shared" si="188"/>
        <v>0</v>
      </c>
    </row>
    <row r="142" spans="1:25" s="378" customFormat="1" ht="15" customHeight="1">
      <c r="A142" s="46">
        <v>30</v>
      </c>
      <c r="B142" s="875"/>
      <c r="C142" s="826" t="s">
        <v>324</v>
      </c>
      <c r="D142" s="839" t="s">
        <v>325</v>
      </c>
      <c r="E142" s="840">
        <v>3.3778456999999998E-3</v>
      </c>
      <c r="F142" s="321" t="s">
        <v>35</v>
      </c>
      <c r="G142" s="374">
        <f>+E142*$D$6</f>
        <v>8.0933182971999997</v>
      </c>
      <c r="H142" s="79"/>
      <c r="I142" s="75">
        <f>G142+H142</f>
        <v>8.0933182971999997</v>
      </c>
      <c r="J142" s="479">
        <v>9.2088888888888896</v>
      </c>
      <c r="K142" s="87">
        <f t="shared" si="274"/>
        <v>-1.1155705916888898</v>
      </c>
      <c r="L142" s="76">
        <v>0</v>
      </c>
      <c r="M142" s="560">
        <v>43619</v>
      </c>
      <c r="N142" s="843">
        <f t="shared" ref="N142:O142" si="320">G142+G143</f>
        <v>12.747989671799999</v>
      </c>
      <c r="O142" s="838">
        <f t="shared" si="320"/>
        <v>0</v>
      </c>
      <c r="P142" s="838">
        <f t="shared" ref="P142" si="321">N142+O142</f>
        <v>12.747989671799999</v>
      </c>
      <c r="Q142" s="838">
        <f t="shared" ref="Q142" si="322">J142+J143</f>
        <v>9.2088888888888896</v>
      </c>
      <c r="R142" s="838">
        <f t="shared" ref="R142" si="323">P142-Q142</f>
        <v>3.5391007829111096</v>
      </c>
      <c r="S142" s="817">
        <f t="shared" ref="S142" si="324">Q142/P142</f>
        <v>0.72237969483611975</v>
      </c>
      <c r="T142" s="816">
        <f>(100%-+(R142/N142))</f>
        <v>0.72237969483611975</v>
      </c>
      <c r="U142" s="649"/>
      <c r="V142" s="650">
        <v>9.2088888888888896</v>
      </c>
      <c r="W142" s="650">
        <f t="shared" si="186"/>
        <v>0</v>
      </c>
      <c r="X142" s="378">
        <v>0</v>
      </c>
      <c r="Y142" s="415">
        <f t="shared" si="188"/>
        <v>0</v>
      </c>
    </row>
    <row r="143" spans="1:25" s="378" customFormat="1" ht="15" customHeight="1">
      <c r="A143" s="46"/>
      <c r="B143" s="875"/>
      <c r="C143" s="827"/>
      <c r="D143" s="839"/>
      <c r="E143" s="840">
        <v>3.3778456999999998E-3</v>
      </c>
      <c r="F143" s="321" t="s">
        <v>95</v>
      </c>
      <c r="G143" s="374">
        <f>+E142*$D$8</f>
        <v>4.6546713745999995</v>
      </c>
      <c r="H143" s="79"/>
      <c r="I143" s="75">
        <f>G143+H143+K142</f>
        <v>3.5391007829111096</v>
      </c>
      <c r="J143" s="265"/>
      <c r="K143" s="87">
        <f t="shared" si="274"/>
        <v>3.5391007829111096</v>
      </c>
      <c r="L143" s="76">
        <f t="shared" ref="L143:L153" si="325">J143/I143</f>
        <v>0</v>
      </c>
      <c r="M143" s="318" t="s">
        <v>30</v>
      </c>
      <c r="N143" s="843"/>
      <c r="O143" s="838"/>
      <c r="P143" s="838"/>
      <c r="Q143" s="838"/>
      <c r="R143" s="838"/>
      <c r="S143" s="817"/>
      <c r="T143" s="816"/>
      <c r="U143" s="649"/>
      <c r="V143" s="650">
        <v>0</v>
      </c>
      <c r="W143" s="650">
        <f t="shared" si="186"/>
        <v>0</v>
      </c>
      <c r="X143" s="378">
        <v>0</v>
      </c>
      <c r="Y143" s="415">
        <f t="shared" si="188"/>
        <v>0</v>
      </c>
    </row>
    <row r="144" spans="1:25" s="378" customFormat="1" ht="15" customHeight="1">
      <c r="A144" s="46">
        <v>31</v>
      </c>
      <c r="B144" s="875"/>
      <c r="C144" s="822" t="s">
        <v>326</v>
      </c>
      <c r="D144" s="839" t="s">
        <v>327</v>
      </c>
      <c r="E144" s="865">
        <v>6.1819585999999998E-3</v>
      </c>
      <c r="F144" s="321" t="s">
        <v>35</v>
      </c>
      <c r="G144" s="374">
        <f>+E144*$D$6</f>
        <v>14.8119728056</v>
      </c>
      <c r="H144" s="79">
        <v>-23.331</v>
      </c>
      <c r="I144" s="75">
        <f>G144+H144</f>
        <v>-8.5190271943999996</v>
      </c>
      <c r="J144" s="369"/>
      <c r="K144" s="87">
        <f t="shared" si="274"/>
        <v>-8.5190271943999996</v>
      </c>
      <c r="L144" s="76">
        <f t="shared" si="325"/>
        <v>0</v>
      </c>
      <c r="M144" s="363">
        <v>43508</v>
      </c>
      <c r="N144" s="847">
        <f t="shared" ref="N144:O144" si="326">G144+G145</f>
        <v>23.3307117564</v>
      </c>
      <c r="O144" s="847">
        <f t="shared" si="326"/>
        <v>-23.331</v>
      </c>
      <c r="P144" s="847">
        <f t="shared" ref="P144" si="327">N144+O144</f>
        <v>-2.8824360000001548E-4</v>
      </c>
      <c r="Q144" s="847">
        <f t="shared" ref="Q144" si="328">J144+J145</f>
        <v>0</v>
      </c>
      <c r="R144" s="847">
        <f t="shared" ref="R144" si="329">P144-Q144</f>
        <v>-2.8824360000001548E-4</v>
      </c>
      <c r="S144" s="780">
        <f t="shared" ref="S144" si="330">Q144/P144</f>
        <v>0</v>
      </c>
      <c r="T144" s="780">
        <f>(100%-+(R144/N144))</f>
        <v>1.0000123546852324</v>
      </c>
      <c r="V144" s="588">
        <v>0</v>
      </c>
      <c r="W144" s="588">
        <f t="shared" si="186"/>
        <v>0</v>
      </c>
      <c r="X144" s="378">
        <v>-23.331</v>
      </c>
      <c r="Y144" s="415">
        <f t="shared" si="188"/>
        <v>0</v>
      </c>
    </row>
    <row r="145" spans="1:25" s="378" customFormat="1" ht="15" customHeight="1">
      <c r="A145" s="46"/>
      <c r="B145" s="875"/>
      <c r="C145" s="823"/>
      <c r="D145" s="839"/>
      <c r="E145" s="865">
        <v>6.1819585999999998E-3</v>
      </c>
      <c r="F145" s="321" t="s">
        <v>95</v>
      </c>
      <c r="G145" s="374">
        <f>+E144*$D$8</f>
        <v>8.5187389507999995</v>
      </c>
      <c r="H145" s="79"/>
      <c r="I145" s="75">
        <f>G145+H145+K144</f>
        <v>-2.8824360000001548E-4</v>
      </c>
      <c r="J145" s="265"/>
      <c r="K145" s="87">
        <f t="shared" si="274"/>
        <v>-2.8824360000001548E-4</v>
      </c>
      <c r="L145" s="76">
        <f t="shared" si="325"/>
        <v>0</v>
      </c>
      <c r="M145" s="363">
        <v>43508</v>
      </c>
      <c r="N145" s="847"/>
      <c r="O145" s="847"/>
      <c r="P145" s="847"/>
      <c r="Q145" s="847"/>
      <c r="R145" s="847"/>
      <c r="S145" s="780"/>
      <c r="T145" s="780"/>
      <c r="V145" s="588">
        <v>0</v>
      </c>
      <c r="W145" s="588">
        <f t="shared" si="186"/>
        <v>0</v>
      </c>
      <c r="X145" s="378">
        <v>0</v>
      </c>
      <c r="Y145" s="415">
        <f t="shared" si="188"/>
        <v>0</v>
      </c>
    </row>
    <row r="146" spans="1:25" s="378" customFormat="1" ht="15" customHeight="1">
      <c r="A146" s="46">
        <v>32</v>
      </c>
      <c r="B146" s="875"/>
      <c r="C146" s="822" t="s">
        <v>336</v>
      </c>
      <c r="D146" s="839" t="s">
        <v>404</v>
      </c>
      <c r="E146" s="865">
        <v>1.1470409999999999E-3</v>
      </c>
      <c r="F146" s="321" t="s">
        <v>35</v>
      </c>
      <c r="G146" s="374">
        <f>+E146*$D$6</f>
        <v>2.7483102359999996</v>
      </c>
      <c r="H146" s="79">
        <f>-4</f>
        <v>-4</v>
      </c>
      <c r="I146" s="75">
        <f>G146+H146</f>
        <v>-1.2516897640000004</v>
      </c>
      <c r="J146" s="369">
        <v>0.27</v>
      </c>
      <c r="K146" s="87">
        <f t="shared" si="274"/>
        <v>-1.5216897640000004</v>
      </c>
      <c r="L146" s="508">
        <f t="shared" si="325"/>
        <v>-0.21570840296493782</v>
      </c>
      <c r="M146" s="560">
        <v>43613</v>
      </c>
      <c r="N146" s="843">
        <f t="shared" ref="N146:O146" si="331">G146+G147</f>
        <v>4.3289327339999994</v>
      </c>
      <c r="O146" s="838">
        <f t="shared" si="331"/>
        <v>-4</v>
      </c>
      <c r="P146" s="838">
        <f t="shared" ref="P146" si="332">N146+O146</f>
        <v>0.32893273399999945</v>
      </c>
      <c r="Q146" s="838">
        <f t="shared" ref="Q146" si="333">J146+J147</f>
        <v>0.27</v>
      </c>
      <c r="R146" s="838">
        <f t="shared" ref="R146" si="334">P146-Q146</f>
        <v>5.8932733999999432E-2</v>
      </c>
      <c r="S146" s="817">
        <f t="shared" ref="S146" si="335">Q146/P146</f>
        <v>0.82083651790034518</v>
      </c>
      <c r="T146" s="816">
        <f>(100%-+(R146/N146))</f>
        <v>0.98638631329677773</v>
      </c>
      <c r="V146" s="588">
        <v>0.27</v>
      </c>
      <c r="W146" s="588">
        <f t="shared" si="186"/>
        <v>0</v>
      </c>
      <c r="X146" s="378">
        <v>-4</v>
      </c>
      <c r="Y146" s="415">
        <f t="shared" si="188"/>
        <v>0</v>
      </c>
    </row>
    <row r="147" spans="1:25" s="378" customFormat="1" ht="15" customHeight="1">
      <c r="A147" s="46"/>
      <c r="B147" s="875"/>
      <c r="C147" s="823"/>
      <c r="D147" s="839"/>
      <c r="E147" s="865">
        <v>1.729895E-3</v>
      </c>
      <c r="F147" s="321" t="s">
        <v>95</v>
      </c>
      <c r="G147" s="374">
        <f>+E146*$D$8</f>
        <v>1.5806224979999999</v>
      </c>
      <c r="H147" s="79"/>
      <c r="I147" s="75">
        <f>G147+H147+K146</f>
        <v>5.8932733999999432E-2</v>
      </c>
      <c r="J147" s="265"/>
      <c r="K147" s="87">
        <f t="shared" si="274"/>
        <v>5.8932733999999432E-2</v>
      </c>
      <c r="L147" s="76">
        <f t="shared" si="325"/>
        <v>0</v>
      </c>
      <c r="M147" s="318" t="s">
        <v>30</v>
      </c>
      <c r="N147" s="843"/>
      <c r="O147" s="838"/>
      <c r="P147" s="838"/>
      <c r="Q147" s="838"/>
      <c r="R147" s="838"/>
      <c r="S147" s="817"/>
      <c r="T147" s="816"/>
      <c r="V147" s="588">
        <v>0</v>
      </c>
      <c r="W147" s="588">
        <f t="shared" si="186"/>
        <v>0</v>
      </c>
      <c r="X147" s="378">
        <v>0</v>
      </c>
      <c r="Y147" s="415">
        <f t="shared" si="188"/>
        <v>0</v>
      </c>
    </row>
    <row r="148" spans="1:25" s="378" customFormat="1" ht="15" customHeight="1">
      <c r="A148" s="46">
        <v>33</v>
      </c>
      <c r="B148" s="875"/>
      <c r="C148" s="824" t="s">
        <v>402</v>
      </c>
      <c r="D148" s="839" t="s">
        <v>388</v>
      </c>
      <c r="E148" s="840">
        <v>9.70231E-4</v>
      </c>
      <c r="F148" s="321" t="s">
        <v>35</v>
      </c>
      <c r="G148" s="374">
        <f>+E148*$D$6</f>
        <v>2.3246734760000001</v>
      </c>
      <c r="H148" s="79">
        <f>-3662/1000</f>
        <v>-3.6619999999999999</v>
      </c>
      <c r="I148" s="75">
        <f>G148+H148</f>
        <v>-1.3373265239999998</v>
      </c>
      <c r="J148" s="369"/>
      <c r="K148" s="87">
        <f t="shared" si="274"/>
        <v>-1.3373265239999998</v>
      </c>
      <c r="L148" s="76">
        <f t="shared" si="325"/>
        <v>0</v>
      </c>
      <c r="M148" s="363">
        <v>43564</v>
      </c>
      <c r="N148" s="847">
        <f t="shared" ref="N148:O148" si="336">G148+G149</f>
        <v>3.661651794</v>
      </c>
      <c r="O148" s="847">
        <f t="shared" si="336"/>
        <v>-3.6619999999999999</v>
      </c>
      <c r="P148" s="847">
        <f t="shared" ref="P148" si="337">N148+O148</f>
        <v>-3.4820599999996205E-4</v>
      </c>
      <c r="Q148" s="847">
        <f t="shared" ref="Q148" si="338">J148+J149</f>
        <v>0</v>
      </c>
      <c r="R148" s="847">
        <f t="shared" ref="R148" si="339">P148-Q148</f>
        <v>-3.4820599999996205E-4</v>
      </c>
      <c r="S148" s="780">
        <f t="shared" ref="S148" si="340">Q148/P148</f>
        <v>0</v>
      </c>
      <c r="T148" s="780">
        <f>(100%-+(R148/N148))</f>
        <v>1.0000950953339065</v>
      </c>
      <c r="V148" s="588">
        <v>0</v>
      </c>
      <c r="W148" s="588">
        <f t="shared" ref="W148:W198" si="341">+V148-J148</f>
        <v>0</v>
      </c>
      <c r="X148" s="378">
        <v>-3.6619999999999999</v>
      </c>
      <c r="Y148" s="415">
        <f t="shared" si="188"/>
        <v>0</v>
      </c>
    </row>
    <row r="149" spans="1:25" s="378" customFormat="1" ht="15" customHeight="1">
      <c r="A149" s="46"/>
      <c r="B149" s="875"/>
      <c r="C149" s="825"/>
      <c r="D149" s="839"/>
      <c r="E149" s="840">
        <v>9.70231E-4</v>
      </c>
      <c r="F149" s="321" t="s">
        <v>95</v>
      </c>
      <c r="G149" s="374">
        <f>+E148*$D$8</f>
        <v>1.3369783180000001</v>
      </c>
      <c r="H149" s="79"/>
      <c r="I149" s="75">
        <f>G149+H149+K148</f>
        <v>-3.4820599999974E-4</v>
      </c>
      <c r="J149" s="265"/>
      <c r="K149" s="87">
        <f t="shared" si="274"/>
        <v>-3.4820599999974E-4</v>
      </c>
      <c r="L149" s="76">
        <f t="shared" si="325"/>
        <v>0</v>
      </c>
      <c r="M149" s="363">
        <v>43564</v>
      </c>
      <c r="N149" s="847"/>
      <c r="O149" s="847"/>
      <c r="P149" s="847"/>
      <c r="Q149" s="847"/>
      <c r="R149" s="847"/>
      <c r="S149" s="780"/>
      <c r="T149" s="780"/>
      <c r="V149" s="588">
        <v>0</v>
      </c>
      <c r="W149" s="588">
        <f t="shared" si="341"/>
        <v>0</v>
      </c>
      <c r="X149" s="378">
        <v>0</v>
      </c>
      <c r="Y149" s="415">
        <f t="shared" si="188"/>
        <v>0</v>
      </c>
    </row>
    <row r="150" spans="1:25" s="378" customFormat="1" ht="15" customHeight="1">
      <c r="A150" s="46">
        <v>34</v>
      </c>
      <c r="B150" s="875"/>
      <c r="C150" s="822" t="s">
        <v>335</v>
      </c>
      <c r="D150" s="839" t="s">
        <v>403</v>
      </c>
      <c r="E150" s="840">
        <v>1.729895E-3</v>
      </c>
      <c r="F150" s="321" t="s">
        <v>35</v>
      </c>
      <c r="G150" s="374">
        <f>+E150*$D$6</f>
        <v>4.1448284199999996</v>
      </c>
      <c r="H150" s="79"/>
      <c r="I150" s="75">
        <f>G150+H150</f>
        <v>4.1448284199999996</v>
      </c>
      <c r="J150" s="369">
        <v>6.5277777777777777</v>
      </c>
      <c r="K150" s="87">
        <f t="shared" si="274"/>
        <v>-2.3829493577777781</v>
      </c>
      <c r="L150" s="76">
        <f t="shared" si="325"/>
        <v>1.5749211104323055</v>
      </c>
      <c r="M150" s="363">
        <v>43564</v>
      </c>
      <c r="N150" s="847">
        <f t="shared" ref="N150:O150" si="342">G150+G151</f>
        <v>6.5286237299999996</v>
      </c>
      <c r="O150" s="847">
        <f t="shared" si="342"/>
        <v>0</v>
      </c>
      <c r="P150" s="847">
        <f t="shared" ref="P150" si="343">N150+O150</f>
        <v>6.5286237299999996</v>
      </c>
      <c r="Q150" s="847">
        <f t="shared" ref="Q150" si="344">J150+J151</f>
        <v>6.5277777777777777</v>
      </c>
      <c r="R150" s="847">
        <f t="shared" ref="R150" si="345">P150-Q150</f>
        <v>8.4595222222194622E-4</v>
      </c>
      <c r="S150" s="780">
        <f t="shared" ref="S150" si="346">Q150/P150</f>
        <v>0.99987042411123572</v>
      </c>
      <c r="T150" s="780">
        <f>(100%-+(R150/N150))</f>
        <v>0.99987042411123572</v>
      </c>
      <c r="V150" s="588">
        <v>6.5277777777777777</v>
      </c>
      <c r="W150" s="588">
        <f t="shared" si="341"/>
        <v>0</v>
      </c>
      <c r="X150" s="378">
        <v>0</v>
      </c>
      <c r="Y150" s="415">
        <f t="shared" si="188"/>
        <v>0</v>
      </c>
    </row>
    <row r="151" spans="1:25" s="378" customFormat="1" ht="15" customHeight="1">
      <c r="A151" s="46"/>
      <c r="B151" s="875"/>
      <c r="C151" s="823"/>
      <c r="D151" s="839"/>
      <c r="E151" s="840">
        <v>1.729895E-3</v>
      </c>
      <c r="F151" s="321" t="s">
        <v>95</v>
      </c>
      <c r="G151" s="374">
        <f>+E150*$D$8</f>
        <v>2.38379531</v>
      </c>
      <c r="H151" s="79"/>
      <c r="I151" s="75">
        <f>G151+H151+K150</f>
        <v>8.4595222222194622E-4</v>
      </c>
      <c r="J151" s="265"/>
      <c r="K151" s="87">
        <f t="shared" si="274"/>
        <v>8.4595222222194622E-4</v>
      </c>
      <c r="L151" s="76">
        <f t="shared" si="325"/>
        <v>0</v>
      </c>
      <c r="M151" s="363">
        <v>43564</v>
      </c>
      <c r="N151" s="847"/>
      <c r="O151" s="847"/>
      <c r="P151" s="847"/>
      <c r="Q151" s="847"/>
      <c r="R151" s="847"/>
      <c r="S151" s="780"/>
      <c r="T151" s="780"/>
      <c r="V151" s="588">
        <v>0</v>
      </c>
      <c r="W151" s="588">
        <f t="shared" si="341"/>
        <v>0</v>
      </c>
      <c r="X151" s="378">
        <v>0</v>
      </c>
      <c r="Y151" s="415">
        <f t="shared" si="188"/>
        <v>0</v>
      </c>
    </row>
    <row r="152" spans="1:25" s="378" customFormat="1" ht="15" customHeight="1">
      <c r="A152" s="46">
        <v>35</v>
      </c>
      <c r="B152" s="875"/>
      <c r="C152" s="822" t="s">
        <v>328</v>
      </c>
      <c r="D152" s="839" t="s">
        <v>329</v>
      </c>
      <c r="E152" s="840">
        <v>5.6303055000000001E-3</v>
      </c>
      <c r="F152" s="321" t="s">
        <v>35</v>
      </c>
      <c r="G152" s="374">
        <f>+E152*$D$6</f>
        <v>13.490211978</v>
      </c>
      <c r="H152" s="79">
        <v>-21.248999999999999</v>
      </c>
      <c r="I152" s="75">
        <f>G152+H152</f>
        <v>-7.7587880219999992</v>
      </c>
      <c r="J152" s="369"/>
      <c r="K152" s="87">
        <f t="shared" si="274"/>
        <v>-7.7587880219999992</v>
      </c>
      <c r="L152" s="76">
        <f t="shared" si="325"/>
        <v>0</v>
      </c>
      <c r="M152" s="363">
        <v>43508</v>
      </c>
      <c r="N152" s="847">
        <f t="shared" ref="N152:O152" si="347">G152+G153</f>
        <v>21.248772957</v>
      </c>
      <c r="O152" s="847">
        <f t="shared" si="347"/>
        <v>-21.248999999999999</v>
      </c>
      <c r="P152" s="847">
        <f t="shared" ref="P152" si="348">N152+O152</f>
        <v>-2.2704299999887212E-4</v>
      </c>
      <c r="Q152" s="847">
        <f t="shared" ref="Q152" si="349">J152+J153</f>
        <v>0</v>
      </c>
      <c r="R152" s="847">
        <f t="shared" ref="R152" si="350">P152-Q152</f>
        <v>-2.2704299999887212E-4</v>
      </c>
      <c r="S152" s="780">
        <f t="shared" ref="S152" si="351">Q152/P152</f>
        <v>0</v>
      </c>
      <c r="T152" s="780">
        <f>(100%-+(R152/N152))</f>
        <v>1.0000106849934562</v>
      </c>
      <c r="V152" s="378">
        <v>0</v>
      </c>
      <c r="W152" s="588">
        <f t="shared" si="341"/>
        <v>0</v>
      </c>
      <c r="X152" s="378">
        <v>-21.248999999999999</v>
      </c>
      <c r="Y152" s="415">
        <f t="shared" si="188"/>
        <v>0</v>
      </c>
    </row>
    <row r="153" spans="1:25" s="378" customFormat="1" ht="15" customHeight="1">
      <c r="A153" s="46"/>
      <c r="B153" s="875"/>
      <c r="C153" s="823"/>
      <c r="D153" s="839"/>
      <c r="E153" s="840">
        <v>5.6303055000000001E-3</v>
      </c>
      <c r="F153" s="321" t="s">
        <v>95</v>
      </c>
      <c r="G153" s="374">
        <f>+E152*$D$8</f>
        <v>7.7585609790000003</v>
      </c>
      <c r="H153" s="79"/>
      <c r="I153" s="75">
        <f>G153+H153+K152</f>
        <v>-2.2704299999887212E-4</v>
      </c>
      <c r="J153" s="265"/>
      <c r="K153" s="87">
        <f t="shared" si="274"/>
        <v>-2.2704299999887212E-4</v>
      </c>
      <c r="L153" s="76">
        <f t="shared" si="325"/>
        <v>0</v>
      </c>
      <c r="M153" s="363">
        <v>43508</v>
      </c>
      <c r="N153" s="847"/>
      <c r="O153" s="847"/>
      <c r="P153" s="847"/>
      <c r="Q153" s="847"/>
      <c r="R153" s="847"/>
      <c r="S153" s="780"/>
      <c r="T153" s="780"/>
      <c r="V153" s="378">
        <v>0</v>
      </c>
      <c r="W153" s="588">
        <f t="shared" si="341"/>
        <v>0</v>
      </c>
      <c r="X153" s="378">
        <v>0</v>
      </c>
      <c r="Y153" s="415">
        <f t="shared" ref="Y153:Y155" si="352">+X153-H153</f>
        <v>0</v>
      </c>
    </row>
    <row r="154" spans="1:25" s="378" customFormat="1" ht="15" customHeight="1">
      <c r="A154" s="46">
        <v>36</v>
      </c>
      <c r="B154" s="875"/>
      <c r="C154" s="822" t="s">
        <v>337</v>
      </c>
      <c r="D154" s="839"/>
      <c r="E154" s="840">
        <v>8.2242600000000002E-4</v>
      </c>
      <c r="F154" s="321" t="s">
        <v>35</v>
      </c>
      <c r="G154" s="374">
        <f>+E154*$D$6</f>
        <v>1.970532696</v>
      </c>
      <c r="H154" s="79"/>
      <c r="I154" s="75">
        <f>G154+H154</f>
        <v>1.970532696</v>
      </c>
      <c r="J154" s="369">
        <v>3.1033333333333331</v>
      </c>
      <c r="K154" s="87">
        <f t="shared" si="187"/>
        <v>-1.132800637333333</v>
      </c>
      <c r="L154" s="76">
        <f t="shared" ref="L154:L157" si="353">J154/I154</f>
        <v>1.574870256978133</v>
      </c>
      <c r="M154" s="363">
        <v>43564</v>
      </c>
      <c r="N154" s="847">
        <f>G154+G155</f>
        <v>3.1038357240000001</v>
      </c>
      <c r="O154" s="847">
        <f>H154+H155</f>
        <v>0</v>
      </c>
      <c r="P154" s="847">
        <f t="shared" ref="P154" si="354">N154+O154</f>
        <v>3.1038357240000001</v>
      </c>
      <c r="Q154" s="847">
        <f>J154+J155</f>
        <v>3.1033333333333331</v>
      </c>
      <c r="R154" s="847">
        <f t="shared" ref="R154" si="355">P154-Q154</f>
        <v>5.0239066666701859E-4</v>
      </c>
      <c r="S154" s="780">
        <f>Q154/P154</f>
        <v>0.99983813877043093</v>
      </c>
      <c r="T154" s="780">
        <f t="shared" ref="T154:T156" si="356">(100%-+(R154/N154))</f>
        <v>0.99983813877043093</v>
      </c>
      <c r="V154" s="588">
        <v>0</v>
      </c>
      <c r="W154" s="588">
        <f t="shared" si="341"/>
        <v>-3.1033333333333331</v>
      </c>
      <c r="Y154" s="415">
        <f t="shared" si="352"/>
        <v>0</v>
      </c>
    </row>
    <row r="155" spans="1:25" s="378" customFormat="1" ht="15" customHeight="1">
      <c r="A155" s="46"/>
      <c r="B155" s="875"/>
      <c r="C155" s="823"/>
      <c r="D155" s="839"/>
      <c r="E155" s="840">
        <v>8.2242600000000002E-4</v>
      </c>
      <c r="F155" s="321" t="s">
        <v>95</v>
      </c>
      <c r="G155" s="374">
        <f>+E154*$D$8</f>
        <v>1.133303028</v>
      </c>
      <c r="H155" s="79"/>
      <c r="I155" s="75">
        <f>G155+H155+K154</f>
        <v>5.0239066666701859E-4</v>
      </c>
      <c r="J155" s="265"/>
      <c r="K155" s="87">
        <f>I155-J155</f>
        <v>5.0239066666701859E-4</v>
      </c>
      <c r="L155" s="76">
        <f t="shared" si="353"/>
        <v>0</v>
      </c>
      <c r="M155" s="363">
        <v>43564</v>
      </c>
      <c r="N155" s="847"/>
      <c r="O155" s="847"/>
      <c r="P155" s="847"/>
      <c r="Q155" s="847"/>
      <c r="R155" s="847"/>
      <c r="S155" s="780"/>
      <c r="T155" s="780"/>
      <c r="V155" s="588">
        <v>0</v>
      </c>
      <c r="W155" s="588">
        <f t="shared" si="341"/>
        <v>0</v>
      </c>
      <c r="Y155" s="415">
        <f t="shared" si="352"/>
        <v>0</v>
      </c>
    </row>
    <row r="156" spans="1:25" s="378" customFormat="1" ht="15" customHeight="1">
      <c r="A156" s="46"/>
      <c r="B156" s="385" t="s">
        <v>338</v>
      </c>
      <c r="C156" s="405"/>
      <c r="D156" s="390"/>
      <c r="E156" s="882">
        <f>SUM(E88:E155)</f>
        <v>0.57615809879999991</v>
      </c>
      <c r="F156" s="318" t="s">
        <v>35</v>
      </c>
      <c r="G156" s="381">
        <f>G88+G90+G106+G132+G128+G136+G140+G130+G118+G108+G100+G120+G112+G96+G110+G126+G94+G124+G102+G114+G104+G138+G122+G116+G142+G144+G92+G152+G98+G134++G148+G150+G146+G154</f>
        <v>732.24207845960007</v>
      </c>
      <c r="H156" s="202">
        <f>H88+H90+H106+H132+H128+H136+H140+H130+H118+H108+H100+H120+H112+H96+H110+H126+H94+H124+H102+H114+H104+H138+H122+H116+H142+H144+H92+H152+H98+H134++H148+H150+H146+H154</f>
        <v>-1039.2980000000002</v>
      </c>
      <c r="I156" s="202">
        <f>+G156+H156</f>
        <v>-307.05592154040016</v>
      </c>
      <c r="J156" s="567">
        <f>J88+J90+J106+J132+J128+J136+J140+J130+J118+J108+J100+J120+J112+J96+J110+J126+J94+J124+J102+J114+J104+J138+J122+J116+J142+J144+J92+J152+J98+J134++J148+J150+J146+J154</f>
        <v>45.390555555555558</v>
      </c>
      <c r="K156" s="406">
        <f t="shared" si="187"/>
        <v>-352.44647709595574</v>
      </c>
      <c r="L156" s="202">
        <f t="shared" si="353"/>
        <v>-0.14782504544398894</v>
      </c>
      <c r="M156" s="862" t="s">
        <v>30</v>
      </c>
      <c r="N156" s="863">
        <f>SUM(N88:N155)</f>
        <v>1111.4072624843996</v>
      </c>
      <c r="O156" s="863">
        <f>SUM(O88:O155)</f>
        <v>-1039.298</v>
      </c>
      <c r="P156" s="863">
        <f>+N156+O156</f>
        <v>72.109262484399551</v>
      </c>
      <c r="Q156" s="863">
        <f>SUM(Q88:Q155)</f>
        <v>45.390555555555558</v>
      </c>
      <c r="R156" s="863">
        <f>+P156-Q156</f>
        <v>26.718706928843993</v>
      </c>
      <c r="S156" s="864">
        <f t="shared" ref="S156" si="357">Q156/P156</f>
        <v>0.62946914157353306</v>
      </c>
      <c r="T156" s="816">
        <f t="shared" si="356"/>
        <v>0.97595957140938783</v>
      </c>
      <c r="V156" s="378">
        <v>0</v>
      </c>
      <c r="W156" s="588">
        <f t="shared" si="341"/>
        <v>-45.390555555555558</v>
      </c>
    </row>
    <row r="157" spans="1:25" s="378" customFormat="1" ht="15" customHeight="1">
      <c r="A157" s="46"/>
      <c r="B157" s="387"/>
      <c r="C157" s="407"/>
      <c r="D157" s="396"/>
      <c r="E157" s="882"/>
      <c r="F157" s="318" t="s">
        <v>95</v>
      </c>
      <c r="G157" s="381">
        <f>G89+G91+G107+G133+G129+G137+G141+G131+G119+G109+G101+G121+G113+G97+G111+G127+G95+G125+G103+G115+G105+G139+G123+G117+G143+G145+G93+G153+G99+G135++G149+G151+G147+G155</f>
        <v>379.16518402480011</v>
      </c>
      <c r="H157" s="202">
        <f>H89+H91+H107+H133+H129+H137+H141+H131+H119+H109+H101+H121+H113+H97+H111+H127+H95+H125+H103+H115+H105+H139+H123+H117+H143+H145+H93+H153+H99+H135++H149+H151+H147+H155</f>
        <v>0</v>
      </c>
      <c r="I157" s="202">
        <f>G157+H157+K156</f>
        <v>26.718706928844369</v>
      </c>
      <c r="J157" s="202">
        <f>J89+J91+J107+J133+J129+J137+J141+J131+J119+J109+J101+J121+J113+J97+J111+J127+J95+J125+J103+J115+J105+J139+J123+J117+J143+J145+J93+J153+J99+J135++J149+J151+J147+J155</f>
        <v>0</v>
      </c>
      <c r="K157" s="406">
        <f>I157-J157</f>
        <v>26.718706928844369</v>
      </c>
      <c r="L157" s="202">
        <f t="shared" si="353"/>
        <v>0</v>
      </c>
      <c r="M157" s="862"/>
      <c r="N157" s="863"/>
      <c r="O157" s="863"/>
      <c r="P157" s="863"/>
      <c r="Q157" s="863"/>
      <c r="R157" s="863"/>
      <c r="S157" s="864"/>
      <c r="T157" s="816"/>
      <c r="W157" s="588"/>
    </row>
    <row r="158" spans="1:25" s="1" customFormat="1" ht="15" customHeight="1">
      <c r="A158" s="46"/>
      <c r="B158" s="408"/>
      <c r="C158" s="49"/>
      <c r="D158" s="46"/>
      <c r="E158" s="46"/>
      <c r="F158" s="3"/>
      <c r="G158" s="47"/>
      <c r="H158" s="46"/>
      <c r="I158" s="46"/>
      <c r="J158" s="46"/>
      <c r="K158" s="46"/>
      <c r="L158" s="152"/>
      <c r="M158" s="62"/>
      <c r="N158" s="62"/>
      <c r="O158" s="62"/>
      <c r="P158" s="62"/>
      <c r="Q158" s="62"/>
      <c r="R158" s="62"/>
      <c r="S158" s="62"/>
      <c r="T158" s="907"/>
      <c r="W158" s="588"/>
    </row>
    <row r="159" spans="1:25" s="1" customFormat="1" ht="15" customHeight="1">
      <c r="A159" s="46"/>
      <c r="B159" s="46"/>
      <c r="C159" s="49"/>
      <c r="D159" s="46"/>
      <c r="E159" s="46"/>
      <c r="F159" s="3"/>
      <c r="G159" s="46"/>
      <c r="H159" s="212">
        <f>+H156-H148-H122-H124</f>
        <v>-877.31900000000019</v>
      </c>
      <c r="I159" s="46"/>
      <c r="J159" s="46"/>
      <c r="K159" s="46"/>
      <c r="L159" s="3"/>
      <c r="M159" s="46"/>
      <c r="N159" s="46"/>
      <c r="O159" s="46"/>
      <c r="P159" s="46"/>
      <c r="Q159" s="46"/>
      <c r="R159" s="46"/>
      <c r="S159" s="46"/>
      <c r="T159" s="907"/>
      <c r="W159" s="588"/>
    </row>
    <row r="160" spans="1:25" s="378" customFormat="1" ht="15" customHeight="1">
      <c r="A160" s="46"/>
      <c r="B160" s="365" t="s">
        <v>239</v>
      </c>
      <c r="C160" s="547" t="s">
        <v>240</v>
      </c>
      <c r="D160" s="518" t="s">
        <v>241</v>
      </c>
      <c r="E160" s="548" t="s">
        <v>242</v>
      </c>
      <c r="F160" s="518" t="s">
        <v>243</v>
      </c>
      <c r="G160" s="549" t="s">
        <v>235</v>
      </c>
      <c r="H160" s="543" t="s">
        <v>4</v>
      </c>
      <c r="I160" s="518" t="s">
        <v>5</v>
      </c>
      <c r="J160" s="518" t="s">
        <v>236</v>
      </c>
      <c r="K160" s="518" t="s">
        <v>45</v>
      </c>
      <c r="L160" s="365" t="s">
        <v>46</v>
      </c>
      <c r="M160" s="365" t="s">
        <v>75</v>
      </c>
      <c r="N160" s="518" t="s">
        <v>244</v>
      </c>
      <c r="O160" s="518" t="s">
        <v>4</v>
      </c>
      <c r="P160" s="518" t="s">
        <v>5</v>
      </c>
      <c r="Q160" s="518" t="s">
        <v>6</v>
      </c>
      <c r="R160" s="518" t="s">
        <v>7</v>
      </c>
      <c r="S160" s="550" t="s">
        <v>428</v>
      </c>
      <c r="T160" s="551" t="s">
        <v>427</v>
      </c>
      <c r="W160" s="588"/>
    </row>
    <row r="161" spans="1:23" s="378" customFormat="1" ht="15" customHeight="1">
      <c r="A161" s="46">
        <v>1</v>
      </c>
      <c r="B161" s="920" t="s">
        <v>339</v>
      </c>
      <c r="C161" s="856" t="s">
        <v>429</v>
      </c>
      <c r="D161" s="295" t="s">
        <v>344</v>
      </c>
      <c r="E161" s="861">
        <v>2.11414194E-2</v>
      </c>
      <c r="F161" s="81" t="s">
        <v>35</v>
      </c>
      <c r="G161" s="375">
        <f>+E161*$D$6</f>
        <v>50.654840882400002</v>
      </c>
      <c r="H161" s="417">
        <f>-61.342-18.446</f>
        <v>-79.787999999999997</v>
      </c>
      <c r="I161" s="82">
        <f>G161+H161</f>
        <v>-29.133159117599995</v>
      </c>
      <c r="J161" s="546"/>
      <c r="K161" s="86">
        <f t="shared" ref="K161:K166" si="358">I161-J161</f>
        <v>-29.133159117599995</v>
      </c>
      <c r="L161" s="89">
        <f t="shared" ref="L161:L166" si="359">J161/I161</f>
        <v>0</v>
      </c>
      <c r="M161" s="552">
        <v>43556</v>
      </c>
      <c r="N161" s="833">
        <f>G161+G162</f>
        <v>79.787716815600007</v>
      </c>
      <c r="O161" s="833">
        <f>H161+H162</f>
        <v>-79.787999999999997</v>
      </c>
      <c r="P161" s="833">
        <f>N161+O161</f>
        <v>-2.8318439998997746E-4</v>
      </c>
      <c r="Q161" s="833">
        <f>J161+J162</f>
        <v>0</v>
      </c>
      <c r="R161" s="833">
        <f>P161-Q161</f>
        <v>-2.8318439998997746E-4</v>
      </c>
      <c r="S161" s="842">
        <f>Q161/P161</f>
        <v>0</v>
      </c>
      <c r="T161" s="842">
        <f t="shared" ref="T161:T195" si="360">(100%-+(R161/N161))</f>
        <v>1.0000035492230044</v>
      </c>
      <c r="V161" s="378">
        <v>0</v>
      </c>
      <c r="W161" s="588">
        <f t="shared" si="341"/>
        <v>0</v>
      </c>
    </row>
    <row r="162" spans="1:23" s="378" customFormat="1" ht="15" customHeight="1">
      <c r="A162" s="46"/>
      <c r="B162" s="921"/>
      <c r="C162" s="819"/>
      <c r="D162" s="320"/>
      <c r="E162" s="834"/>
      <c r="F162" s="321" t="s">
        <v>95</v>
      </c>
      <c r="G162" s="376">
        <f>+E161*$D$8</f>
        <v>29.132875933200001</v>
      </c>
      <c r="H162" s="79"/>
      <c r="I162" s="75">
        <f>G162+H162+K161</f>
        <v>-2.8318439999353018E-4</v>
      </c>
      <c r="J162" s="265"/>
      <c r="K162" s="87">
        <f t="shared" si="358"/>
        <v>-2.8318439999353018E-4</v>
      </c>
      <c r="L162" s="76">
        <f t="shared" si="359"/>
        <v>0</v>
      </c>
      <c r="M162" s="362">
        <v>43556</v>
      </c>
      <c r="N162" s="846"/>
      <c r="O162" s="846"/>
      <c r="P162" s="846"/>
      <c r="Q162" s="846"/>
      <c r="R162" s="846"/>
      <c r="S162" s="848"/>
      <c r="T162" s="848"/>
      <c r="V162" s="378">
        <v>0</v>
      </c>
      <c r="W162" s="588">
        <f t="shared" si="341"/>
        <v>0</v>
      </c>
    </row>
    <row r="163" spans="1:23" s="378" customFormat="1" ht="15" customHeight="1">
      <c r="A163" s="46">
        <v>2</v>
      </c>
      <c r="B163" s="921"/>
      <c r="C163" s="818" t="s">
        <v>341</v>
      </c>
      <c r="D163" s="322">
        <v>4410</v>
      </c>
      <c r="E163" s="834">
        <v>9.2118057000000007E-3</v>
      </c>
      <c r="F163" s="321" t="s">
        <v>35</v>
      </c>
      <c r="G163" s="376">
        <f>+E163*$D$6</f>
        <v>22.071486457200002</v>
      </c>
      <c r="H163" s="79">
        <v>-34.765000000000001</v>
      </c>
      <c r="I163" s="75">
        <f>G163+H163</f>
        <v>-12.693513542799998</v>
      </c>
      <c r="J163" s="369"/>
      <c r="K163" s="87">
        <f>I163-J163</f>
        <v>-12.693513542799998</v>
      </c>
      <c r="L163" s="76">
        <f t="shared" si="359"/>
        <v>0</v>
      </c>
      <c r="M163" s="362">
        <v>43524</v>
      </c>
      <c r="N163" s="846">
        <f t="shared" ref="N163" si="361">G163+G164</f>
        <v>34.765354711800001</v>
      </c>
      <c r="O163" s="846">
        <f>H163+H164</f>
        <v>-34.765000000000001</v>
      </c>
      <c r="P163" s="846">
        <f t="shared" ref="P163" si="362">N163+O163</f>
        <v>3.5471180000001823E-4</v>
      </c>
      <c r="Q163" s="846">
        <f t="shared" ref="Q163" si="363">J163+J164</f>
        <v>0</v>
      </c>
      <c r="R163" s="846">
        <f t="shared" ref="R163" si="364">P163-Q163</f>
        <v>3.5471180000001823E-4</v>
      </c>
      <c r="S163" s="848">
        <f t="shared" ref="S163" si="365">Q163/P163</f>
        <v>0</v>
      </c>
      <c r="T163" s="848">
        <f t="shared" si="360"/>
        <v>0.9999897969745184</v>
      </c>
      <c r="V163" s="378">
        <v>0</v>
      </c>
      <c r="W163" s="588">
        <f t="shared" si="341"/>
        <v>0</v>
      </c>
    </row>
    <row r="164" spans="1:23" s="378" customFormat="1" ht="15" customHeight="1">
      <c r="A164" s="46"/>
      <c r="B164" s="921"/>
      <c r="C164" s="819"/>
      <c r="D164" s="320"/>
      <c r="E164" s="834">
        <v>9.2118057000000007E-3</v>
      </c>
      <c r="F164" s="321" t="s">
        <v>95</v>
      </c>
      <c r="G164" s="376">
        <f>+E163*$D$8</f>
        <v>12.693868254600002</v>
      </c>
      <c r="H164" s="79"/>
      <c r="I164" s="75">
        <f>G164+H164+K163</f>
        <v>3.5471180000357094E-4</v>
      </c>
      <c r="J164" s="265"/>
      <c r="K164" s="87">
        <f t="shared" si="358"/>
        <v>3.5471180000357094E-4</v>
      </c>
      <c r="L164" s="76">
        <f>J164/I164</f>
        <v>0</v>
      </c>
      <c r="M164" s="362">
        <v>43524</v>
      </c>
      <c r="N164" s="846"/>
      <c r="O164" s="846"/>
      <c r="P164" s="846"/>
      <c r="Q164" s="846"/>
      <c r="R164" s="846"/>
      <c r="S164" s="848"/>
      <c r="T164" s="848"/>
      <c r="V164" s="378">
        <v>0</v>
      </c>
      <c r="W164" s="588">
        <f t="shared" si="341"/>
        <v>0</v>
      </c>
    </row>
    <row r="165" spans="1:23" s="378" customFormat="1" ht="15" customHeight="1">
      <c r="A165" s="46">
        <v>3</v>
      </c>
      <c r="B165" s="921"/>
      <c r="C165" s="818" t="s">
        <v>340</v>
      </c>
      <c r="D165" s="322">
        <v>4313</v>
      </c>
      <c r="E165" s="861">
        <v>8.0575730999999998E-3</v>
      </c>
      <c r="F165" s="81" t="s">
        <v>35</v>
      </c>
      <c r="G165" s="375">
        <f>+E165*$D$6</f>
        <v>19.305945147599999</v>
      </c>
      <c r="H165" s="79">
        <f>-30.409</f>
        <v>-30.408999999999999</v>
      </c>
      <c r="I165" s="75">
        <f>G165+H165</f>
        <v>-11.1030548524</v>
      </c>
      <c r="J165" s="369"/>
      <c r="K165" s="86">
        <f t="shared" si="358"/>
        <v>-11.1030548524</v>
      </c>
      <c r="L165" s="89">
        <f t="shared" si="359"/>
        <v>0</v>
      </c>
      <c r="M165" s="362">
        <v>43524</v>
      </c>
      <c r="N165" s="846">
        <f t="shared" ref="N165:O165" si="366">G165+G166</f>
        <v>30.409280879400001</v>
      </c>
      <c r="O165" s="846">
        <f t="shared" si="366"/>
        <v>-30.408999999999999</v>
      </c>
      <c r="P165" s="846">
        <f t="shared" ref="P165" si="367">N165+O165</f>
        <v>2.8087940000176559E-4</v>
      </c>
      <c r="Q165" s="846">
        <f t="shared" ref="Q165" si="368">J165+J166</f>
        <v>0</v>
      </c>
      <c r="R165" s="846">
        <f t="shared" ref="R165" si="369">P165-Q165</f>
        <v>2.8087940000176559E-4</v>
      </c>
      <c r="S165" s="848">
        <f t="shared" ref="S165" si="370">Q165/P165</f>
        <v>0</v>
      </c>
      <c r="T165" s="848">
        <f t="shared" si="360"/>
        <v>0.99999076336592385</v>
      </c>
      <c r="V165" s="378">
        <v>0</v>
      </c>
      <c r="W165" s="588">
        <f t="shared" si="341"/>
        <v>0</v>
      </c>
    </row>
    <row r="166" spans="1:23" s="378" customFormat="1" ht="15" customHeight="1">
      <c r="A166" s="46"/>
      <c r="B166" s="921"/>
      <c r="C166" s="819"/>
      <c r="D166" s="320"/>
      <c r="E166" s="834">
        <v>8.0575730999999998E-3</v>
      </c>
      <c r="F166" s="321" t="s">
        <v>95</v>
      </c>
      <c r="G166" s="376">
        <f>+E165*$D$8</f>
        <v>11.1033357318</v>
      </c>
      <c r="H166" s="79"/>
      <c r="I166" s="75">
        <f>G166+H166+K165</f>
        <v>2.8087939999998923E-4</v>
      </c>
      <c r="J166" s="265"/>
      <c r="K166" s="87">
        <f t="shared" si="358"/>
        <v>2.8087939999998923E-4</v>
      </c>
      <c r="L166" s="76">
        <f t="shared" si="359"/>
        <v>0</v>
      </c>
      <c r="M166" s="362">
        <v>43524</v>
      </c>
      <c r="N166" s="846"/>
      <c r="O166" s="846"/>
      <c r="P166" s="846"/>
      <c r="Q166" s="846"/>
      <c r="R166" s="846"/>
      <c r="S166" s="848"/>
      <c r="T166" s="848"/>
      <c r="V166" s="378">
        <v>0</v>
      </c>
      <c r="W166" s="588">
        <f t="shared" si="341"/>
        <v>0</v>
      </c>
    </row>
    <row r="167" spans="1:23" s="378" customFormat="1" ht="15" customHeight="1">
      <c r="A167" s="46">
        <v>4</v>
      </c>
      <c r="B167" s="921"/>
      <c r="C167" s="818" t="s">
        <v>409</v>
      </c>
      <c r="D167" s="322" t="s">
        <v>351</v>
      </c>
      <c r="E167" s="859">
        <v>1.2828120599999999E-2</v>
      </c>
      <c r="F167" s="81" t="s">
        <v>35</v>
      </c>
      <c r="G167" s="376">
        <f>+E167*$D$6</f>
        <v>30.736176957599998</v>
      </c>
      <c r="H167" s="79">
        <v>-48.412999999999997</v>
      </c>
      <c r="I167" s="75">
        <f>G167+H167</f>
        <v>-17.676823042399999</v>
      </c>
      <c r="J167" s="369"/>
      <c r="K167" s="87">
        <f t="shared" ref="K167:K194" si="371">I167-J167</f>
        <v>-17.676823042399999</v>
      </c>
      <c r="L167" s="76">
        <f t="shared" ref="L167:L196" si="372">J167/I167</f>
        <v>0</v>
      </c>
      <c r="M167" s="362">
        <v>43508</v>
      </c>
      <c r="N167" s="846">
        <f t="shared" ref="N167" si="373">G167+G168</f>
        <v>48.4133271444</v>
      </c>
      <c r="O167" s="846">
        <f>H167+H168</f>
        <v>-48.412999999999997</v>
      </c>
      <c r="P167" s="846">
        <f t="shared" ref="P167" si="374">N167+O167</f>
        <v>3.2714440000347622E-4</v>
      </c>
      <c r="Q167" s="846">
        <f t="shared" ref="Q167" si="375">J167+J168</f>
        <v>0</v>
      </c>
      <c r="R167" s="846">
        <f t="shared" ref="R167" si="376">P167-Q167</f>
        <v>3.2714440000347622E-4</v>
      </c>
      <c r="S167" s="848">
        <f t="shared" ref="S167" si="377">Q167/P167</f>
        <v>0</v>
      </c>
      <c r="T167" s="848">
        <f t="shared" si="360"/>
        <v>0.99999324267883871</v>
      </c>
      <c r="V167" s="378">
        <v>0</v>
      </c>
      <c r="W167" s="588">
        <f t="shared" si="341"/>
        <v>0</v>
      </c>
    </row>
    <row r="168" spans="1:23" s="378" customFormat="1" ht="15" customHeight="1">
      <c r="A168" s="46"/>
      <c r="B168" s="921"/>
      <c r="C168" s="819"/>
      <c r="D168" s="320"/>
      <c r="E168" s="860"/>
      <c r="F168" s="321" t="s">
        <v>95</v>
      </c>
      <c r="G168" s="376">
        <f>+E167*$D$8</f>
        <v>17.677150186799999</v>
      </c>
      <c r="H168" s="79"/>
      <c r="I168" s="75">
        <f>G168+H168+K167</f>
        <v>3.2714439999992351E-4</v>
      </c>
      <c r="J168" s="265"/>
      <c r="K168" s="87">
        <f t="shared" si="371"/>
        <v>3.2714439999992351E-4</v>
      </c>
      <c r="L168" s="76">
        <f t="shared" si="372"/>
        <v>0</v>
      </c>
      <c r="M168" s="362">
        <v>43508</v>
      </c>
      <c r="N168" s="846"/>
      <c r="O168" s="846"/>
      <c r="P168" s="846"/>
      <c r="Q168" s="846"/>
      <c r="R168" s="846"/>
      <c r="S168" s="848"/>
      <c r="T168" s="848"/>
      <c r="V168" s="378">
        <v>0</v>
      </c>
      <c r="W168" s="588">
        <f t="shared" si="341"/>
        <v>0</v>
      </c>
    </row>
    <row r="169" spans="1:23" s="378" customFormat="1" ht="15" customHeight="1">
      <c r="A169" s="46">
        <v>5</v>
      </c>
      <c r="B169" s="921"/>
      <c r="C169" s="818" t="s">
        <v>367</v>
      </c>
      <c r="D169" s="322" t="s">
        <v>354</v>
      </c>
      <c r="E169" s="857">
        <v>1.521573E-2</v>
      </c>
      <c r="F169" s="81" t="s">
        <v>35</v>
      </c>
      <c r="G169" s="376">
        <f>+E169*$D$6</f>
        <v>36.456889080000003</v>
      </c>
      <c r="H169" s="79">
        <v>-57.423999999999999</v>
      </c>
      <c r="I169" s="75">
        <f>G169+H169</f>
        <v>-20.967110919999996</v>
      </c>
      <c r="J169" s="369"/>
      <c r="K169" s="87">
        <f>I169-J169</f>
        <v>-20.967110919999996</v>
      </c>
      <c r="L169" s="76">
        <f>J169/I169</f>
        <v>0</v>
      </c>
      <c r="M169" s="362">
        <v>43508</v>
      </c>
      <c r="N169" s="832">
        <f t="shared" ref="N169:O169" si="378">G169+G170</f>
        <v>57.424165020000004</v>
      </c>
      <c r="O169" s="832">
        <f t="shared" si="378"/>
        <v>-57.423999999999999</v>
      </c>
      <c r="P169" s="832">
        <f t="shared" ref="P169" si="379">N169+O169</f>
        <v>1.6502000000429007E-4</v>
      </c>
      <c r="Q169" s="832">
        <f t="shared" ref="Q169" si="380">J169+J170</f>
        <v>0</v>
      </c>
      <c r="R169" s="832">
        <f t="shared" ref="R169" si="381">P169-Q169</f>
        <v>1.6502000000429007E-4</v>
      </c>
      <c r="S169" s="841">
        <f t="shared" ref="S169" si="382">Q169/P169</f>
        <v>0</v>
      </c>
      <c r="T169" s="841">
        <f>(100%-+(R169/N169))</f>
        <v>0.99999712629691795</v>
      </c>
      <c r="V169" s="378">
        <v>0</v>
      </c>
      <c r="W169" s="588">
        <f t="shared" si="341"/>
        <v>0</v>
      </c>
    </row>
    <row r="170" spans="1:23" s="378" customFormat="1" ht="15" customHeight="1">
      <c r="A170" s="46"/>
      <c r="B170" s="921"/>
      <c r="C170" s="819"/>
      <c r="D170" s="320"/>
      <c r="E170" s="858">
        <v>1.521573E-2</v>
      </c>
      <c r="F170" s="321" t="s">
        <v>95</v>
      </c>
      <c r="G170" s="376">
        <f>+E169*$D$8</f>
        <v>20.96727594</v>
      </c>
      <c r="H170" s="79"/>
      <c r="I170" s="75">
        <f>G170+H170+K169</f>
        <v>1.6502000000429007E-4</v>
      </c>
      <c r="J170" s="265"/>
      <c r="K170" s="87">
        <f>I170-J170</f>
        <v>1.6502000000429007E-4</v>
      </c>
      <c r="L170" s="76">
        <f>J170/I170</f>
        <v>0</v>
      </c>
      <c r="M170" s="362">
        <v>43508</v>
      </c>
      <c r="N170" s="833"/>
      <c r="O170" s="833"/>
      <c r="P170" s="833"/>
      <c r="Q170" s="833"/>
      <c r="R170" s="833"/>
      <c r="S170" s="842"/>
      <c r="T170" s="842"/>
      <c r="V170" s="378">
        <v>0</v>
      </c>
      <c r="W170" s="588">
        <f t="shared" si="341"/>
        <v>0</v>
      </c>
    </row>
    <row r="171" spans="1:23" s="378" customFormat="1" ht="15" customHeight="1">
      <c r="A171" s="46">
        <v>6</v>
      </c>
      <c r="B171" s="921"/>
      <c r="C171" s="818" t="s">
        <v>365</v>
      </c>
      <c r="D171" s="322" t="s">
        <v>348</v>
      </c>
      <c r="E171" s="857">
        <v>2.39364964E-2</v>
      </c>
      <c r="F171" s="81" t="s">
        <v>35</v>
      </c>
      <c r="G171" s="376">
        <f>+E171*$D$6</f>
        <v>57.3518453744</v>
      </c>
      <c r="H171" s="79">
        <v>-90.335999999999999</v>
      </c>
      <c r="I171" s="75">
        <f>G171+H171</f>
        <v>-32.984154625599999</v>
      </c>
      <c r="J171" s="369"/>
      <c r="K171" s="87">
        <f>I171-J171</f>
        <v>-32.984154625599999</v>
      </c>
      <c r="L171" s="76">
        <f>J171/I171</f>
        <v>0</v>
      </c>
      <c r="M171" s="362">
        <v>43508</v>
      </c>
      <c r="N171" s="832">
        <f t="shared" ref="N171:O171" si="383">G171+G172</f>
        <v>90.336337413600006</v>
      </c>
      <c r="O171" s="832">
        <f t="shared" si="383"/>
        <v>-90.335999999999999</v>
      </c>
      <c r="P171" s="832">
        <f t="shared" ref="P171" si="384">N171+O171</f>
        <v>3.3741360000760778E-4</v>
      </c>
      <c r="Q171" s="832">
        <f t="shared" ref="Q171" si="385">J171+J172</f>
        <v>0</v>
      </c>
      <c r="R171" s="832">
        <f t="shared" ref="R171" si="386">P171-Q171</f>
        <v>3.3741360000760778E-4</v>
      </c>
      <c r="S171" s="841">
        <f t="shared" ref="S171" si="387">Q171/P171</f>
        <v>0</v>
      </c>
      <c r="T171" s="841">
        <f>(100%-+(R171/N171))</f>
        <v>0.99999626491830784</v>
      </c>
      <c r="V171" s="378">
        <v>0</v>
      </c>
      <c r="W171" s="588">
        <f t="shared" si="341"/>
        <v>0</v>
      </c>
    </row>
    <row r="172" spans="1:23" s="378" customFormat="1" ht="15" customHeight="1">
      <c r="A172" s="46"/>
      <c r="B172" s="921"/>
      <c r="C172" s="819"/>
      <c r="D172" s="320"/>
      <c r="E172" s="858">
        <v>5.5353395999999996E-3</v>
      </c>
      <c r="F172" s="321" t="s">
        <v>95</v>
      </c>
      <c r="G172" s="376">
        <f>+E171*$D$8</f>
        <v>32.984492039199999</v>
      </c>
      <c r="H172" s="79"/>
      <c r="I172" s="75">
        <f>G172+H172+K171</f>
        <v>3.3741360000050236E-4</v>
      </c>
      <c r="J172" s="265"/>
      <c r="K172" s="87">
        <f>I172-J172</f>
        <v>3.3741360000050236E-4</v>
      </c>
      <c r="L172" s="76">
        <f>J172/I172</f>
        <v>0</v>
      </c>
      <c r="M172" s="362">
        <v>43508</v>
      </c>
      <c r="N172" s="833"/>
      <c r="O172" s="833"/>
      <c r="P172" s="833"/>
      <c r="Q172" s="833"/>
      <c r="R172" s="833"/>
      <c r="S172" s="842"/>
      <c r="T172" s="842"/>
      <c r="V172" s="378">
        <v>0</v>
      </c>
      <c r="W172" s="588">
        <f t="shared" si="341"/>
        <v>0</v>
      </c>
    </row>
    <row r="173" spans="1:23" s="378" customFormat="1" ht="15" customHeight="1">
      <c r="A173" s="46">
        <v>7</v>
      </c>
      <c r="B173" s="921"/>
      <c r="C173" s="818" t="s">
        <v>410</v>
      </c>
      <c r="D173" s="322" t="s">
        <v>353</v>
      </c>
      <c r="E173" s="859">
        <v>5.5353395999999996E-3</v>
      </c>
      <c r="F173" s="81" t="s">
        <v>35</v>
      </c>
      <c r="G173" s="376">
        <f>+E173*$D$6</f>
        <v>13.262673681599999</v>
      </c>
      <c r="H173" s="79">
        <v>-20.89</v>
      </c>
      <c r="I173" s="75">
        <f>G173+H173</f>
        <v>-7.6273263184000015</v>
      </c>
      <c r="J173" s="369"/>
      <c r="K173" s="87">
        <f t="shared" si="371"/>
        <v>-7.6273263184000015</v>
      </c>
      <c r="L173" s="76">
        <f t="shared" si="372"/>
        <v>0</v>
      </c>
      <c r="M173" s="362">
        <v>43508</v>
      </c>
      <c r="N173" s="846">
        <f t="shared" ref="N173:O173" si="388">G173+G174</f>
        <v>20.890371650399999</v>
      </c>
      <c r="O173" s="846">
        <f t="shared" si="388"/>
        <v>-20.89</v>
      </c>
      <c r="P173" s="846">
        <f t="shared" ref="P173" si="389">N173+O173</f>
        <v>3.7165039999820237E-4</v>
      </c>
      <c r="Q173" s="846">
        <f t="shared" ref="Q173" si="390">J173+J174</f>
        <v>0</v>
      </c>
      <c r="R173" s="846">
        <f t="shared" ref="R173" si="391">P173-Q173</f>
        <v>3.7165039999820237E-4</v>
      </c>
      <c r="S173" s="848">
        <f t="shared" ref="S173" si="392">Q173/P173</f>
        <v>0</v>
      </c>
      <c r="T173" s="848">
        <f t="shared" si="360"/>
        <v>0.99998220948836058</v>
      </c>
      <c r="V173" s="378">
        <v>0</v>
      </c>
      <c r="W173" s="588">
        <f t="shared" si="341"/>
        <v>0</v>
      </c>
    </row>
    <row r="174" spans="1:23" s="378" customFormat="1" ht="15" customHeight="1">
      <c r="A174" s="46"/>
      <c r="B174" s="921"/>
      <c r="C174" s="819"/>
      <c r="D174" s="320"/>
      <c r="E174" s="860"/>
      <c r="F174" s="321" t="s">
        <v>95</v>
      </c>
      <c r="G174" s="376">
        <f>+E173*$D$8</f>
        <v>7.6276979687999997</v>
      </c>
      <c r="H174" s="79"/>
      <c r="I174" s="75">
        <f>G174+H174+K173</f>
        <v>3.7165039999820237E-4</v>
      </c>
      <c r="J174" s="265"/>
      <c r="K174" s="87">
        <f t="shared" si="371"/>
        <v>3.7165039999820237E-4</v>
      </c>
      <c r="L174" s="76">
        <f t="shared" si="372"/>
        <v>0</v>
      </c>
      <c r="M174" s="362">
        <v>43508</v>
      </c>
      <c r="N174" s="846"/>
      <c r="O174" s="846"/>
      <c r="P174" s="846"/>
      <c r="Q174" s="846"/>
      <c r="R174" s="846"/>
      <c r="S174" s="848"/>
      <c r="T174" s="848"/>
      <c r="V174" s="378">
        <v>0</v>
      </c>
      <c r="W174" s="588">
        <f t="shared" si="341"/>
        <v>0</v>
      </c>
    </row>
    <row r="175" spans="1:23" s="378" customFormat="1" ht="15" customHeight="1">
      <c r="A175" s="46">
        <v>8</v>
      </c>
      <c r="B175" s="921"/>
      <c r="C175" s="923" t="s">
        <v>389</v>
      </c>
      <c r="D175" s="322" t="s">
        <v>343</v>
      </c>
      <c r="E175" s="834">
        <v>9.2013249999999998E-3</v>
      </c>
      <c r="F175" s="81" t="s">
        <v>35</v>
      </c>
      <c r="G175" s="376">
        <f>+E175*$D$6</f>
        <v>22.046374700000001</v>
      </c>
      <c r="H175" s="79">
        <f>-34.725</f>
        <v>-34.725000000000001</v>
      </c>
      <c r="I175" s="75">
        <f>+G175+H175</f>
        <v>-12.6786253</v>
      </c>
      <c r="J175" s="369"/>
      <c r="K175" s="87">
        <f t="shared" ref="K175:K190" si="393">I175-J175</f>
        <v>-12.6786253</v>
      </c>
      <c r="L175" s="76">
        <f t="shared" ref="L175:L190" si="394">J175/I175</f>
        <v>0</v>
      </c>
      <c r="M175" s="362">
        <v>43564</v>
      </c>
      <c r="N175" s="846">
        <f t="shared" ref="N175" si="395">G175+G176</f>
        <v>34.725800550000002</v>
      </c>
      <c r="O175" s="846">
        <f>H175+H176</f>
        <v>-34.725000000000001</v>
      </c>
      <c r="P175" s="846">
        <f t="shared" ref="P175" si="396">N175+O175</f>
        <v>8.0055000000101018E-4</v>
      </c>
      <c r="Q175" s="846">
        <f t="shared" ref="Q175" si="397">J175+J176</f>
        <v>0</v>
      </c>
      <c r="R175" s="846">
        <f t="shared" ref="R175" si="398">P175-Q175</f>
        <v>8.0055000000101018E-4</v>
      </c>
      <c r="S175" s="848">
        <f t="shared" ref="S175" si="399">Q175/P175</f>
        <v>0</v>
      </c>
      <c r="T175" s="848">
        <f t="shared" si="360"/>
        <v>0.99997694653579405</v>
      </c>
      <c r="V175" s="378">
        <v>0</v>
      </c>
      <c r="W175" s="588">
        <f t="shared" si="341"/>
        <v>0</v>
      </c>
    </row>
    <row r="176" spans="1:23" s="378" customFormat="1" ht="15" customHeight="1">
      <c r="A176" s="46"/>
      <c r="B176" s="921"/>
      <c r="C176" s="924"/>
      <c r="D176" s="320"/>
      <c r="E176" s="834">
        <v>9.2013249999999998E-3</v>
      </c>
      <c r="F176" s="321" t="s">
        <v>95</v>
      </c>
      <c r="G176" s="376">
        <f>+E175*$D$8</f>
        <v>12.679425849999999</v>
      </c>
      <c r="H176" s="79"/>
      <c r="I176" s="75">
        <f>G176+H176+K175</f>
        <v>8.0054999999923382E-4</v>
      </c>
      <c r="J176" s="265"/>
      <c r="K176" s="87">
        <f t="shared" si="393"/>
        <v>8.0054999999923382E-4</v>
      </c>
      <c r="L176" s="76">
        <f t="shared" si="394"/>
        <v>0</v>
      </c>
      <c r="M176" s="362">
        <v>43564</v>
      </c>
      <c r="N176" s="846"/>
      <c r="O176" s="846"/>
      <c r="P176" s="846"/>
      <c r="Q176" s="846"/>
      <c r="R176" s="846"/>
      <c r="S176" s="848"/>
      <c r="T176" s="848"/>
      <c r="V176" s="378">
        <v>0</v>
      </c>
      <c r="W176" s="588">
        <f t="shared" si="341"/>
        <v>0</v>
      </c>
    </row>
    <row r="177" spans="1:24" s="378" customFormat="1" ht="15" customHeight="1">
      <c r="A177" s="46">
        <v>9</v>
      </c>
      <c r="B177" s="921"/>
      <c r="C177" s="818" t="s">
        <v>366</v>
      </c>
      <c r="D177" s="322" t="s">
        <v>350</v>
      </c>
      <c r="E177" s="834">
        <v>1.0717428899999999E-2</v>
      </c>
      <c r="F177" s="81" t="s">
        <v>35</v>
      </c>
      <c r="G177" s="376">
        <f>+E177*$D$6</f>
        <v>25.678959644399999</v>
      </c>
      <c r="H177" s="79">
        <v>-37.067999999999998</v>
      </c>
      <c r="I177" s="75">
        <f>G177+H177</f>
        <v>-11.389040355599999</v>
      </c>
      <c r="J177" s="369"/>
      <c r="K177" s="87">
        <f t="shared" si="393"/>
        <v>-11.389040355599999</v>
      </c>
      <c r="L177" s="76">
        <f t="shared" si="394"/>
        <v>0</v>
      </c>
      <c r="M177" s="526">
        <v>43524</v>
      </c>
      <c r="N177" s="836">
        <f>G177+G178</f>
        <v>40.4475766686</v>
      </c>
      <c r="O177" s="836">
        <f>H177+H178</f>
        <v>-37.067999999999998</v>
      </c>
      <c r="P177" s="836">
        <f t="shared" ref="P177" si="400">N177+O177</f>
        <v>3.3795766686000022</v>
      </c>
      <c r="Q177" s="836">
        <f t="shared" ref="Q177" si="401">J177+J178</f>
        <v>0</v>
      </c>
      <c r="R177" s="836">
        <f t="shared" ref="R177" si="402">P177-Q177</f>
        <v>3.3795766686000022</v>
      </c>
      <c r="S177" s="849">
        <f t="shared" ref="S177" si="403">Q177/P177</f>
        <v>0</v>
      </c>
      <c r="T177" s="908">
        <f t="shared" si="360"/>
        <v>0.91644550929985347</v>
      </c>
      <c r="V177" s="378">
        <v>0</v>
      </c>
      <c r="W177" s="588">
        <f t="shared" si="341"/>
        <v>0</v>
      </c>
    </row>
    <row r="178" spans="1:24" s="378" customFormat="1" ht="15" customHeight="1">
      <c r="A178" s="46"/>
      <c r="B178" s="921"/>
      <c r="C178" s="819"/>
      <c r="D178" s="320"/>
      <c r="E178" s="834">
        <v>1.6824903700000001E-2</v>
      </c>
      <c r="F178" s="321" t="s">
        <v>95</v>
      </c>
      <c r="G178" s="376">
        <f>+E177*$D$8</f>
        <v>14.768617024199999</v>
      </c>
      <c r="H178" s="79"/>
      <c r="I178" s="75">
        <f>G178+H178+K177</f>
        <v>3.3795766686000004</v>
      </c>
      <c r="J178" s="265"/>
      <c r="K178" s="87">
        <f t="shared" si="393"/>
        <v>3.3795766686000004</v>
      </c>
      <c r="L178" s="76">
        <f t="shared" si="394"/>
        <v>0</v>
      </c>
      <c r="M178" s="365" t="s">
        <v>30</v>
      </c>
      <c r="N178" s="836"/>
      <c r="O178" s="836"/>
      <c r="P178" s="836"/>
      <c r="Q178" s="836"/>
      <c r="R178" s="836"/>
      <c r="S178" s="849"/>
      <c r="T178" s="908"/>
      <c r="V178" s="378">
        <v>0</v>
      </c>
      <c r="W178" s="588">
        <f t="shared" si="341"/>
        <v>0</v>
      </c>
    </row>
    <row r="179" spans="1:24" s="378" customFormat="1" ht="15" customHeight="1">
      <c r="A179" s="46">
        <v>10</v>
      </c>
      <c r="B179" s="921"/>
      <c r="C179" s="818" t="s">
        <v>342</v>
      </c>
      <c r="D179" s="322">
        <v>11414257</v>
      </c>
      <c r="E179" s="834">
        <v>2.5242113E-2</v>
      </c>
      <c r="F179" s="81" t="s">
        <v>35</v>
      </c>
      <c r="G179" s="376">
        <f>+E179*$D$6</f>
        <v>60.480102748</v>
      </c>
      <c r="H179" s="79">
        <f>-64.628</f>
        <v>-64.628</v>
      </c>
      <c r="I179" s="75">
        <f>G179+H179</f>
        <v>-4.1478972519999999</v>
      </c>
      <c r="J179" s="369">
        <v>8.1444444444444439</v>
      </c>
      <c r="K179" s="87">
        <f t="shared" si="393"/>
        <v>-12.292341696444444</v>
      </c>
      <c r="L179" s="508">
        <f t="shared" si="394"/>
        <v>-1.9635116179691821</v>
      </c>
      <c r="M179" s="526">
        <v>43524</v>
      </c>
      <c r="N179" s="836">
        <f t="shared" ref="N179:O179" si="404">G179+G180</f>
        <v>95.263734462000002</v>
      </c>
      <c r="O179" s="836">
        <f t="shared" si="404"/>
        <v>-64.628</v>
      </c>
      <c r="P179" s="836">
        <f t="shared" ref="P179" si="405">N179+O179</f>
        <v>30.635734462000002</v>
      </c>
      <c r="Q179" s="836">
        <f t="shared" ref="Q179" si="406">J179+J180</f>
        <v>8.1444444444444439</v>
      </c>
      <c r="R179" s="836">
        <f t="shared" ref="R179" si="407">P179-Q179</f>
        <v>22.491290017555556</v>
      </c>
      <c r="S179" s="849">
        <f t="shared" ref="S179" si="408">Q179/P179</f>
        <v>0.26584785994103266</v>
      </c>
      <c r="T179" s="908">
        <f t="shared" si="360"/>
        <v>0.76390501438375624</v>
      </c>
      <c r="U179" s="649"/>
      <c r="V179" s="649">
        <v>8.1444444444444439</v>
      </c>
      <c r="W179" s="650">
        <f t="shared" si="341"/>
        <v>0</v>
      </c>
      <c r="X179" s="378">
        <v>1.1111111111111116</v>
      </c>
    </row>
    <row r="180" spans="1:24" s="378" customFormat="1" ht="15" customHeight="1">
      <c r="A180" s="46"/>
      <c r="B180" s="921"/>
      <c r="C180" s="819"/>
      <c r="D180" s="320"/>
      <c r="E180" s="834">
        <v>2.52421127E-2</v>
      </c>
      <c r="F180" s="321" t="s">
        <v>95</v>
      </c>
      <c r="G180" s="376">
        <f>+E179*$D$8</f>
        <v>34.783631714000002</v>
      </c>
      <c r="H180" s="79"/>
      <c r="I180" s="75">
        <f>G180+H180+K179</f>
        <v>22.491290017555556</v>
      </c>
      <c r="J180" s="265"/>
      <c r="K180" s="87">
        <f t="shared" si="393"/>
        <v>22.491290017555556</v>
      </c>
      <c r="L180" s="76">
        <f t="shared" si="394"/>
        <v>0</v>
      </c>
      <c r="M180" s="365" t="s">
        <v>30</v>
      </c>
      <c r="N180" s="836"/>
      <c r="O180" s="836"/>
      <c r="P180" s="836"/>
      <c r="Q180" s="836"/>
      <c r="R180" s="836"/>
      <c r="S180" s="849"/>
      <c r="T180" s="908"/>
      <c r="U180" s="649"/>
      <c r="V180" s="649">
        <v>0</v>
      </c>
      <c r="W180" s="650">
        <f t="shared" si="341"/>
        <v>0</v>
      </c>
    </row>
    <row r="181" spans="1:24" s="378" customFormat="1" ht="15" customHeight="1">
      <c r="A181" s="46">
        <v>11</v>
      </c>
      <c r="B181" s="921"/>
      <c r="C181" s="818" t="s">
        <v>408</v>
      </c>
      <c r="D181" s="322" t="s">
        <v>349</v>
      </c>
      <c r="E181" s="834">
        <v>1.5833384999999998E-2</v>
      </c>
      <c r="F181" s="81" t="s">
        <v>35</v>
      </c>
      <c r="G181" s="376">
        <f>+E181*$D$6</f>
        <v>37.936790459999997</v>
      </c>
      <c r="H181" s="79">
        <v>-59.755000000000003</v>
      </c>
      <c r="I181" s="75">
        <f>G181+H181</f>
        <v>-21.818209540000005</v>
      </c>
      <c r="J181" s="369"/>
      <c r="K181" s="87">
        <f t="shared" si="393"/>
        <v>-21.818209540000005</v>
      </c>
      <c r="L181" s="76">
        <f t="shared" si="394"/>
        <v>0</v>
      </c>
      <c r="M181" s="362">
        <v>43560</v>
      </c>
      <c r="N181" s="832">
        <f t="shared" ref="N181:O181" si="409">G181+G182</f>
        <v>59.755194989999993</v>
      </c>
      <c r="O181" s="832">
        <f t="shared" si="409"/>
        <v>-59.755000000000003</v>
      </c>
      <c r="P181" s="832">
        <f t="shared" ref="P181" si="410">N181+O181</f>
        <v>1.9498999999001398E-4</v>
      </c>
      <c r="Q181" s="832">
        <f t="shared" ref="Q181" si="411">J181+J182</f>
        <v>0</v>
      </c>
      <c r="R181" s="832">
        <f>P181-Q181</f>
        <v>1.9498999999001398E-4</v>
      </c>
      <c r="S181" s="841">
        <f>Q181/P181</f>
        <v>0</v>
      </c>
      <c r="T181" s="841">
        <f t="shared" si="360"/>
        <v>0.99999673685275359</v>
      </c>
      <c r="V181" s="378">
        <v>0</v>
      </c>
      <c r="W181" s="588">
        <f t="shared" si="341"/>
        <v>0</v>
      </c>
    </row>
    <row r="182" spans="1:24" s="378" customFormat="1" ht="15" customHeight="1">
      <c r="A182" s="46"/>
      <c r="B182" s="921"/>
      <c r="C182" s="819"/>
      <c r="D182" s="320"/>
      <c r="E182" s="913">
        <v>2.39364964E-2</v>
      </c>
      <c r="F182" s="321" t="s">
        <v>95</v>
      </c>
      <c r="G182" s="376">
        <f>+E181*$D$8</f>
        <v>21.818404529999999</v>
      </c>
      <c r="H182" s="79"/>
      <c r="I182" s="75">
        <f>G182+H182+K181</f>
        <v>1.949899999935667E-4</v>
      </c>
      <c r="J182" s="265"/>
      <c r="K182" s="87">
        <f t="shared" si="393"/>
        <v>1.949899999935667E-4</v>
      </c>
      <c r="L182" s="76">
        <f t="shared" si="394"/>
        <v>0</v>
      </c>
      <c r="M182" s="362">
        <v>43560</v>
      </c>
      <c r="N182" s="833"/>
      <c r="O182" s="833"/>
      <c r="P182" s="833"/>
      <c r="Q182" s="833"/>
      <c r="R182" s="833"/>
      <c r="S182" s="842"/>
      <c r="T182" s="842"/>
      <c r="V182" s="378">
        <v>0</v>
      </c>
      <c r="W182" s="588">
        <f t="shared" si="341"/>
        <v>0</v>
      </c>
    </row>
    <row r="183" spans="1:24" s="378" customFormat="1" ht="15" customHeight="1">
      <c r="A183" s="46">
        <v>12</v>
      </c>
      <c r="B183" s="921"/>
      <c r="C183" s="818" t="s">
        <v>392</v>
      </c>
      <c r="D183" s="322" t="s">
        <v>345</v>
      </c>
      <c r="E183" s="857">
        <v>3.1669227299999998E-2</v>
      </c>
      <c r="F183" s="81" t="s">
        <v>35</v>
      </c>
      <c r="G183" s="376">
        <f>+E183*$D$6</f>
        <v>75.879468610799989</v>
      </c>
      <c r="H183" s="79">
        <f>-119.519+0.34</f>
        <v>-119.179</v>
      </c>
      <c r="I183" s="75">
        <f>G183+H183</f>
        <v>-43.299531389200013</v>
      </c>
      <c r="J183" s="369">
        <v>0.33666666666666667</v>
      </c>
      <c r="K183" s="87">
        <f t="shared" si="393"/>
        <v>-43.636198055866679</v>
      </c>
      <c r="L183" s="508">
        <f t="shared" si="394"/>
        <v>-7.7752958488285107E-3</v>
      </c>
      <c r="M183" s="362">
        <v>43508</v>
      </c>
      <c r="N183" s="832">
        <f t="shared" ref="N183:O183" si="412">G183+G184</f>
        <v>119.51966383019999</v>
      </c>
      <c r="O183" s="832">
        <f t="shared" si="412"/>
        <v>-119.179</v>
      </c>
      <c r="P183" s="832">
        <f t="shared" ref="P183" si="413">N183+O183</f>
        <v>0.34066383019998625</v>
      </c>
      <c r="Q183" s="832">
        <f t="shared" ref="Q183" si="414">J183+J184</f>
        <v>0.33666666666666667</v>
      </c>
      <c r="R183" s="832">
        <f t="shared" ref="R183" si="415">P183-Q183</f>
        <v>3.997163533319581E-3</v>
      </c>
      <c r="S183" s="841">
        <f t="shared" ref="S183" si="416">Q183/P183</f>
        <v>0.98826654555321281</v>
      </c>
      <c r="T183" s="841">
        <f t="shared" si="360"/>
        <v>0.99996655643594345</v>
      </c>
      <c r="V183" s="378">
        <v>0.33666666666666667</v>
      </c>
      <c r="W183" s="588">
        <f t="shared" si="341"/>
        <v>0</v>
      </c>
    </row>
    <row r="184" spans="1:24" s="378" customFormat="1" ht="15" customHeight="1">
      <c r="A184" s="46"/>
      <c r="B184" s="921"/>
      <c r="C184" s="819"/>
      <c r="D184" s="320"/>
      <c r="E184" s="858">
        <v>3.1669227299999998E-2</v>
      </c>
      <c r="F184" s="321" t="s">
        <v>95</v>
      </c>
      <c r="G184" s="376">
        <f>+E183*$D$8</f>
        <v>43.640195219399999</v>
      </c>
      <c r="H184" s="79"/>
      <c r="I184" s="75">
        <f>G184+H184+K183</f>
        <v>3.9971635333202471E-3</v>
      </c>
      <c r="J184" s="265"/>
      <c r="K184" s="87">
        <f t="shared" si="393"/>
        <v>3.9971635333202471E-3</v>
      </c>
      <c r="L184" s="76">
        <f t="shared" si="394"/>
        <v>0</v>
      </c>
      <c r="M184" s="362">
        <v>43508</v>
      </c>
      <c r="N184" s="833"/>
      <c r="O184" s="833"/>
      <c r="P184" s="833"/>
      <c r="Q184" s="833"/>
      <c r="R184" s="833"/>
      <c r="S184" s="842"/>
      <c r="T184" s="842"/>
      <c r="V184" s="378">
        <v>0</v>
      </c>
      <c r="W184" s="588">
        <f t="shared" si="341"/>
        <v>0</v>
      </c>
    </row>
    <row r="185" spans="1:24" s="378" customFormat="1" ht="15" customHeight="1">
      <c r="A185" s="46">
        <v>13</v>
      </c>
      <c r="B185" s="921"/>
      <c r="C185" s="818" t="s">
        <v>364</v>
      </c>
      <c r="D185" s="322" t="s">
        <v>347</v>
      </c>
      <c r="E185" s="857">
        <v>1.83231378E-2</v>
      </c>
      <c r="F185" s="81" t="s">
        <v>35</v>
      </c>
      <c r="G185" s="376">
        <f>+E185*$D$6</f>
        <v>43.902238168799997</v>
      </c>
      <c r="H185" s="79">
        <v>-69.150999999999996</v>
      </c>
      <c r="I185" s="75">
        <f>G185+H185</f>
        <v>-25.2487618312</v>
      </c>
      <c r="J185" s="369"/>
      <c r="K185" s="87">
        <f t="shared" si="393"/>
        <v>-25.2487618312</v>
      </c>
      <c r="L185" s="76">
        <f t="shared" si="394"/>
        <v>0</v>
      </c>
      <c r="M185" s="362">
        <v>43508</v>
      </c>
      <c r="N185" s="832">
        <f t="shared" ref="N185:O185" si="417">G185+G186</f>
        <v>69.151522057199998</v>
      </c>
      <c r="O185" s="832">
        <f t="shared" si="417"/>
        <v>-69.150999999999996</v>
      </c>
      <c r="P185" s="832">
        <f t="shared" ref="P185" si="418">N185+O185</f>
        <v>5.220572000013135E-4</v>
      </c>
      <c r="Q185" s="832">
        <f t="shared" ref="Q185" si="419">J185+J186</f>
        <v>0</v>
      </c>
      <c r="R185" s="832">
        <f t="shared" ref="R185" si="420">P185-Q185</f>
        <v>5.220572000013135E-4</v>
      </c>
      <c r="S185" s="841">
        <f t="shared" ref="S185" si="421">Q185/P185</f>
        <v>0</v>
      </c>
      <c r="T185" s="841">
        <f t="shared" si="360"/>
        <v>0.99999245053204222</v>
      </c>
      <c r="V185" s="378">
        <v>0</v>
      </c>
      <c r="W185" s="588">
        <f t="shared" si="341"/>
        <v>0</v>
      </c>
    </row>
    <row r="186" spans="1:24" s="378" customFormat="1" ht="15" customHeight="1">
      <c r="A186" s="46"/>
      <c r="B186" s="921"/>
      <c r="C186" s="819"/>
      <c r="D186" s="320"/>
      <c r="E186" s="858">
        <v>1.83231378E-2</v>
      </c>
      <c r="F186" s="321" t="s">
        <v>95</v>
      </c>
      <c r="G186" s="376">
        <f>+E185*$D$8</f>
        <v>25.249283888400001</v>
      </c>
      <c r="H186" s="79"/>
      <c r="I186" s="75">
        <f>G186+H186+K185</f>
        <v>5.220572000013135E-4</v>
      </c>
      <c r="J186" s="265"/>
      <c r="K186" s="87">
        <f t="shared" si="393"/>
        <v>5.220572000013135E-4</v>
      </c>
      <c r="L186" s="76">
        <f t="shared" si="394"/>
        <v>0</v>
      </c>
      <c r="M186" s="362">
        <v>43508</v>
      </c>
      <c r="N186" s="833"/>
      <c r="O186" s="833"/>
      <c r="P186" s="833"/>
      <c r="Q186" s="833"/>
      <c r="R186" s="833"/>
      <c r="S186" s="842"/>
      <c r="T186" s="842"/>
      <c r="V186" s="378">
        <v>0</v>
      </c>
      <c r="W186" s="588">
        <f t="shared" si="341"/>
        <v>0</v>
      </c>
    </row>
    <row r="187" spans="1:24" s="378" customFormat="1" ht="15" customHeight="1">
      <c r="A187" s="46">
        <v>14</v>
      </c>
      <c r="B187" s="921"/>
      <c r="C187" s="818" t="s">
        <v>407</v>
      </c>
      <c r="D187" s="322" t="s">
        <v>352</v>
      </c>
      <c r="E187" s="857">
        <v>9.5119834E-3</v>
      </c>
      <c r="F187" s="81" t="s">
        <v>35</v>
      </c>
      <c r="G187" s="376">
        <f>+E187*$D$6</f>
        <v>22.7907122264</v>
      </c>
      <c r="H187" s="79">
        <v>-35.898000000000003</v>
      </c>
      <c r="I187" s="75">
        <f>G187+H187</f>
        <v>-13.107287773600003</v>
      </c>
      <c r="J187" s="369"/>
      <c r="K187" s="87">
        <f t="shared" si="393"/>
        <v>-13.107287773600003</v>
      </c>
      <c r="L187" s="76">
        <f t="shared" si="394"/>
        <v>0</v>
      </c>
      <c r="M187" s="362">
        <v>43508</v>
      </c>
      <c r="N187" s="832">
        <f t="shared" ref="N187:O187" si="422">G187+G188</f>
        <v>35.898225351600004</v>
      </c>
      <c r="O187" s="832">
        <f t="shared" si="422"/>
        <v>-35.898000000000003</v>
      </c>
      <c r="P187" s="832">
        <f t="shared" ref="P187" si="423">N187+O187</f>
        <v>2.253516000010336E-4</v>
      </c>
      <c r="Q187" s="832">
        <f t="shared" ref="Q187" si="424">J187+J188</f>
        <v>0</v>
      </c>
      <c r="R187" s="832">
        <f t="shared" ref="R187" si="425">P187-Q187</f>
        <v>2.253516000010336E-4</v>
      </c>
      <c r="S187" s="841">
        <f t="shared" ref="S187" si="426">Q187/P187</f>
        <v>0</v>
      </c>
      <c r="T187" s="841">
        <f t="shared" si="360"/>
        <v>0.99999372248634033</v>
      </c>
      <c r="V187" s="378">
        <v>0</v>
      </c>
      <c r="W187" s="588">
        <f t="shared" si="341"/>
        <v>0</v>
      </c>
    </row>
    <row r="188" spans="1:24" s="378" customFormat="1" ht="15" customHeight="1">
      <c r="A188" s="46"/>
      <c r="B188" s="921"/>
      <c r="C188" s="819"/>
      <c r="D188" s="320"/>
      <c r="E188" s="858">
        <v>1.2828120599999999E-2</v>
      </c>
      <c r="F188" s="321" t="s">
        <v>95</v>
      </c>
      <c r="G188" s="376">
        <f>+E187*$D$8</f>
        <v>13.107513125200001</v>
      </c>
      <c r="H188" s="79"/>
      <c r="I188" s="75">
        <f>G188+H188+K187</f>
        <v>2.2535159999748089E-4</v>
      </c>
      <c r="J188" s="265"/>
      <c r="K188" s="87">
        <f t="shared" si="393"/>
        <v>2.2535159999748089E-4</v>
      </c>
      <c r="L188" s="76">
        <f t="shared" si="394"/>
        <v>0</v>
      </c>
      <c r="M188" s="362">
        <v>43508</v>
      </c>
      <c r="N188" s="833"/>
      <c r="O188" s="833"/>
      <c r="P188" s="833"/>
      <c r="Q188" s="833"/>
      <c r="R188" s="833"/>
      <c r="S188" s="842"/>
      <c r="T188" s="842"/>
      <c r="V188" s="378">
        <v>0</v>
      </c>
      <c r="W188" s="588">
        <f t="shared" si="341"/>
        <v>0</v>
      </c>
    </row>
    <row r="189" spans="1:24" s="378" customFormat="1" ht="15" customHeight="1">
      <c r="A189" s="46">
        <v>15</v>
      </c>
      <c r="B189" s="921"/>
      <c r="C189" s="822" t="s">
        <v>406</v>
      </c>
      <c r="D189" s="322" t="s">
        <v>346</v>
      </c>
      <c r="E189" s="857">
        <v>6.9147745E-3</v>
      </c>
      <c r="F189" s="81" t="s">
        <v>35</v>
      </c>
      <c r="G189" s="376">
        <f>+E189*$D$6</f>
        <v>16.567799701999999</v>
      </c>
      <c r="H189" s="79">
        <v>-26.097000000000001</v>
      </c>
      <c r="I189" s="75">
        <f>G189+H189</f>
        <v>-9.5292002980000028</v>
      </c>
      <c r="J189" s="369"/>
      <c r="K189" s="87">
        <f t="shared" si="393"/>
        <v>-9.5292002980000028</v>
      </c>
      <c r="L189" s="76">
        <f t="shared" si="394"/>
        <v>0</v>
      </c>
      <c r="M189" s="362">
        <v>43508</v>
      </c>
      <c r="N189" s="832">
        <f t="shared" ref="N189:O189" si="427">G189+G190</f>
        <v>26.096358963</v>
      </c>
      <c r="O189" s="832">
        <f t="shared" si="427"/>
        <v>-26.097000000000001</v>
      </c>
      <c r="P189" s="832">
        <f t="shared" ref="P189" si="428">N189+O189</f>
        <v>-6.4103700000117669E-4</v>
      </c>
      <c r="Q189" s="832">
        <f t="shared" ref="Q189" si="429">J189+J190</f>
        <v>0</v>
      </c>
      <c r="R189" s="832">
        <f t="shared" ref="R189" si="430">P189-Q189</f>
        <v>-6.4103700000117669E-4</v>
      </c>
      <c r="S189" s="841">
        <f t="shared" ref="S189" si="431">Q189/P189</f>
        <v>0</v>
      </c>
      <c r="T189" s="841">
        <f t="shared" si="360"/>
        <v>1.0000245642313899</v>
      </c>
      <c r="V189" s="378">
        <v>0</v>
      </c>
      <c r="W189" s="588">
        <f t="shared" si="341"/>
        <v>0</v>
      </c>
    </row>
    <row r="190" spans="1:24" s="378" customFormat="1" ht="15" customHeight="1">
      <c r="A190" s="46"/>
      <c r="B190" s="921"/>
      <c r="C190" s="823"/>
      <c r="D190" s="320"/>
      <c r="E190" s="858">
        <v>6.9147745E-3</v>
      </c>
      <c r="F190" s="321" t="s">
        <v>95</v>
      </c>
      <c r="G190" s="376">
        <f>+E189*$D$8</f>
        <v>9.5285592609999998</v>
      </c>
      <c r="H190" s="79"/>
      <c r="I190" s="75">
        <f>G190+H190+K189</f>
        <v>-6.4103700000295305E-4</v>
      </c>
      <c r="J190" s="265"/>
      <c r="K190" s="87">
        <f t="shared" si="393"/>
        <v>-6.4103700000295305E-4</v>
      </c>
      <c r="L190" s="76">
        <f t="shared" si="394"/>
        <v>0</v>
      </c>
      <c r="M190" s="362">
        <v>43508</v>
      </c>
      <c r="N190" s="833"/>
      <c r="O190" s="833"/>
      <c r="P190" s="833"/>
      <c r="Q190" s="833"/>
      <c r="R190" s="833"/>
      <c r="S190" s="842"/>
      <c r="T190" s="842"/>
      <c r="V190" s="378">
        <v>0</v>
      </c>
      <c r="W190" s="588">
        <f t="shared" si="341"/>
        <v>0</v>
      </c>
    </row>
    <row r="191" spans="1:24" s="378" customFormat="1" ht="15" customHeight="1">
      <c r="A191" s="46">
        <v>16</v>
      </c>
      <c r="B191" s="921"/>
      <c r="C191" s="818" t="s">
        <v>405</v>
      </c>
      <c r="D191" s="322" t="s">
        <v>355</v>
      </c>
      <c r="E191" s="857">
        <v>6.7761519999999997E-4</v>
      </c>
      <c r="F191" s="81" t="s">
        <v>35</v>
      </c>
      <c r="G191" s="376">
        <f>+E191*$D$6</f>
        <v>1.6235660191999999</v>
      </c>
      <c r="H191" s="79">
        <v>-2.5569999999999999</v>
      </c>
      <c r="I191" s="75">
        <f>G191+H191</f>
        <v>-0.93343398080000006</v>
      </c>
      <c r="J191" s="369"/>
      <c r="K191" s="87">
        <f t="shared" si="371"/>
        <v>-0.93343398080000006</v>
      </c>
      <c r="L191" s="76">
        <f t="shared" si="372"/>
        <v>0</v>
      </c>
      <c r="M191" s="362">
        <v>43508</v>
      </c>
      <c r="N191" s="832">
        <f t="shared" ref="N191:O191" si="432">G191+G192</f>
        <v>2.5573197647999999</v>
      </c>
      <c r="O191" s="832">
        <f t="shared" si="432"/>
        <v>-2.5569999999999999</v>
      </c>
      <c r="P191" s="832">
        <f t="shared" ref="P191" si="433">N191+O191</f>
        <v>3.1976479999995533E-4</v>
      </c>
      <c r="Q191" s="832">
        <f t="shared" ref="Q191" si="434">J191+J192</f>
        <v>0</v>
      </c>
      <c r="R191" s="832">
        <f t="shared" ref="R191" si="435">P191-Q191</f>
        <v>3.1976479999995533E-4</v>
      </c>
      <c r="S191" s="841">
        <f t="shared" ref="S191" si="436">Q191/P191</f>
        <v>0</v>
      </c>
      <c r="T191" s="841">
        <f t="shared" si="360"/>
        <v>0.99987496096327044</v>
      </c>
      <c r="V191" s="378">
        <v>0</v>
      </c>
      <c r="W191" s="588">
        <f t="shared" si="341"/>
        <v>0</v>
      </c>
    </row>
    <row r="192" spans="1:24" s="378" customFormat="1" ht="15" customHeight="1">
      <c r="A192" s="46"/>
      <c r="B192" s="921"/>
      <c r="C192" s="819"/>
      <c r="D192" s="320"/>
      <c r="E192" s="858">
        <v>6.7761519999999997E-4</v>
      </c>
      <c r="F192" s="321" t="s">
        <v>95</v>
      </c>
      <c r="G192" s="376">
        <f>+E191*$D$8</f>
        <v>0.93375374559999991</v>
      </c>
      <c r="H192" s="79"/>
      <c r="I192" s="75">
        <f>G192+H192+K191</f>
        <v>3.1976479999984431E-4</v>
      </c>
      <c r="J192" s="265"/>
      <c r="K192" s="87">
        <f t="shared" si="371"/>
        <v>3.1976479999984431E-4</v>
      </c>
      <c r="L192" s="76">
        <f t="shared" si="372"/>
        <v>0</v>
      </c>
      <c r="M192" s="362">
        <v>43508</v>
      </c>
      <c r="N192" s="833"/>
      <c r="O192" s="833"/>
      <c r="P192" s="833"/>
      <c r="Q192" s="833"/>
      <c r="R192" s="833"/>
      <c r="S192" s="842"/>
      <c r="T192" s="842"/>
      <c r="V192" s="378">
        <v>0</v>
      </c>
      <c r="W192" s="588">
        <f t="shared" si="341"/>
        <v>0</v>
      </c>
    </row>
    <row r="193" spans="1:23" s="378" customFormat="1" ht="15" customHeight="1">
      <c r="A193" s="46">
        <v>17</v>
      </c>
      <c r="B193" s="921"/>
      <c r="C193" s="818" t="s">
        <v>356</v>
      </c>
      <c r="D193" s="322"/>
      <c r="E193" s="834">
        <v>4.3170543000000004E-3</v>
      </c>
      <c r="F193" s="81" t="s">
        <v>35</v>
      </c>
      <c r="G193" s="376">
        <f>+E193*$D$6</f>
        <v>10.343662102800002</v>
      </c>
      <c r="H193" s="79"/>
      <c r="I193" s="75">
        <f>G193+H193</f>
        <v>10.343662102800002</v>
      </c>
      <c r="J193" s="369">
        <v>12.303333333333333</v>
      </c>
      <c r="K193" s="87">
        <f t="shared" si="371"/>
        <v>-1.9596712305333313</v>
      </c>
      <c r="L193" s="508">
        <f t="shared" si="372"/>
        <v>1.1894562304005323</v>
      </c>
      <c r="M193" s="533" t="s">
        <v>30</v>
      </c>
      <c r="N193" s="836">
        <f t="shared" ref="N193:O193" si="437">G193+G194</f>
        <v>16.292562928200002</v>
      </c>
      <c r="O193" s="836">
        <f t="shared" si="437"/>
        <v>0</v>
      </c>
      <c r="P193" s="836">
        <f t="shared" ref="P193" si="438">N193+O193</f>
        <v>16.292562928200002</v>
      </c>
      <c r="Q193" s="836">
        <f t="shared" ref="Q193" si="439">J193+J194</f>
        <v>12.303333333333333</v>
      </c>
      <c r="R193" s="836">
        <f t="shared" ref="R193" si="440">P193-Q193</f>
        <v>3.9892295948666696</v>
      </c>
      <c r="S193" s="849">
        <f t="shared" ref="S193" si="441">Q193/P193</f>
        <v>0.75515027240054988</v>
      </c>
      <c r="T193" s="908">
        <f t="shared" si="360"/>
        <v>0.75515027240054988</v>
      </c>
      <c r="W193" s="588">
        <f t="shared" si="341"/>
        <v>-12.303333333333333</v>
      </c>
    </row>
    <row r="194" spans="1:23" s="378" customFormat="1" ht="15" customHeight="1">
      <c r="A194" s="46"/>
      <c r="B194" s="922"/>
      <c r="C194" s="856"/>
      <c r="D194" s="295"/>
      <c r="E194" s="835">
        <v>4.3170543000000004E-3</v>
      </c>
      <c r="F194" s="519" t="s">
        <v>95</v>
      </c>
      <c r="G194" s="535">
        <f>+E193*$D$8</f>
        <v>5.9489008254000009</v>
      </c>
      <c r="H194" s="536"/>
      <c r="I194" s="537">
        <f>G194+H194+K193</f>
        <v>3.9892295948666696</v>
      </c>
      <c r="J194" s="517"/>
      <c r="K194" s="538">
        <f t="shared" si="371"/>
        <v>3.9892295948666696</v>
      </c>
      <c r="L194" s="539">
        <f t="shared" si="372"/>
        <v>0</v>
      </c>
      <c r="M194" s="510" t="s">
        <v>30</v>
      </c>
      <c r="N194" s="837"/>
      <c r="O194" s="837"/>
      <c r="P194" s="837"/>
      <c r="Q194" s="837"/>
      <c r="R194" s="837"/>
      <c r="S194" s="850"/>
      <c r="T194" s="909"/>
      <c r="W194" s="588">
        <f t="shared" si="341"/>
        <v>0</v>
      </c>
    </row>
    <row r="195" spans="1:23" s="378" customFormat="1" ht="15" customHeight="1">
      <c r="A195" s="46"/>
      <c r="B195" s="510" t="s">
        <v>357</v>
      </c>
      <c r="C195" s="540"/>
      <c r="D195" s="515"/>
      <c r="E195" s="851">
        <f>SUM(E161:E194)</f>
        <v>0.41628974509999994</v>
      </c>
      <c r="F195" s="518" t="s">
        <v>35</v>
      </c>
      <c r="G195" s="541">
        <f>G161+G163+G165+G187+G171+G175+G167+G179+G177+G183+G185+G173+G189+G181+G169+G191+G193</f>
        <v>547.08953196319999</v>
      </c>
      <c r="H195" s="542">
        <f>+H161+H163+H165+H167+H173+H175+H177+H179+H181+H183+H185+H187+H189+H171+H169+H191+H193</f>
        <v>-811.08299999999997</v>
      </c>
      <c r="I195" s="543">
        <f t="shared" ref="I195:K196" si="442">I161+I163+I165+I187+I171+I175+I167+I179+I177+I183+I185+I173+I189+I181+I169+I191+I193</f>
        <v>-263.99346803679998</v>
      </c>
      <c r="J195" s="543">
        <f t="shared" si="442"/>
        <v>20.784444444444443</v>
      </c>
      <c r="K195" s="543">
        <f t="shared" si="442"/>
        <v>-284.77791248124447</v>
      </c>
      <c r="L195" s="544">
        <f t="shared" si="372"/>
        <v>-7.8730904211414612E-2</v>
      </c>
      <c r="M195" s="852" t="s">
        <v>30</v>
      </c>
      <c r="N195" s="854">
        <f>SUM(N161:N194)</f>
        <v>861.73451320079982</v>
      </c>
      <c r="O195" s="854">
        <f>SUM(O165:O194)</f>
        <v>-696.53</v>
      </c>
      <c r="P195" s="854">
        <f>+N195+O195</f>
        <v>165.20451320079985</v>
      </c>
      <c r="Q195" s="854">
        <f>SUM(Q165:Q194)</f>
        <v>20.784444444444443</v>
      </c>
      <c r="R195" s="854">
        <f>SUM(R165:R194)</f>
        <v>29.866997228955555</v>
      </c>
      <c r="S195" s="855">
        <f>Q195/P195</f>
        <v>0.12581039126444285</v>
      </c>
      <c r="T195" s="908">
        <f t="shared" si="360"/>
        <v>0.96534083668296111</v>
      </c>
      <c r="W195" s="588">
        <f t="shared" si="341"/>
        <v>-20.784444444444443</v>
      </c>
    </row>
    <row r="196" spans="1:23" s="378" customFormat="1" ht="15" customHeight="1">
      <c r="A196" s="46"/>
      <c r="B196" s="511"/>
      <c r="C196" s="545"/>
      <c r="D196" s="516"/>
      <c r="E196" s="851"/>
      <c r="F196" s="518" t="s">
        <v>95</v>
      </c>
      <c r="G196" s="541">
        <f>G162+G164+G166+G188+G172+G176+G168+G180+G178+G184+G186+G174+G190+G182+G170+G192+G194</f>
        <v>314.64498123760001</v>
      </c>
      <c r="H196" s="543">
        <f>+H162+H164+H166+H168+H174+H176+H178+H180+H182+H184+H186+H188+H190+H172+H170+H192+H194</f>
        <v>0</v>
      </c>
      <c r="I196" s="543">
        <f t="shared" si="442"/>
        <v>29.86706875635555</v>
      </c>
      <c r="J196" s="543">
        <f t="shared" si="442"/>
        <v>0</v>
      </c>
      <c r="K196" s="543">
        <f t="shared" si="442"/>
        <v>29.86706875635555</v>
      </c>
      <c r="L196" s="544">
        <f t="shared" si="372"/>
        <v>0</v>
      </c>
      <c r="M196" s="853"/>
      <c r="N196" s="854"/>
      <c r="O196" s="854"/>
      <c r="P196" s="854"/>
      <c r="Q196" s="854"/>
      <c r="R196" s="854"/>
      <c r="S196" s="855"/>
      <c r="T196" s="908"/>
      <c r="W196" s="588">
        <f t="shared" si="341"/>
        <v>0</v>
      </c>
    </row>
    <row r="197" spans="1:23" s="378" customFormat="1" ht="15" customHeight="1">
      <c r="A197" s="46"/>
      <c r="B197" s="46"/>
      <c r="C197" s="49"/>
      <c r="D197" s="46"/>
      <c r="E197" s="46"/>
      <c r="F197" s="3"/>
      <c r="G197" s="46"/>
      <c r="H197" s="46"/>
      <c r="I197" s="46"/>
      <c r="J197" s="46"/>
      <c r="K197" s="46"/>
      <c r="L197" s="3"/>
      <c r="M197" s="46"/>
      <c r="N197" s="46"/>
      <c r="O197" s="46"/>
      <c r="P197" s="46"/>
      <c r="Q197" s="46"/>
      <c r="R197" s="46"/>
      <c r="S197" s="46"/>
      <c r="W197" s="588">
        <f t="shared" si="341"/>
        <v>0</v>
      </c>
    </row>
    <row r="198" spans="1:23" s="378" customFormat="1" ht="15" customHeight="1">
      <c r="A198" s="46"/>
      <c r="B198" s="46"/>
      <c r="C198" s="49"/>
      <c r="D198" s="46"/>
      <c r="E198" s="46"/>
      <c r="F198" s="3"/>
      <c r="G198" s="427"/>
      <c r="H198" s="427"/>
      <c r="I198" s="427"/>
      <c r="J198" s="427"/>
      <c r="K198" s="427"/>
      <c r="L198" s="428"/>
      <c r="M198" s="46"/>
      <c r="N198" s="46"/>
      <c r="O198" s="46"/>
      <c r="P198" s="46"/>
      <c r="Q198" s="46"/>
      <c r="R198" s="46"/>
      <c r="S198" s="269"/>
      <c r="T198" s="907"/>
      <c r="U198" s="409"/>
      <c r="W198" s="588">
        <f t="shared" si="341"/>
        <v>0</v>
      </c>
    </row>
    <row r="199" spans="1:23" s="378" customFormat="1" ht="15" customHeight="1">
      <c r="A199" s="46"/>
      <c r="B199" s="918" t="s">
        <v>358</v>
      </c>
      <c r="C199" s="919"/>
      <c r="D199" s="318" t="s">
        <v>399</v>
      </c>
      <c r="E199" s="365" t="s">
        <v>242</v>
      </c>
      <c r="F199" s="365" t="s">
        <v>243</v>
      </c>
      <c r="G199" s="380" t="s">
        <v>235</v>
      </c>
      <c r="H199" s="420" t="s">
        <v>4</v>
      </c>
      <c r="I199" s="419" t="s">
        <v>5</v>
      </c>
      <c r="J199" s="419" t="s">
        <v>236</v>
      </c>
      <c r="K199" s="419" t="s">
        <v>45</v>
      </c>
      <c r="L199" s="419" t="s">
        <v>46</v>
      </c>
      <c r="M199" s="46"/>
      <c r="N199" s="46"/>
      <c r="O199" s="46"/>
      <c r="P199" s="46"/>
      <c r="Q199" s="46"/>
      <c r="R199" s="46"/>
      <c r="S199" s="269"/>
      <c r="T199" s="907"/>
      <c r="U199" s="409"/>
    </row>
    <row r="200" spans="1:23" s="378" customFormat="1" ht="15" customHeight="1">
      <c r="A200" s="46"/>
      <c r="B200" s="914" t="s">
        <v>397</v>
      </c>
      <c r="C200" s="915"/>
      <c r="D200" s="911">
        <v>16</v>
      </c>
      <c r="E200" s="410">
        <f>+E44</f>
        <v>0.24698050980000003</v>
      </c>
      <c r="F200" s="426" t="s">
        <v>35</v>
      </c>
      <c r="G200" s="429">
        <f>+G44</f>
        <v>576.78533609359999</v>
      </c>
      <c r="H200" s="561">
        <f>+H44</f>
        <v>-277.50599999999997</v>
      </c>
      <c r="I200" s="429">
        <f>+G200+H200</f>
        <v>299.27933609360002</v>
      </c>
      <c r="J200" s="433">
        <f>+J44</f>
        <v>381.16777777777781</v>
      </c>
      <c r="K200" s="430">
        <f>+I200-J200</f>
        <v>-81.888441684177792</v>
      </c>
      <c r="L200" s="131">
        <f>+J200/I200</f>
        <v>1.2736187628355573</v>
      </c>
      <c r="M200" s="46"/>
      <c r="N200" s="46"/>
      <c r="O200" s="46"/>
      <c r="P200" s="46"/>
      <c r="Q200" s="46"/>
      <c r="R200" s="46"/>
      <c r="S200" s="269"/>
      <c r="T200" s="907"/>
      <c r="U200" s="409"/>
    </row>
    <row r="201" spans="1:23" s="378" customFormat="1" ht="15" customHeight="1">
      <c r="A201" s="46"/>
      <c r="B201" s="916"/>
      <c r="C201" s="917"/>
      <c r="D201" s="912"/>
      <c r="E201" s="384"/>
      <c r="F201" s="426" t="s">
        <v>95</v>
      </c>
      <c r="G201" s="429">
        <f>+G45</f>
        <v>309.83269663480007</v>
      </c>
      <c r="H201" s="430">
        <f>+H45</f>
        <v>0</v>
      </c>
      <c r="I201" s="206">
        <f>G201+H201+K200</f>
        <v>227.94425495062228</v>
      </c>
      <c r="J201" s="431">
        <f>+J45</f>
        <v>0</v>
      </c>
      <c r="K201" s="430">
        <f>+I201-J201</f>
        <v>227.94425495062228</v>
      </c>
      <c r="L201" s="131">
        <f>+J201/I201</f>
        <v>0</v>
      </c>
      <c r="M201" s="46"/>
      <c r="N201" s="46"/>
      <c r="O201" s="46"/>
      <c r="P201" s="46"/>
      <c r="Q201" s="46"/>
      <c r="R201" s="46"/>
      <c r="S201" s="269"/>
      <c r="T201" s="907"/>
      <c r="U201" s="409"/>
    </row>
    <row r="202" spans="1:23" s="378" customFormat="1" ht="15" customHeight="1">
      <c r="A202" s="46"/>
      <c r="B202" s="914" t="s">
        <v>398</v>
      </c>
      <c r="C202" s="915"/>
      <c r="D202" s="925">
        <v>17</v>
      </c>
      <c r="E202" s="410">
        <f>+E83</f>
        <v>0.47890969030000002</v>
      </c>
      <c r="F202" s="426" t="s">
        <v>35</v>
      </c>
      <c r="G202" s="432">
        <f>+G83</f>
        <v>588.80181727119987</v>
      </c>
      <c r="H202" s="561">
        <f>+H83</f>
        <v>-709.35900000000004</v>
      </c>
      <c r="I202" s="429">
        <f>+G202+H202</f>
        <v>-120.55718272880017</v>
      </c>
      <c r="J202" s="433">
        <f>+J83</f>
        <v>106.43733333333331</v>
      </c>
      <c r="K202" s="430">
        <f t="shared" ref="K202:K205" si="443">+I202-J202</f>
        <v>-226.99451606213347</v>
      </c>
      <c r="L202" s="131">
        <f t="shared" ref="L202:L207" si="444">+J202/I202</f>
        <v>-0.8828784061151278</v>
      </c>
      <c r="M202" s="46"/>
      <c r="N202" s="46"/>
      <c r="O202" s="46"/>
      <c r="P202" s="46"/>
      <c r="Q202" s="46"/>
      <c r="R202" s="46"/>
      <c r="S202" s="269"/>
      <c r="T202" s="907"/>
      <c r="U202" s="409"/>
    </row>
    <row r="203" spans="1:23" s="378" customFormat="1" ht="15" customHeight="1">
      <c r="A203" s="46"/>
      <c r="B203" s="916"/>
      <c r="C203" s="917"/>
      <c r="D203" s="926"/>
      <c r="E203" s="384"/>
      <c r="F203" s="426" t="s">
        <v>95</v>
      </c>
      <c r="G203" s="432">
        <f>+G84</f>
        <v>325.43836903159996</v>
      </c>
      <c r="H203" s="430">
        <f>+H84</f>
        <v>0</v>
      </c>
      <c r="I203" s="206">
        <f>G203+H203+K202</f>
        <v>98.443852969466491</v>
      </c>
      <c r="J203" s="431">
        <f>+J84</f>
        <v>0</v>
      </c>
      <c r="K203" s="430">
        <f t="shared" si="443"/>
        <v>98.443852969466491</v>
      </c>
      <c r="L203" s="131">
        <f t="shared" si="444"/>
        <v>0</v>
      </c>
      <c r="M203" s="46"/>
      <c r="N203" s="46"/>
      <c r="O203" s="46"/>
      <c r="P203" s="46"/>
      <c r="Q203" s="46"/>
      <c r="R203" s="46"/>
      <c r="S203" s="269"/>
      <c r="T203" s="907"/>
      <c r="U203" s="409"/>
    </row>
    <row r="204" spans="1:23" s="378" customFormat="1" ht="15" customHeight="1">
      <c r="A204" s="46"/>
      <c r="B204" s="914" t="s">
        <v>396</v>
      </c>
      <c r="C204" s="915"/>
      <c r="D204" s="914">
        <v>36</v>
      </c>
      <c r="E204" s="410">
        <f>+E156</f>
        <v>0.57615809879999991</v>
      </c>
      <c r="F204" s="426" t="s">
        <v>35</v>
      </c>
      <c r="G204" s="432">
        <f>+G156</f>
        <v>732.24207845960007</v>
      </c>
      <c r="H204" s="561">
        <f>+H156</f>
        <v>-1039.2980000000002</v>
      </c>
      <c r="I204" s="429">
        <f>+G204+H204</f>
        <v>-307.05592154040016</v>
      </c>
      <c r="J204" s="433">
        <f>+J156</f>
        <v>45.390555555555558</v>
      </c>
      <c r="K204" s="430">
        <f t="shared" si="443"/>
        <v>-352.44647709595574</v>
      </c>
      <c r="L204" s="131">
        <f t="shared" si="444"/>
        <v>-0.14782504544398894</v>
      </c>
      <c r="M204" s="46"/>
      <c r="N204" s="46"/>
      <c r="O204" s="46"/>
      <c r="P204" s="46"/>
      <c r="Q204" s="46"/>
      <c r="R204" s="46"/>
      <c r="S204" s="269"/>
      <c r="T204" s="907"/>
      <c r="U204" s="409"/>
    </row>
    <row r="205" spans="1:23" s="378" customFormat="1" ht="15" customHeight="1">
      <c r="A205" s="46"/>
      <c r="B205" s="916"/>
      <c r="C205" s="917"/>
      <c r="D205" s="916" t="s">
        <v>95</v>
      </c>
      <c r="E205" s="384"/>
      <c r="F205" s="426" t="s">
        <v>95</v>
      </c>
      <c r="G205" s="432">
        <f>+G157</f>
        <v>379.16518402480011</v>
      </c>
      <c r="H205" s="430">
        <f>+H157</f>
        <v>0</v>
      </c>
      <c r="I205" s="206">
        <f>G205+H205+K204</f>
        <v>26.718706928844369</v>
      </c>
      <c r="J205" s="431">
        <f>+J157</f>
        <v>0</v>
      </c>
      <c r="K205" s="430">
        <f t="shared" si="443"/>
        <v>26.718706928844369</v>
      </c>
      <c r="L205" s="131">
        <f t="shared" si="444"/>
        <v>0</v>
      </c>
      <c r="M205" s="46"/>
      <c r="N205" s="46"/>
      <c r="O205" s="46"/>
      <c r="P205" s="46"/>
      <c r="Q205" s="46"/>
      <c r="R205" s="46"/>
      <c r="S205" s="269"/>
      <c r="T205" s="907"/>
      <c r="U205" s="409"/>
    </row>
    <row r="206" spans="1:23" s="378" customFormat="1" ht="15" customHeight="1">
      <c r="A206" s="46"/>
      <c r="B206" s="914" t="s">
        <v>395</v>
      </c>
      <c r="C206" s="915"/>
      <c r="D206" s="914">
        <v>17</v>
      </c>
      <c r="E206" s="410">
        <f>+E195</f>
        <v>0.41628974509999994</v>
      </c>
      <c r="F206" s="426" t="s">
        <v>35</v>
      </c>
      <c r="G206" s="432">
        <f>+G195</f>
        <v>547.08953196319999</v>
      </c>
      <c r="H206" s="561">
        <f>+H195</f>
        <v>-811.08299999999997</v>
      </c>
      <c r="I206" s="429">
        <f>+G206+H206</f>
        <v>-263.99346803679998</v>
      </c>
      <c r="J206" s="433">
        <f>+J195</f>
        <v>20.784444444444443</v>
      </c>
      <c r="K206" s="430">
        <f>+I206-J206</f>
        <v>-284.77791248124441</v>
      </c>
      <c r="L206" s="131">
        <f t="shared" si="444"/>
        <v>-7.8730904211414612E-2</v>
      </c>
      <c r="M206" s="424">
        <f>+'[1]RAE M. SUR 2019'!$L$261</f>
        <v>6.29</v>
      </c>
      <c r="N206" s="46"/>
      <c r="O206" s="46"/>
      <c r="P206" s="46"/>
      <c r="Q206" s="46"/>
      <c r="R206" s="46"/>
      <c r="S206" s="269"/>
      <c r="T206" s="907"/>
      <c r="U206" s="409"/>
    </row>
    <row r="207" spans="1:23" s="378" customFormat="1" ht="15" customHeight="1">
      <c r="A207" s="46"/>
      <c r="B207" s="916"/>
      <c r="C207" s="917"/>
      <c r="D207" s="916" t="s">
        <v>95</v>
      </c>
      <c r="E207" s="384"/>
      <c r="F207" s="426" t="s">
        <v>95</v>
      </c>
      <c r="G207" s="432">
        <f t="shared" ref="G207:H207" si="445">+G196</f>
        <v>314.64498123760001</v>
      </c>
      <c r="H207" s="430">
        <f t="shared" si="445"/>
        <v>0</v>
      </c>
      <c r="I207" s="206">
        <f>G207+H207+K206</f>
        <v>29.867068756355593</v>
      </c>
      <c r="J207" s="431">
        <f t="shared" ref="J207" si="446">+J196</f>
        <v>0</v>
      </c>
      <c r="K207" s="430">
        <f>+I207-J207</f>
        <v>29.867068756355593</v>
      </c>
      <c r="L207" s="131">
        <f t="shared" si="444"/>
        <v>0</v>
      </c>
      <c r="M207" s="424"/>
      <c r="N207" s="46"/>
      <c r="O207" s="46"/>
      <c r="P207" s="46"/>
      <c r="Q207" s="46"/>
      <c r="R207" s="46"/>
      <c r="S207" s="269"/>
      <c r="T207" s="907"/>
      <c r="U207" s="409"/>
    </row>
    <row r="208" spans="1:23" s="378" customFormat="1" ht="15" customHeight="1">
      <c r="A208" s="46"/>
      <c r="B208" s="411" t="s">
        <v>361</v>
      </c>
      <c r="C208" s="412"/>
      <c r="D208" s="413">
        <f>SUM(D200:D207)</f>
        <v>86</v>
      </c>
      <c r="E208" s="413">
        <f>SUM(E200:E207)</f>
        <v>1.7183380439999998</v>
      </c>
      <c r="F208" s="414"/>
      <c r="G208" s="383">
        <f>SUM(G200:G207)</f>
        <v>3773.9999947164001</v>
      </c>
      <c r="H208" s="377">
        <f>SUM(H200:H207)</f>
        <v>-2837.2460000000001</v>
      </c>
      <c r="I208" s="377">
        <f>+G208+H208</f>
        <v>936.75399471640003</v>
      </c>
      <c r="J208" s="377">
        <f>SUM(J200:J207)</f>
        <v>553.78011111111118</v>
      </c>
      <c r="K208" s="377">
        <f>+I208-J208</f>
        <v>382.97388360528885</v>
      </c>
      <c r="L208" s="423">
        <f>+J208/I208</f>
        <v>0.59116920155623864</v>
      </c>
      <c r="M208" s="424"/>
      <c r="N208" s="46"/>
      <c r="O208" s="46"/>
      <c r="P208" s="46"/>
      <c r="Q208" s="46"/>
      <c r="R208" s="46"/>
      <c r="S208" s="269"/>
      <c r="T208" s="907"/>
      <c r="U208" s="409"/>
    </row>
    <row r="209" spans="1:21" s="378" customFormat="1" ht="15" customHeight="1">
      <c r="A209" s="46"/>
      <c r="C209" s="196"/>
      <c r="M209" s="425"/>
      <c r="S209" s="409"/>
      <c r="T209" s="907"/>
      <c r="U209" s="409"/>
    </row>
    <row r="210" spans="1:21" s="378" customFormat="1" ht="15" customHeight="1">
      <c r="A210" s="46"/>
      <c r="C210" s="196"/>
      <c r="H210" s="415">
        <f>+H208+G229</f>
        <v>7.0000000000163709E-2</v>
      </c>
      <c r="S210" s="409"/>
      <c r="T210" s="907"/>
      <c r="U210" s="409"/>
    </row>
    <row r="211" spans="1:21" s="378" customFormat="1" ht="15" customHeight="1">
      <c r="A211" s="46"/>
      <c r="C211" s="196"/>
      <c r="S211" s="409"/>
      <c r="T211" s="907"/>
      <c r="U211" s="409"/>
    </row>
    <row r="212" spans="1:21" s="378" customFormat="1" ht="15" customHeight="1">
      <c r="C212" s="196"/>
      <c r="S212" s="409"/>
      <c r="T212" s="907"/>
      <c r="U212" s="409"/>
    </row>
    <row r="213" spans="1:21" s="378" customFormat="1" ht="15" customHeight="1">
      <c r="C213" s="690" t="s">
        <v>457</v>
      </c>
      <c r="D213" s="378" t="s">
        <v>465</v>
      </c>
      <c r="E213" s="378" t="s">
        <v>510</v>
      </c>
      <c r="G213" s="378" t="s">
        <v>473</v>
      </c>
      <c r="H213" s="378" t="s">
        <v>524</v>
      </c>
      <c r="I213" s="378" t="s">
        <v>525</v>
      </c>
      <c r="S213" s="409"/>
      <c r="T213" s="907"/>
      <c r="U213" s="409"/>
    </row>
    <row r="214" spans="1:21" s="378" customFormat="1" ht="15" customHeight="1">
      <c r="C214" s="196">
        <v>442</v>
      </c>
      <c r="D214" s="378">
        <v>43503</v>
      </c>
      <c r="E214" s="378" t="s">
        <v>506</v>
      </c>
      <c r="G214" s="378">
        <v>193.87899999999999</v>
      </c>
      <c r="H214" s="378" t="s">
        <v>491</v>
      </c>
      <c r="I214" s="378" t="s">
        <v>462</v>
      </c>
      <c r="S214" s="409"/>
      <c r="T214" s="907"/>
      <c r="U214" s="409"/>
    </row>
    <row r="215" spans="1:21" s="378" customFormat="1" ht="15" customHeight="1">
      <c r="C215" s="196">
        <v>531</v>
      </c>
      <c r="D215" s="378">
        <v>43503</v>
      </c>
      <c r="E215" s="378" t="s">
        <v>507</v>
      </c>
      <c r="G215" s="378">
        <v>722.274</v>
      </c>
      <c r="H215" s="378" t="s">
        <v>491</v>
      </c>
      <c r="I215" s="378" t="s">
        <v>460</v>
      </c>
      <c r="S215" s="409"/>
      <c r="T215" s="907"/>
      <c r="U215" s="409"/>
    </row>
    <row r="216" spans="1:21" s="378" customFormat="1" ht="15" customHeight="1">
      <c r="C216" s="196">
        <v>532</v>
      </c>
      <c r="D216" s="378">
        <v>43503</v>
      </c>
      <c r="E216" s="378" t="s">
        <v>508</v>
      </c>
      <c r="G216" s="378">
        <v>1402.471</v>
      </c>
      <c r="H216" s="378" t="s">
        <v>491</v>
      </c>
      <c r="I216" s="378" t="s">
        <v>494</v>
      </c>
      <c r="S216" s="409"/>
      <c r="T216" s="907"/>
      <c r="U216" s="409"/>
    </row>
    <row r="217" spans="1:21" s="378" customFormat="1" ht="15" customHeight="1">
      <c r="C217" s="196">
        <v>674</v>
      </c>
      <c r="D217" s="378">
        <v>43516</v>
      </c>
      <c r="E217" s="378" t="s">
        <v>504</v>
      </c>
      <c r="G217" s="378">
        <v>167.67400000000001</v>
      </c>
      <c r="H217" s="378" t="s">
        <v>491</v>
      </c>
      <c r="I217" s="378" t="s">
        <v>494</v>
      </c>
      <c r="S217" s="409"/>
      <c r="T217" s="907"/>
      <c r="U217" s="409"/>
    </row>
    <row r="218" spans="1:21" s="378" customFormat="1" ht="15" customHeight="1">
      <c r="C218" s="196">
        <v>675</v>
      </c>
      <c r="D218" s="378">
        <v>43516</v>
      </c>
      <c r="E218" s="378" t="s">
        <v>503</v>
      </c>
      <c r="G218" s="378">
        <v>40.600999999999999</v>
      </c>
      <c r="H218" s="378" t="s">
        <v>491</v>
      </c>
      <c r="I218" s="378" t="s">
        <v>494</v>
      </c>
      <c r="S218" s="409"/>
      <c r="T218" s="907"/>
      <c r="U218" s="409"/>
    </row>
    <row r="219" spans="1:21" s="378" customFormat="1" ht="15" customHeight="1">
      <c r="C219" s="196">
        <v>687</v>
      </c>
      <c r="D219" s="378">
        <v>43516</v>
      </c>
      <c r="E219" s="378" t="s">
        <v>502</v>
      </c>
      <c r="G219" s="378">
        <v>5.2220000000000004</v>
      </c>
      <c r="H219" s="378" t="s">
        <v>491</v>
      </c>
      <c r="I219" s="378" t="s">
        <v>494</v>
      </c>
      <c r="S219" s="409"/>
      <c r="T219" s="907"/>
      <c r="U219" s="409"/>
    </row>
    <row r="220" spans="1:21" s="378" customFormat="1" ht="15" customHeight="1">
      <c r="C220" s="196">
        <v>809</v>
      </c>
      <c r="D220" s="378">
        <v>43528</v>
      </c>
      <c r="E220" s="378" t="s">
        <v>501</v>
      </c>
      <c r="G220" s="378">
        <v>177.50700000000001</v>
      </c>
      <c r="H220" s="378" t="s">
        <v>491</v>
      </c>
      <c r="I220" s="378" t="s">
        <v>494</v>
      </c>
      <c r="S220" s="409"/>
      <c r="T220" s="907"/>
      <c r="U220" s="409"/>
    </row>
    <row r="221" spans="1:21" s="378" customFormat="1" ht="15" customHeight="1">
      <c r="C221" s="196">
        <v>1096</v>
      </c>
      <c r="D221" s="378">
        <v>43552</v>
      </c>
      <c r="E221" s="378" t="s">
        <v>488</v>
      </c>
      <c r="G221" s="378">
        <v>15.923999999999999</v>
      </c>
      <c r="H221" s="378" t="s">
        <v>491</v>
      </c>
      <c r="I221" s="378" t="s">
        <v>460</v>
      </c>
      <c r="S221" s="409"/>
      <c r="T221" s="907"/>
      <c r="U221" s="409"/>
    </row>
    <row r="222" spans="1:21" s="378" customFormat="1" ht="15" customHeight="1">
      <c r="C222" s="196">
        <v>1097</v>
      </c>
      <c r="D222" s="378">
        <v>43552</v>
      </c>
      <c r="E222" s="378" t="s">
        <v>486</v>
      </c>
      <c r="G222" s="378">
        <v>18.446000000000002</v>
      </c>
      <c r="H222" s="378" t="s">
        <v>491</v>
      </c>
      <c r="I222" s="378" t="s">
        <v>462</v>
      </c>
      <c r="S222" s="409"/>
      <c r="T222" s="907"/>
      <c r="U222" s="409"/>
    </row>
    <row r="223" spans="1:21" s="378" customFormat="1" ht="15" customHeight="1">
      <c r="C223" s="196">
        <v>1195</v>
      </c>
      <c r="D223" s="378">
        <v>43553</v>
      </c>
      <c r="E223" s="378" t="s">
        <v>489</v>
      </c>
      <c r="G223" s="378">
        <v>59.755000000000003</v>
      </c>
      <c r="H223" s="378" t="s">
        <v>491</v>
      </c>
      <c r="I223" s="378" t="s">
        <v>460</v>
      </c>
      <c r="S223" s="409"/>
      <c r="T223" s="907"/>
      <c r="U223" s="409"/>
    </row>
    <row r="224" spans="1:21" s="378" customFormat="1" ht="15" customHeight="1">
      <c r="C224" s="196">
        <v>1464</v>
      </c>
      <c r="D224" s="378">
        <v>43572</v>
      </c>
      <c r="E224" s="378" t="s">
        <v>526</v>
      </c>
      <c r="G224" s="378">
        <v>10.819000000000001</v>
      </c>
      <c r="H224" s="378" t="s">
        <v>491</v>
      </c>
      <c r="I224" s="378" t="s">
        <v>462</v>
      </c>
      <c r="S224" s="409"/>
      <c r="T224" s="907"/>
      <c r="U224" s="409"/>
    </row>
    <row r="225" spans="3:21" s="378" customFormat="1" ht="15" customHeight="1">
      <c r="C225" s="196">
        <v>2034</v>
      </c>
      <c r="D225" s="378">
        <v>43613</v>
      </c>
      <c r="E225" s="378" t="s">
        <v>543</v>
      </c>
      <c r="G225" s="378">
        <v>6.9349999999999996</v>
      </c>
      <c r="H225" s="378" t="s">
        <v>491</v>
      </c>
      <c r="I225" s="378" t="s">
        <v>462</v>
      </c>
      <c r="S225" s="409"/>
      <c r="T225" s="907"/>
      <c r="U225" s="409"/>
    </row>
    <row r="226" spans="3:21" s="378" customFormat="1" ht="15" customHeight="1">
      <c r="C226" s="196">
        <v>2144</v>
      </c>
      <c r="D226" s="378">
        <v>43627</v>
      </c>
      <c r="E226" s="378" t="s">
        <v>544</v>
      </c>
      <c r="G226" s="378">
        <v>11.58</v>
      </c>
      <c r="H226" s="378" t="s">
        <v>491</v>
      </c>
      <c r="I226" s="378" t="s">
        <v>494</v>
      </c>
      <c r="S226" s="409"/>
      <c r="T226" s="907"/>
      <c r="U226" s="409"/>
    </row>
    <row r="227" spans="3:21" s="378" customFormat="1" ht="15" customHeight="1">
      <c r="C227" s="196">
        <v>2145</v>
      </c>
      <c r="D227" s="378">
        <v>43627</v>
      </c>
      <c r="E227" s="378" t="s">
        <v>545</v>
      </c>
      <c r="G227" s="378">
        <v>3.8889999999999998</v>
      </c>
      <c r="H227" s="378" t="s">
        <v>491</v>
      </c>
      <c r="I227" s="378" t="s">
        <v>494</v>
      </c>
      <c r="S227" s="409"/>
      <c r="T227" s="907"/>
      <c r="U227" s="409"/>
    </row>
    <row r="228" spans="3:21" s="378" customFormat="1" ht="15" customHeight="1">
      <c r="C228" s="196">
        <v>2146</v>
      </c>
      <c r="D228" s="378">
        <v>43627</v>
      </c>
      <c r="E228" s="378" t="s">
        <v>546</v>
      </c>
      <c r="G228" s="378">
        <v>0.34</v>
      </c>
      <c r="H228" s="378" t="s">
        <v>532</v>
      </c>
      <c r="I228" s="378" t="s">
        <v>533</v>
      </c>
      <c r="S228" s="409"/>
      <c r="T228" s="907"/>
      <c r="U228" s="409"/>
    </row>
    <row r="229" spans="3:21" s="378" customFormat="1" ht="15" customHeight="1">
      <c r="C229" s="196"/>
      <c r="G229" s="378">
        <f>SUM(G214:G228)</f>
        <v>2837.3160000000003</v>
      </c>
      <c r="S229" s="409"/>
      <c r="T229" s="907"/>
      <c r="U229" s="409"/>
    </row>
    <row r="230" spans="3:21" s="378" customFormat="1" ht="15" customHeight="1">
      <c r="C230" s="196"/>
      <c r="S230" s="409"/>
      <c r="T230" s="907"/>
      <c r="U230" s="409"/>
    </row>
    <row r="231" spans="3:21" s="378" customFormat="1" ht="15" customHeight="1">
      <c r="C231" s="196"/>
      <c r="S231" s="409"/>
      <c r="T231" s="907"/>
      <c r="U231" s="409"/>
    </row>
    <row r="232" spans="3:21" s="378" customFormat="1" ht="15" customHeight="1">
      <c r="C232" s="196"/>
      <c r="S232" s="409"/>
      <c r="T232" s="907"/>
      <c r="U232" s="409"/>
    </row>
    <row r="233" spans="3:21" s="378" customFormat="1" ht="15" customHeight="1">
      <c r="C233" s="196"/>
      <c r="S233" s="409"/>
      <c r="T233" s="907"/>
      <c r="U233" s="409"/>
    </row>
    <row r="234" spans="3:21" s="378" customFormat="1" ht="15" customHeight="1">
      <c r="C234" s="196"/>
      <c r="S234" s="409"/>
      <c r="T234" s="907"/>
      <c r="U234" s="409"/>
    </row>
    <row r="235" spans="3:21" s="378" customFormat="1" ht="15" customHeight="1">
      <c r="C235" s="196"/>
      <c r="S235" s="409"/>
      <c r="T235" s="907"/>
      <c r="U235" s="409"/>
    </row>
    <row r="236" spans="3:21" s="378" customFormat="1" ht="15" customHeight="1">
      <c r="C236" s="196"/>
      <c r="S236" s="409"/>
      <c r="T236" s="910"/>
      <c r="U236" s="409"/>
    </row>
    <row r="237" spans="3:21" s="378" customFormat="1" ht="15" customHeight="1">
      <c r="C237" s="196"/>
      <c r="S237" s="409"/>
      <c r="T237" s="910"/>
      <c r="U237" s="409"/>
    </row>
    <row r="238" spans="3:21" s="378" customFormat="1" ht="15" customHeight="1">
      <c r="C238" s="196"/>
      <c r="S238" s="409"/>
      <c r="T238" s="409"/>
      <c r="U238" s="409"/>
    </row>
    <row r="239" spans="3:21" s="378" customFormat="1" ht="15" customHeight="1">
      <c r="C239" s="196"/>
      <c r="S239" s="409"/>
      <c r="T239" s="409"/>
      <c r="U239" s="409"/>
    </row>
    <row r="240" spans="3:21" s="378" customFormat="1" ht="15" customHeight="1">
      <c r="C240" s="196"/>
      <c r="S240" s="409"/>
      <c r="T240" s="409"/>
      <c r="U240" s="409"/>
    </row>
    <row r="241" spans="3:21" s="378" customFormat="1" ht="15" customHeight="1">
      <c r="C241" s="196"/>
      <c r="S241" s="409"/>
      <c r="T241" s="409"/>
      <c r="U241" s="409"/>
    </row>
    <row r="242" spans="3:21" s="378" customFormat="1" ht="15" customHeight="1">
      <c r="C242" s="196"/>
      <c r="S242" s="409"/>
      <c r="T242" s="409"/>
      <c r="U242" s="409"/>
    </row>
    <row r="243" spans="3:21" s="378" customFormat="1" ht="15" customHeight="1">
      <c r="C243" s="196"/>
      <c r="S243" s="409"/>
      <c r="T243" s="409"/>
      <c r="U243" s="409"/>
    </row>
    <row r="244" spans="3:21">
      <c r="S244" s="268"/>
      <c r="T244" s="268"/>
      <c r="U244" s="268"/>
    </row>
    <row r="245" spans="3:21">
      <c r="S245" s="268"/>
      <c r="T245" s="268"/>
      <c r="U245" s="268"/>
    </row>
    <row r="246" spans="3:21">
      <c r="S246" s="268"/>
      <c r="T246" s="268"/>
      <c r="U246" s="268"/>
    </row>
  </sheetData>
  <mergeCells count="873">
    <mergeCell ref="B200:C201"/>
    <mergeCell ref="B202:C203"/>
    <mergeCell ref="B204:C205"/>
    <mergeCell ref="B206:C207"/>
    <mergeCell ref="C183:C184"/>
    <mergeCell ref="C128:C129"/>
    <mergeCell ref="D142:D143"/>
    <mergeCell ref="E142:E143"/>
    <mergeCell ref="C165:C166"/>
    <mergeCell ref="B199:C199"/>
    <mergeCell ref="D128:D129"/>
    <mergeCell ref="E128:E129"/>
    <mergeCell ref="E138:E139"/>
    <mergeCell ref="D134:D135"/>
    <mergeCell ref="B161:B194"/>
    <mergeCell ref="C187:C188"/>
    <mergeCell ref="C189:C190"/>
    <mergeCell ref="C191:C192"/>
    <mergeCell ref="C193:C194"/>
    <mergeCell ref="C175:C176"/>
    <mergeCell ref="C177:C178"/>
    <mergeCell ref="D202:D203"/>
    <mergeCell ref="D204:D205"/>
    <mergeCell ref="D206:D207"/>
    <mergeCell ref="D200:D201"/>
    <mergeCell ref="E148:E149"/>
    <mergeCell ref="E156:E157"/>
    <mergeCell ref="E191:E192"/>
    <mergeCell ref="D150:D151"/>
    <mergeCell ref="E150:E151"/>
    <mergeCell ref="E181:E182"/>
    <mergeCell ref="E175:E176"/>
    <mergeCell ref="E179:E180"/>
    <mergeCell ref="E185:E186"/>
    <mergeCell ref="Q181:Q182"/>
    <mergeCell ref="R181:R182"/>
    <mergeCell ref="O187:O188"/>
    <mergeCell ref="D146:D147"/>
    <mergeCell ref="E146:E147"/>
    <mergeCell ref="E167:E168"/>
    <mergeCell ref="E171:E172"/>
    <mergeCell ref="E187:E188"/>
    <mergeCell ref="E189:E190"/>
    <mergeCell ref="R150:R151"/>
    <mergeCell ref="R171:R172"/>
    <mergeCell ref="R179:R180"/>
    <mergeCell ref="Q183:Q184"/>
    <mergeCell ref="R183:R184"/>
    <mergeCell ref="O165:O166"/>
    <mergeCell ref="P165:P166"/>
    <mergeCell ref="Q165:Q166"/>
    <mergeCell ref="R165:R166"/>
    <mergeCell ref="N177:N178"/>
    <mergeCell ref="O177:O178"/>
    <mergeCell ref="P177:P178"/>
    <mergeCell ref="Q177:Q178"/>
    <mergeCell ref="R177:R178"/>
    <mergeCell ref="E183:E184"/>
    <mergeCell ref="R191:R192"/>
    <mergeCell ref="S191:S192"/>
    <mergeCell ref="Q185:Q186"/>
    <mergeCell ref="N189:N190"/>
    <mergeCell ref="O189:O190"/>
    <mergeCell ref="P189:P190"/>
    <mergeCell ref="Q189:Q190"/>
    <mergeCell ref="R189:R190"/>
    <mergeCell ref="R187:R188"/>
    <mergeCell ref="N187:N188"/>
    <mergeCell ref="R185:R186"/>
    <mergeCell ref="S142:S143"/>
    <mergeCell ref="Q167:Q168"/>
    <mergeCell ref="S187:S188"/>
    <mergeCell ref="R146:R147"/>
    <mergeCell ref="S146:S147"/>
    <mergeCell ref="S171:S172"/>
    <mergeCell ref="T232:T233"/>
    <mergeCell ref="T234:T235"/>
    <mergeCell ref="T236:T237"/>
    <mergeCell ref="T177:T178"/>
    <mergeCell ref="T179:T180"/>
    <mergeCell ref="T224:T225"/>
    <mergeCell ref="T226:T227"/>
    <mergeCell ref="T228:T229"/>
    <mergeCell ref="T230:T231"/>
    <mergeCell ref="T142:T143"/>
    <mergeCell ref="T144:T145"/>
    <mergeCell ref="T152:T153"/>
    <mergeCell ref="T195:T196"/>
    <mergeCell ref="T218:T219"/>
    <mergeCell ref="T220:T221"/>
    <mergeCell ref="T198:T199"/>
    <mergeCell ref="T200:T201"/>
    <mergeCell ref="T202:T203"/>
    <mergeCell ref="T204:T205"/>
    <mergeCell ref="T206:T207"/>
    <mergeCell ref="T208:T209"/>
    <mergeCell ref="S148:S149"/>
    <mergeCell ref="T171:T172"/>
    <mergeCell ref="T191:T192"/>
    <mergeCell ref="T193:T194"/>
    <mergeCell ref="T181:T182"/>
    <mergeCell ref="T161:T162"/>
    <mergeCell ref="T163:T164"/>
    <mergeCell ref="T165:T166"/>
    <mergeCell ref="T167:T168"/>
    <mergeCell ref="T173:T174"/>
    <mergeCell ref="T175:T176"/>
    <mergeCell ref="T183:T184"/>
    <mergeCell ref="T185:T186"/>
    <mergeCell ref="T187:T188"/>
    <mergeCell ref="T189:T190"/>
    <mergeCell ref="T169:T170"/>
    <mergeCell ref="S167:S168"/>
    <mergeCell ref="S154:S155"/>
    <mergeCell ref="S179:S180"/>
    <mergeCell ref="S189:S190"/>
    <mergeCell ref="S185:S186"/>
    <mergeCell ref="T12:T13"/>
    <mergeCell ref="T14:T15"/>
    <mergeCell ref="T16:T17"/>
    <mergeCell ref="T18:T19"/>
    <mergeCell ref="T20:T21"/>
    <mergeCell ref="T22:T23"/>
    <mergeCell ref="T24:T25"/>
    <mergeCell ref="T26:T27"/>
    <mergeCell ref="T28:T29"/>
    <mergeCell ref="T132:T133"/>
    <mergeCell ref="T128:T129"/>
    <mergeCell ref="T136:T137"/>
    <mergeCell ref="T140:T141"/>
    <mergeCell ref="T130:T131"/>
    <mergeCell ref="T118:T119"/>
    <mergeCell ref="T108:T109"/>
    <mergeCell ref="T122:T123"/>
    <mergeCell ref="T116:T117"/>
    <mergeCell ref="T120:T121"/>
    <mergeCell ref="T112:T113"/>
    <mergeCell ref="T110:T111"/>
    <mergeCell ref="T30:T31"/>
    <mergeCell ref="T32:T33"/>
    <mergeCell ref="T34:T35"/>
    <mergeCell ref="T36:T37"/>
    <mergeCell ref="T38:T39"/>
    <mergeCell ref="T40:T41"/>
    <mergeCell ref="T42:T43"/>
    <mergeCell ref="T222:T223"/>
    <mergeCell ref="T210:T211"/>
    <mergeCell ref="T212:T213"/>
    <mergeCell ref="T214:T215"/>
    <mergeCell ref="T216:T217"/>
    <mergeCell ref="T88:T89"/>
    <mergeCell ref="T83:T84"/>
    <mergeCell ref="T134:T135"/>
    <mergeCell ref="T148:T149"/>
    <mergeCell ref="T150:T151"/>
    <mergeCell ref="T146:T147"/>
    <mergeCell ref="T154:T155"/>
    <mergeCell ref="T156:T157"/>
    <mergeCell ref="T158:T159"/>
    <mergeCell ref="T138:T139"/>
    <mergeCell ref="T104:T105"/>
    <mergeCell ref="T106:T107"/>
    <mergeCell ref="T90:T91"/>
    <mergeCell ref="T126:T127"/>
    <mergeCell ref="T94:T95"/>
    <mergeCell ref="T124:T125"/>
    <mergeCell ref="T92:T93"/>
    <mergeCell ref="T98:T99"/>
    <mergeCell ref="T102:T103"/>
    <mergeCell ref="T114:T115"/>
    <mergeCell ref="T100:T101"/>
    <mergeCell ref="T96:T97"/>
    <mergeCell ref="T55:T56"/>
    <mergeCell ref="T57:T58"/>
    <mergeCell ref="T59:T60"/>
    <mergeCell ref="T61:T62"/>
    <mergeCell ref="T63:T64"/>
    <mergeCell ref="T65:T66"/>
    <mergeCell ref="T67:T68"/>
    <mergeCell ref="T69:T70"/>
    <mergeCell ref="T71:T72"/>
    <mergeCell ref="T49:T50"/>
    <mergeCell ref="T51:T52"/>
    <mergeCell ref="T44:T45"/>
    <mergeCell ref="R49:R50"/>
    <mergeCell ref="B49:B82"/>
    <mergeCell ref="D67:D68"/>
    <mergeCell ref="E67:E68"/>
    <mergeCell ref="N67:N68"/>
    <mergeCell ref="O67:O68"/>
    <mergeCell ref="P67:P68"/>
    <mergeCell ref="Q67:Q68"/>
    <mergeCell ref="R67:R68"/>
    <mergeCell ref="S67:S68"/>
    <mergeCell ref="S69:S70"/>
    <mergeCell ref="D63:D64"/>
    <mergeCell ref="E63:E64"/>
    <mergeCell ref="N63:N64"/>
    <mergeCell ref="O63:O64"/>
    <mergeCell ref="T79:T80"/>
    <mergeCell ref="T75:T76"/>
    <mergeCell ref="T73:T74"/>
    <mergeCell ref="T53:T54"/>
    <mergeCell ref="T77:T78"/>
    <mergeCell ref="T81:T82"/>
    <mergeCell ref="B2:S2"/>
    <mergeCell ref="B3:S3"/>
    <mergeCell ref="B6:B9"/>
    <mergeCell ref="B12:B43"/>
    <mergeCell ref="D24:D25"/>
    <mergeCell ref="E24:E25"/>
    <mergeCell ref="N24:N25"/>
    <mergeCell ref="O24:O25"/>
    <mergeCell ref="P24:P25"/>
    <mergeCell ref="Q24:Q25"/>
    <mergeCell ref="R24:R25"/>
    <mergeCell ref="S24:S25"/>
    <mergeCell ref="D28:D29"/>
    <mergeCell ref="E28:E29"/>
    <mergeCell ref="N28:N29"/>
    <mergeCell ref="O28:O29"/>
    <mergeCell ref="P28:P29"/>
    <mergeCell ref="Q28:Q29"/>
    <mergeCell ref="D12:D13"/>
    <mergeCell ref="R16:R17"/>
    <mergeCell ref="S16:S17"/>
    <mergeCell ref="D34:D35"/>
    <mergeCell ref="R12:R13"/>
    <mergeCell ref="S12:S13"/>
    <mergeCell ref="D14:D15"/>
    <mergeCell ref="E14:E15"/>
    <mergeCell ref="N14:N15"/>
    <mergeCell ref="O14:O15"/>
    <mergeCell ref="P14:P15"/>
    <mergeCell ref="Q14:Q15"/>
    <mergeCell ref="R14:R15"/>
    <mergeCell ref="S14:S15"/>
    <mergeCell ref="E12:E13"/>
    <mergeCell ref="N12:N13"/>
    <mergeCell ref="O12:O13"/>
    <mergeCell ref="P12:P13"/>
    <mergeCell ref="Q12:Q13"/>
    <mergeCell ref="D16:D17"/>
    <mergeCell ref="E16:E17"/>
    <mergeCell ref="N16:N17"/>
    <mergeCell ref="O16:O17"/>
    <mergeCell ref="P16:P17"/>
    <mergeCell ref="Q16:Q17"/>
    <mergeCell ref="D32:D33"/>
    <mergeCell ref="E32:E33"/>
    <mergeCell ref="N32:N33"/>
    <mergeCell ref="O32:O33"/>
    <mergeCell ref="P32:P33"/>
    <mergeCell ref="D22:D23"/>
    <mergeCell ref="E22:E23"/>
    <mergeCell ref="N22:N23"/>
    <mergeCell ref="O22:O23"/>
    <mergeCell ref="D18:D19"/>
    <mergeCell ref="E18:E19"/>
    <mergeCell ref="N18:N19"/>
    <mergeCell ref="O18:O19"/>
    <mergeCell ref="D20:D21"/>
    <mergeCell ref="E20:E21"/>
    <mergeCell ref="N20:N21"/>
    <mergeCell ref="O20:O21"/>
    <mergeCell ref="R18:R19"/>
    <mergeCell ref="S18:S19"/>
    <mergeCell ref="R22:R23"/>
    <mergeCell ref="S22:S23"/>
    <mergeCell ref="P30:P31"/>
    <mergeCell ref="Q30:Q31"/>
    <mergeCell ref="R30:R31"/>
    <mergeCell ref="S30:S31"/>
    <mergeCell ref="Q38:Q39"/>
    <mergeCell ref="R38:R39"/>
    <mergeCell ref="S38:S39"/>
    <mergeCell ref="R36:R37"/>
    <mergeCell ref="S36:S37"/>
    <mergeCell ref="Q20:Q21"/>
    <mergeCell ref="R20:R21"/>
    <mergeCell ref="S20:S21"/>
    <mergeCell ref="Q32:Q33"/>
    <mergeCell ref="R32:R33"/>
    <mergeCell ref="S32:S33"/>
    <mergeCell ref="P22:P23"/>
    <mergeCell ref="Q22:Q23"/>
    <mergeCell ref="P18:P19"/>
    <mergeCell ref="P20:P21"/>
    <mergeCell ref="Q18:Q19"/>
    <mergeCell ref="Q36:Q37"/>
    <mergeCell ref="D26:D27"/>
    <mergeCell ref="E26:E27"/>
    <mergeCell ref="N26:N27"/>
    <mergeCell ref="O26:O27"/>
    <mergeCell ref="P26:P27"/>
    <mergeCell ref="Q26:Q27"/>
    <mergeCell ref="R26:R27"/>
    <mergeCell ref="S26:S27"/>
    <mergeCell ref="D30:D31"/>
    <mergeCell ref="E30:E31"/>
    <mergeCell ref="N30:N31"/>
    <mergeCell ref="O30:O31"/>
    <mergeCell ref="Q34:Q35"/>
    <mergeCell ref="R34:R35"/>
    <mergeCell ref="S34:S35"/>
    <mergeCell ref="E34:E35"/>
    <mergeCell ref="N34:N35"/>
    <mergeCell ref="O34:O35"/>
    <mergeCell ref="P34:P35"/>
    <mergeCell ref="R28:R29"/>
    <mergeCell ref="S28:S29"/>
    <mergeCell ref="D38:D39"/>
    <mergeCell ref="E38:E39"/>
    <mergeCell ref="N38:N39"/>
    <mergeCell ref="O38:O39"/>
    <mergeCell ref="P38:P39"/>
    <mergeCell ref="D36:D37"/>
    <mergeCell ref="E36:E37"/>
    <mergeCell ref="N36:N37"/>
    <mergeCell ref="O36:O37"/>
    <mergeCell ref="P36:P37"/>
    <mergeCell ref="Q44:Q45"/>
    <mergeCell ref="R44:R45"/>
    <mergeCell ref="S44:S45"/>
    <mergeCell ref="E44:E45"/>
    <mergeCell ref="M44:M45"/>
    <mergeCell ref="N44:N45"/>
    <mergeCell ref="O44:O45"/>
    <mergeCell ref="P44:P45"/>
    <mergeCell ref="D40:D41"/>
    <mergeCell ref="E40:E41"/>
    <mergeCell ref="N40:N41"/>
    <mergeCell ref="O40:O41"/>
    <mergeCell ref="P40:P41"/>
    <mergeCell ref="Q40:Q41"/>
    <mergeCell ref="R40:R41"/>
    <mergeCell ref="S40:S41"/>
    <mergeCell ref="D42:D43"/>
    <mergeCell ref="E42:E43"/>
    <mergeCell ref="N42:N43"/>
    <mergeCell ref="O42:O43"/>
    <mergeCell ref="P42:P43"/>
    <mergeCell ref="Q42:Q43"/>
    <mergeCell ref="R42:R43"/>
    <mergeCell ref="S42:S43"/>
    <mergeCell ref="P63:P64"/>
    <mergeCell ref="Q63:Q64"/>
    <mergeCell ref="D49:D50"/>
    <mergeCell ref="E49:E50"/>
    <mergeCell ref="N49:N50"/>
    <mergeCell ref="O49:O50"/>
    <mergeCell ref="P49:P50"/>
    <mergeCell ref="Q49:Q50"/>
    <mergeCell ref="S49:S50"/>
    <mergeCell ref="R63:R64"/>
    <mergeCell ref="S63:S64"/>
    <mergeCell ref="Q59:Q60"/>
    <mergeCell ref="R59:R60"/>
    <mergeCell ref="S59:S60"/>
    <mergeCell ref="D57:D58"/>
    <mergeCell ref="E57:E58"/>
    <mergeCell ref="N57:N58"/>
    <mergeCell ref="O57:O58"/>
    <mergeCell ref="P57:P58"/>
    <mergeCell ref="Q57:Q58"/>
    <mergeCell ref="R57:R58"/>
    <mergeCell ref="S57:S58"/>
    <mergeCell ref="E55:E56"/>
    <mergeCell ref="N55:N56"/>
    <mergeCell ref="R55:R56"/>
    <mergeCell ref="S55:S56"/>
    <mergeCell ref="D59:D60"/>
    <mergeCell ref="E59:E60"/>
    <mergeCell ref="N59:N60"/>
    <mergeCell ref="O59:O60"/>
    <mergeCell ref="P59:P60"/>
    <mergeCell ref="D61:D62"/>
    <mergeCell ref="E61:E62"/>
    <mergeCell ref="N61:N62"/>
    <mergeCell ref="O61:O62"/>
    <mergeCell ref="P61:P62"/>
    <mergeCell ref="Q61:Q62"/>
    <mergeCell ref="R61:R62"/>
    <mergeCell ref="S61:S62"/>
    <mergeCell ref="D55:D56"/>
    <mergeCell ref="P55:P56"/>
    <mergeCell ref="Q55:Q56"/>
    <mergeCell ref="O55:O56"/>
    <mergeCell ref="Q65:Q66"/>
    <mergeCell ref="D79:D80"/>
    <mergeCell ref="E79:E80"/>
    <mergeCell ref="N79:N80"/>
    <mergeCell ref="O79:O80"/>
    <mergeCell ref="P79:P80"/>
    <mergeCell ref="Q79:Q80"/>
    <mergeCell ref="R79:R80"/>
    <mergeCell ref="S79:S80"/>
    <mergeCell ref="P71:P72"/>
    <mergeCell ref="Q71:Q72"/>
    <mergeCell ref="R71:R72"/>
    <mergeCell ref="S71:S72"/>
    <mergeCell ref="R69:R70"/>
    <mergeCell ref="D69:D70"/>
    <mergeCell ref="E69:E70"/>
    <mergeCell ref="N69:N70"/>
    <mergeCell ref="O69:O70"/>
    <mergeCell ref="P69:P70"/>
    <mergeCell ref="Q69:Q70"/>
    <mergeCell ref="D51:D52"/>
    <mergeCell ref="E51:E52"/>
    <mergeCell ref="N51:N52"/>
    <mergeCell ref="O51:O52"/>
    <mergeCell ref="P51:P52"/>
    <mergeCell ref="Q51:Q52"/>
    <mergeCell ref="R51:R52"/>
    <mergeCell ref="S51:S52"/>
    <mergeCell ref="Q73:Q74"/>
    <mergeCell ref="R73:R74"/>
    <mergeCell ref="S73:S74"/>
    <mergeCell ref="D73:D74"/>
    <mergeCell ref="E73:E74"/>
    <mergeCell ref="N73:N74"/>
    <mergeCell ref="O73:O74"/>
    <mergeCell ref="P73:P74"/>
    <mergeCell ref="R65:R66"/>
    <mergeCell ref="S65:S66"/>
    <mergeCell ref="D65:D66"/>
    <mergeCell ref="E65:E66"/>
    <mergeCell ref="N65:N66"/>
    <mergeCell ref="O65:O66"/>
    <mergeCell ref="P65:P66"/>
    <mergeCell ref="D71:D72"/>
    <mergeCell ref="D53:D54"/>
    <mergeCell ref="E53:E54"/>
    <mergeCell ref="N53:N54"/>
    <mergeCell ref="O53:O54"/>
    <mergeCell ref="P53:P54"/>
    <mergeCell ref="Q53:Q54"/>
    <mergeCell ref="R53:R54"/>
    <mergeCell ref="S53:S54"/>
    <mergeCell ref="D81:D82"/>
    <mergeCell ref="E81:E82"/>
    <mergeCell ref="N81:N82"/>
    <mergeCell ref="O81:O82"/>
    <mergeCell ref="P81:P82"/>
    <mergeCell ref="D75:D76"/>
    <mergeCell ref="E75:E76"/>
    <mergeCell ref="N75:N76"/>
    <mergeCell ref="O75:O76"/>
    <mergeCell ref="P75:P76"/>
    <mergeCell ref="Q75:Q76"/>
    <mergeCell ref="R75:R76"/>
    <mergeCell ref="S75:S76"/>
    <mergeCell ref="E71:E72"/>
    <mergeCell ref="N71:N72"/>
    <mergeCell ref="O71:O72"/>
    <mergeCell ref="S83:S84"/>
    <mergeCell ref="D77:D78"/>
    <mergeCell ref="E77:E78"/>
    <mergeCell ref="N77:N78"/>
    <mergeCell ref="O77:O78"/>
    <mergeCell ref="P77:P78"/>
    <mergeCell ref="Q77:Q78"/>
    <mergeCell ref="R77:R78"/>
    <mergeCell ref="S77:S78"/>
    <mergeCell ref="Q81:Q82"/>
    <mergeCell ref="R81:R82"/>
    <mergeCell ref="S81:S82"/>
    <mergeCell ref="E83:E84"/>
    <mergeCell ref="N83:N84"/>
    <mergeCell ref="O83:O84"/>
    <mergeCell ref="P83:P84"/>
    <mergeCell ref="Q83:Q84"/>
    <mergeCell ref="R83:R84"/>
    <mergeCell ref="B88:B155"/>
    <mergeCell ref="D88:D89"/>
    <mergeCell ref="E88:E89"/>
    <mergeCell ref="N88:N89"/>
    <mergeCell ref="O88:O89"/>
    <mergeCell ref="P88:P89"/>
    <mergeCell ref="Q88:Q89"/>
    <mergeCell ref="R88:R89"/>
    <mergeCell ref="Q132:Q133"/>
    <mergeCell ref="R132:R133"/>
    <mergeCell ref="Q140:Q141"/>
    <mergeCell ref="R140:R141"/>
    <mergeCell ref="D118:D119"/>
    <mergeCell ref="E118:E119"/>
    <mergeCell ref="D136:D137"/>
    <mergeCell ref="E136:E137"/>
    <mergeCell ref="N136:N137"/>
    <mergeCell ref="P148:P149"/>
    <mergeCell ref="Q148:Q149"/>
    <mergeCell ref="R148:R149"/>
    <mergeCell ref="R154:R155"/>
    <mergeCell ref="Q142:Q143"/>
    <mergeCell ref="R142:R143"/>
    <mergeCell ref="D148:D149"/>
    <mergeCell ref="D94:D95"/>
    <mergeCell ref="E94:E95"/>
    <mergeCell ref="N94:N95"/>
    <mergeCell ref="R118:R119"/>
    <mergeCell ref="S118:S119"/>
    <mergeCell ref="E90:E91"/>
    <mergeCell ref="N90:N91"/>
    <mergeCell ref="O90:O91"/>
    <mergeCell ref="P90:P91"/>
    <mergeCell ref="Q90:Q91"/>
    <mergeCell ref="R90:R91"/>
    <mergeCell ref="S90:S91"/>
    <mergeCell ref="R110:R111"/>
    <mergeCell ref="S110:S111"/>
    <mergeCell ref="O118:O119"/>
    <mergeCell ref="P118:P119"/>
    <mergeCell ref="Q114:Q115"/>
    <mergeCell ref="R102:R103"/>
    <mergeCell ref="S102:S103"/>
    <mergeCell ref="R112:R113"/>
    <mergeCell ref="S112:S113"/>
    <mergeCell ref="R108:R109"/>
    <mergeCell ref="O110:O111"/>
    <mergeCell ref="P110:P111"/>
    <mergeCell ref="D132:D133"/>
    <mergeCell ref="N138:N139"/>
    <mergeCell ref="O138:O139"/>
    <mergeCell ref="P138:P139"/>
    <mergeCell ref="Q138:Q139"/>
    <mergeCell ref="R138:R139"/>
    <mergeCell ref="S88:S89"/>
    <mergeCell ref="D106:D107"/>
    <mergeCell ref="E106:E107"/>
    <mergeCell ref="N106:N107"/>
    <mergeCell ref="O106:O107"/>
    <mergeCell ref="P106:P107"/>
    <mergeCell ref="Q106:Q107"/>
    <mergeCell ref="R106:R107"/>
    <mergeCell ref="S106:S107"/>
    <mergeCell ref="R96:R97"/>
    <mergeCell ref="S96:S97"/>
    <mergeCell ref="Q100:Q101"/>
    <mergeCell ref="R100:R101"/>
    <mergeCell ref="S100:S101"/>
    <mergeCell ref="R94:R95"/>
    <mergeCell ref="S94:S95"/>
    <mergeCell ref="D90:D91"/>
    <mergeCell ref="N102:N103"/>
    <mergeCell ref="S136:S137"/>
    <mergeCell ref="S140:S141"/>
    <mergeCell ref="D130:D131"/>
    <mergeCell ref="E130:E131"/>
    <mergeCell ref="N130:N131"/>
    <mergeCell ref="O130:O131"/>
    <mergeCell ref="P130:P131"/>
    <mergeCell ref="Q130:Q131"/>
    <mergeCell ref="D140:D141"/>
    <mergeCell ref="E140:E141"/>
    <mergeCell ref="N140:N141"/>
    <mergeCell ref="O140:O141"/>
    <mergeCell ref="P140:P141"/>
    <mergeCell ref="R130:R131"/>
    <mergeCell ref="S130:S131"/>
    <mergeCell ref="S132:S133"/>
    <mergeCell ref="O136:O137"/>
    <mergeCell ref="P136:P137"/>
    <mergeCell ref="Q136:Q137"/>
    <mergeCell ref="R136:R137"/>
    <mergeCell ref="O134:O135"/>
    <mergeCell ref="P134:P135"/>
    <mergeCell ref="Q134:Q135"/>
    <mergeCell ref="D138:D139"/>
    <mergeCell ref="D126:D127"/>
    <mergeCell ref="E126:E127"/>
    <mergeCell ref="N126:N127"/>
    <mergeCell ref="O126:O127"/>
    <mergeCell ref="P126:P127"/>
    <mergeCell ref="D96:D97"/>
    <mergeCell ref="E96:E97"/>
    <mergeCell ref="N96:N97"/>
    <mergeCell ref="O94:O95"/>
    <mergeCell ref="P94:P95"/>
    <mergeCell ref="D108:D109"/>
    <mergeCell ref="E108:E109"/>
    <mergeCell ref="N108:N109"/>
    <mergeCell ref="D100:D101"/>
    <mergeCell ref="E100:E101"/>
    <mergeCell ref="N100:N101"/>
    <mergeCell ref="O100:O101"/>
    <mergeCell ref="P100:P101"/>
    <mergeCell ref="D104:D105"/>
    <mergeCell ref="E104:E105"/>
    <mergeCell ref="N104:N105"/>
    <mergeCell ref="O104:O105"/>
    <mergeCell ref="D102:D103"/>
    <mergeCell ref="E102:E103"/>
    <mergeCell ref="D124:D125"/>
    <mergeCell ref="E124:E125"/>
    <mergeCell ref="N124:N125"/>
    <mergeCell ref="O124:O125"/>
    <mergeCell ref="P124:P125"/>
    <mergeCell ref="Q124:Q125"/>
    <mergeCell ref="D120:D121"/>
    <mergeCell ref="E120:E121"/>
    <mergeCell ref="N120:N121"/>
    <mergeCell ref="O120:O121"/>
    <mergeCell ref="P120:P121"/>
    <mergeCell ref="P112:P113"/>
    <mergeCell ref="Q112:Q113"/>
    <mergeCell ref="Q96:Q97"/>
    <mergeCell ref="O108:O109"/>
    <mergeCell ref="P108:P109"/>
    <mergeCell ref="Q108:Q109"/>
    <mergeCell ref="D122:D123"/>
    <mergeCell ref="E122:E123"/>
    <mergeCell ref="N122:N123"/>
    <mergeCell ref="O122:O123"/>
    <mergeCell ref="D110:D111"/>
    <mergeCell ref="E110:E111"/>
    <mergeCell ref="N110:N111"/>
    <mergeCell ref="Q118:Q119"/>
    <mergeCell ref="N118:N119"/>
    <mergeCell ref="O102:O103"/>
    <mergeCell ref="P102:P103"/>
    <mergeCell ref="Q102:Q103"/>
    <mergeCell ref="Q110:Q111"/>
    <mergeCell ref="R120:R121"/>
    <mergeCell ref="S120:S121"/>
    <mergeCell ref="R122:R123"/>
    <mergeCell ref="S122:S123"/>
    <mergeCell ref="R124:R125"/>
    <mergeCell ref="S124:S125"/>
    <mergeCell ref="S114:S115"/>
    <mergeCell ref="Q104:Q105"/>
    <mergeCell ref="R104:R105"/>
    <mergeCell ref="S104:S105"/>
    <mergeCell ref="R114:R115"/>
    <mergeCell ref="S108:S109"/>
    <mergeCell ref="S126:S127"/>
    <mergeCell ref="E132:E133"/>
    <mergeCell ref="N132:N133"/>
    <mergeCell ref="O132:O133"/>
    <mergeCell ref="P132:P133"/>
    <mergeCell ref="R128:R129"/>
    <mergeCell ref="S128:S129"/>
    <mergeCell ref="R134:R135"/>
    <mergeCell ref="S134:S135"/>
    <mergeCell ref="E134:E135"/>
    <mergeCell ref="N134:N135"/>
    <mergeCell ref="Q126:Q127"/>
    <mergeCell ref="N128:N129"/>
    <mergeCell ref="O128:O129"/>
    <mergeCell ref="P128:P129"/>
    <mergeCell ref="Q128:Q129"/>
    <mergeCell ref="Q92:Q93"/>
    <mergeCell ref="R92:R93"/>
    <mergeCell ref="S92:S93"/>
    <mergeCell ref="D92:D93"/>
    <mergeCell ref="E92:E93"/>
    <mergeCell ref="N92:N93"/>
    <mergeCell ref="O92:O93"/>
    <mergeCell ref="P92:P93"/>
    <mergeCell ref="S116:S117"/>
    <mergeCell ref="P104:P105"/>
    <mergeCell ref="D114:D115"/>
    <mergeCell ref="E114:E115"/>
    <mergeCell ref="N114:N115"/>
    <mergeCell ref="O114:O115"/>
    <mergeCell ref="P114:P115"/>
    <mergeCell ref="Q116:Q117"/>
    <mergeCell ref="R116:R117"/>
    <mergeCell ref="Q94:Q95"/>
    <mergeCell ref="O96:O97"/>
    <mergeCell ref="P96:P97"/>
    <mergeCell ref="D112:D113"/>
    <mergeCell ref="E112:E113"/>
    <mergeCell ref="N112:N113"/>
    <mergeCell ref="O112:O113"/>
    <mergeCell ref="R98:R99"/>
    <mergeCell ref="S98:S99"/>
    <mergeCell ref="R144:R145"/>
    <mergeCell ref="S144:S145"/>
    <mergeCell ref="D152:D153"/>
    <mergeCell ref="E152:E153"/>
    <mergeCell ref="N152:N153"/>
    <mergeCell ref="O152:O153"/>
    <mergeCell ref="P152:P153"/>
    <mergeCell ref="Q152:Q153"/>
    <mergeCell ref="R152:R153"/>
    <mergeCell ref="S152:S153"/>
    <mergeCell ref="D144:D145"/>
    <mergeCell ref="E144:E145"/>
    <mergeCell ref="N144:N145"/>
    <mergeCell ref="O144:O145"/>
    <mergeCell ref="S138:S139"/>
    <mergeCell ref="D98:D99"/>
    <mergeCell ref="E98:E99"/>
    <mergeCell ref="N98:N99"/>
    <mergeCell ref="O98:O99"/>
    <mergeCell ref="P98:P99"/>
    <mergeCell ref="P142:P143"/>
    <mergeCell ref="R126:R127"/>
    <mergeCell ref="S150:S151"/>
    <mergeCell ref="D154:D155"/>
    <mergeCell ref="E154:E155"/>
    <mergeCell ref="N154:N155"/>
    <mergeCell ref="O154:O155"/>
    <mergeCell ref="P154:P155"/>
    <mergeCell ref="Q154:Q155"/>
    <mergeCell ref="N156:N157"/>
    <mergeCell ref="O156:O157"/>
    <mergeCell ref="P156:P157"/>
    <mergeCell ref="Q156:Q157"/>
    <mergeCell ref="R156:R157"/>
    <mergeCell ref="S156:S157"/>
    <mergeCell ref="S161:S162"/>
    <mergeCell ref="E161:E162"/>
    <mergeCell ref="N161:N162"/>
    <mergeCell ref="O161:O162"/>
    <mergeCell ref="P161:P162"/>
    <mergeCell ref="Q161:Q162"/>
    <mergeCell ref="R161:R162"/>
    <mergeCell ref="M156:M157"/>
    <mergeCell ref="S169:S170"/>
    <mergeCell ref="O167:O168"/>
    <mergeCell ref="Q169:Q170"/>
    <mergeCell ref="R169:R170"/>
    <mergeCell ref="R167:R168"/>
    <mergeCell ref="P167:P168"/>
    <mergeCell ref="S165:S166"/>
    <mergeCell ref="E163:E164"/>
    <mergeCell ref="N163:N164"/>
    <mergeCell ref="O163:O164"/>
    <mergeCell ref="P163:P164"/>
    <mergeCell ref="Q163:Q164"/>
    <mergeCell ref="R163:R164"/>
    <mergeCell ref="S163:S164"/>
    <mergeCell ref="E165:E166"/>
    <mergeCell ref="N165:N166"/>
    <mergeCell ref="S177:S178"/>
    <mergeCell ref="O173:O174"/>
    <mergeCell ref="R175:R176"/>
    <mergeCell ref="R173:R174"/>
    <mergeCell ref="S175:S176"/>
    <mergeCell ref="P173:P174"/>
    <mergeCell ref="Q173:Q174"/>
    <mergeCell ref="P175:P176"/>
    <mergeCell ref="Q175:Q176"/>
    <mergeCell ref="C161:C162"/>
    <mergeCell ref="C163:C164"/>
    <mergeCell ref="N171:N172"/>
    <mergeCell ref="E169:E170"/>
    <mergeCell ref="N169:N170"/>
    <mergeCell ref="O169:O170"/>
    <mergeCell ref="P169:P170"/>
    <mergeCell ref="O185:O186"/>
    <mergeCell ref="C179:C180"/>
    <mergeCell ref="C181:C182"/>
    <mergeCell ref="C185:C186"/>
    <mergeCell ref="N179:N180"/>
    <mergeCell ref="O179:O180"/>
    <mergeCell ref="N175:N176"/>
    <mergeCell ref="O175:O176"/>
    <mergeCell ref="N167:N168"/>
    <mergeCell ref="E173:E174"/>
    <mergeCell ref="E177:E178"/>
    <mergeCell ref="N183:N184"/>
    <mergeCell ref="O183:O184"/>
    <mergeCell ref="P183:P184"/>
    <mergeCell ref="N181:N182"/>
    <mergeCell ref="O181:O182"/>
    <mergeCell ref="P181:P182"/>
    <mergeCell ref="S193:S194"/>
    <mergeCell ref="E195:E196"/>
    <mergeCell ref="M195:M196"/>
    <mergeCell ref="N195:N196"/>
    <mergeCell ref="O195:O196"/>
    <mergeCell ref="P195:P196"/>
    <mergeCell ref="Q195:Q196"/>
    <mergeCell ref="R195:R196"/>
    <mergeCell ref="S195:S196"/>
    <mergeCell ref="O193:O194"/>
    <mergeCell ref="P193:P194"/>
    <mergeCell ref="Q193:Q194"/>
    <mergeCell ref="R193:R194"/>
    <mergeCell ref="S183:S184"/>
    <mergeCell ref="S181:S182"/>
    <mergeCell ref="N116:N117"/>
    <mergeCell ref="O116:O117"/>
    <mergeCell ref="P116:P117"/>
    <mergeCell ref="P122:P123"/>
    <mergeCell ref="Q122:Q123"/>
    <mergeCell ref="N146:N147"/>
    <mergeCell ref="O146:O147"/>
    <mergeCell ref="P146:P147"/>
    <mergeCell ref="Q179:Q180"/>
    <mergeCell ref="N173:N174"/>
    <mergeCell ref="N148:N149"/>
    <mergeCell ref="O148:O149"/>
    <mergeCell ref="N150:N151"/>
    <mergeCell ref="O150:O151"/>
    <mergeCell ref="P150:P151"/>
    <mergeCell ref="Q150:Q151"/>
    <mergeCell ref="P144:P145"/>
    <mergeCell ref="Q144:Q145"/>
    <mergeCell ref="Q120:Q121"/>
    <mergeCell ref="N142:N143"/>
    <mergeCell ref="O142:O143"/>
    <mergeCell ref="S173:S174"/>
    <mergeCell ref="C32:C33"/>
    <mergeCell ref="C61:C62"/>
    <mergeCell ref="C57:C58"/>
    <mergeCell ref="C53:C54"/>
    <mergeCell ref="C77:C78"/>
    <mergeCell ref="C49:C50"/>
    <mergeCell ref="P187:P188"/>
    <mergeCell ref="Q187:Q188"/>
    <mergeCell ref="E193:E194"/>
    <mergeCell ref="N193:N194"/>
    <mergeCell ref="N185:N186"/>
    <mergeCell ref="P185:P186"/>
    <mergeCell ref="P179:P180"/>
    <mergeCell ref="O191:O192"/>
    <mergeCell ref="P191:P192"/>
    <mergeCell ref="Q191:Q192"/>
    <mergeCell ref="N191:N192"/>
    <mergeCell ref="Q146:Q147"/>
    <mergeCell ref="Q98:Q99"/>
    <mergeCell ref="D116:D117"/>
    <mergeCell ref="E116:E117"/>
    <mergeCell ref="O171:O172"/>
    <mergeCell ref="P171:P172"/>
    <mergeCell ref="Q171:Q172"/>
    <mergeCell ref="C88:C89"/>
    <mergeCell ref="C132:C133"/>
    <mergeCell ref="C136:C137"/>
    <mergeCell ref="C140:C141"/>
    <mergeCell ref="C130:C131"/>
    <mergeCell ref="C118:C119"/>
    <mergeCell ref="C108:C109"/>
    <mergeCell ref="C100:C101"/>
    <mergeCell ref="C120:C121"/>
    <mergeCell ref="C92:C93"/>
    <mergeCell ref="C98:C99"/>
    <mergeCell ref="C112:C113"/>
    <mergeCell ref="C96:C97"/>
    <mergeCell ref="C110:C111"/>
    <mergeCell ref="C106:C107"/>
    <mergeCell ref="C104:C105"/>
    <mergeCell ref="C138:C139"/>
    <mergeCell ref="C122:C123"/>
    <mergeCell ref="C24:C25"/>
    <mergeCell ref="C65:C66"/>
    <mergeCell ref="C69:C70"/>
    <mergeCell ref="C73:C74"/>
    <mergeCell ref="C81:C82"/>
    <mergeCell ref="C167:C168"/>
    <mergeCell ref="C169:C170"/>
    <mergeCell ref="C171:C172"/>
    <mergeCell ref="C173:C174"/>
    <mergeCell ref="C134:C135"/>
    <mergeCell ref="C148:C149"/>
    <mergeCell ref="C150:C151"/>
    <mergeCell ref="C146:C147"/>
    <mergeCell ref="C154:C155"/>
    <mergeCell ref="C116:C117"/>
    <mergeCell ref="C142:C143"/>
    <mergeCell ref="C144:C145"/>
    <mergeCell ref="C152:C153"/>
    <mergeCell ref="C90:C91"/>
    <mergeCell ref="C126:C127"/>
    <mergeCell ref="C94:C95"/>
    <mergeCell ref="C124:C125"/>
    <mergeCell ref="C102:C103"/>
    <mergeCell ref="C114:C115"/>
  </mergeCells>
  <conditionalFormatting sqref="P7">
    <cfRule type="cellIs" dxfId="8" priority="119" operator="greaterThan">
      <formula>0.9</formula>
    </cfRule>
  </conditionalFormatting>
  <conditionalFormatting sqref="P7">
    <cfRule type="dataBar" priority="118">
      <dataBar>
        <cfvo type="min"/>
        <cfvo type="max"/>
        <color rgb="FF008AEF"/>
      </dataBar>
    </cfRule>
  </conditionalFormatting>
  <conditionalFormatting sqref="J191 J193 J171 J169 J154 J161 J167 J177 J183 J189 J163 J173 J179 J185 J165 J175 J181 J187 J102 J152 J150 J148 J146 J144 J142 J140 J138 J136 J134 J132 J130 J128 J124 J126 J49:J82 J120 J118 J116 J112 J110 J108 J106 J104 J100 J98 J96 J94 J92 J90 J88 J114 J12:J43">
    <cfRule type="cellIs" dxfId="7" priority="117" operator="equal">
      <formula>0</formula>
    </cfRule>
  </conditionalFormatting>
  <conditionalFormatting sqref="J191 J193 J171 J169 J154 J161 J167 J177 J183 J189 J165 J175 J181 J187 J163 J173 J179 J185 J102 J152 J150 J148 J146 J144 J142 J140 J138 J136 J134 J132 J130 J128 J124 J126 J49:J82 J120 J118 J116 J112 J110 J108 J106 J104 J100 J98 J96 J94 J92 J90 J88 J114 J12:J43">
    <cfRule type="cellIs" dxfId="6" priority="115" stopIfTrue="1" operator="greaterThan">
      <formula>0</formula>
    </cfRule>
  </conditionalFormatting>
  <conditionalFormatting sqref="J12:J43">
    <cfRule type="cellIs" dxfId="5" priority="80" stopIfTrue="1" operator="greaterThan">
      <formula>0</formula>
    </cfRule>
    <cfRule type="cellIs" dxfId="4" priority="81" stopIfTrue="1" operator="lessThan">
      <formula>0</formula>
    </cfRule>
  </conditionalFormatting>
  <conditionalFormatting sqref="J161:J194 J49:J82 J12:J43 J88:J121 J124:J155">
    <cfRule type="cellIs" dxfId="3" priority="12" operator="greaterThan">
      <formula>0</formula>
    </cfRule>
  </conditionalFormatting>
  <conditionalFormatting sqref="H161:H194 H88:H155 H49:H82 H12:H43">
    <cfRule type="cellIs" dxfId="2" priority="11" operator="lessThan">
      <formula>0</formula>
    </cfRule>
  </conditionalFormatting>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K291"/>
  <sheetViews>
    <sheetView showGridLines="0" topLeftCell="B1" zoomScale="55" zoomScaleNormal="55" zoomScalePageLayoutView="55" workbookViewId="0">
      <selection activeCell="R280" sqref="R280"/>
    </sheetView>
  </sheetViews>
  <sheetFormatPr baseColWidth="10" defaultColWidth="11.42578125" defaultRowHeight="15"/>
  <cols>
    <col min="1" max="1" width="2.28515625" style="49" hidden="1" customWidth="1"/>
    <col min="2" max="2" width="6.42578125" style="49" customWidth="1"/>
    <col min="3" max="3" width="21.42578125" style="46" customWidth="1"/>
    <col min="4" max="4" width="10.7109375" style="46" customWidth="1"/>
    <col min="5" max="5" width="21" style="46" customWidth="1"/>
    <col min="6" max="6" width="13.140625" style="46" customWidth="1"/>
    <col min="7" max="7" width="13.7109375" style="46" customWidth="1"/>
    <col min="8" max="8" width="12.42578125" style="3" customWidth="1"/>
    <col min="9" max="9" width="12.28515625" style="46" customWidth="1"/>
    <col min="10" max="10" width="12.42578125" style="46" customWidth="1"/>
    <col min="11" max="11" width="14.42578125" style="46" customWidth="1"/>
    <col min="12" max="12" width="15" style="46" customWidth="1"/>
    <col min="13" max="13" width="14.7109375" style="48" customWidth="1"/>
    <col min="14" max="14" width="16.7109375" style="46" hidden="1" customWidth="1"/>
    <col min="15" max="15" width="0.140625" style="3" hidden="1" customWidth="1"/>
    <col min="16" max="16" width="16" style="46" hidden="1" customWidth="1"/>
    <col min="17" max="17" width="13.28515625" style="46" customWidth="1"/>
    <col min="18" max="18" width="18.7109375" style="46" customWidth="1"/>
    <col min="19" max="19" width="12.42578125" style="46" customWidth="1"/>
    <col min="20" max="20" width="13.28515625" style="46" customWidth="1"/>
    <col min="21" max="21" width="8.42578125" style="46" hidden="1" customWidth="1"/>
    <col min="22" max="22" width="25.7109375" style="46" customWidth="1"/>
    <col min="23" max="23" width="18.42578125" style="46" customWidth="1"/>
    <col min="24" max="24" width="40" style="46" customWidth="1"/>
    <col min="25" max="25" width="16" style="46" bestFit="1" customWidth="1"/>
    <col min="26" max="26" width="12.28515625" style="46" bestFit="1" customWidth="1"/>
    <col min="27" max="27" width="17.28515625" style="46" bestFit="1" customWidth="1"/>
    <col min="28" max="28" width="23" style="46" bestFit="1" customWidth="1"/>
    <col min="29" max="29" width="18.28515625" style="46" bestFit="1" customWidth="1"/>
    <col min="30" max="30" width="15" style="46" customWidth="1"/>
    <col min="31" max="31" width="12.42578125" style="46" bestFit="1" customWidth="1"/>
    <col min="32" max="32" width="14.42578125" style="46" bestFit="1" customWidth="1"/>
    <col min="33" max="33" width="16" style="46" bestFit="1" customWidth="1"/>
    <col min="34" max="34" width="21" style="46" bestFit="1" customWidth="1"/>
    <col min="35" max="35" width="23" style="46" bestFit="1" customWidth="1"/>
    <col min="36" max="36" width="18.28515625" style="46" bestFit="1" customWidth="1"/>
    <col min="37" max="37" width="21.42578125" style="46" bestFit="1" customWidth="1"/>
    <col min="38" max="38" width="12.42578125" style="46" bestFit="1" customWidth="1"/>
    <col min="39" max="39" width="9.7109375" style="46" bestFit="1" customWidth="1"/>
    <col min="40" max="40" width="14.140625" style="46" bestFit="1" customWidth="1"/>
    <col min="41" max="41" width="10" style="46" bestFit="1" customWidth="1"/>
    <col min="42" max="42" width="15.42578125" style="46" customWidth="1"/>
    <col min="43" max="43" width="44.42578125" style="46" customWidth="1"/>
    <col min="44" max="44" width="14.42578125" style="46" bestFit="1" customWidth="1"/>
    <col min="45" max="45" width="12.28515625" style="6" bestFit="1" customWidth="1"/>
    <col min="46" max="46" width="21.7109375" style="46" customWidth="1"/>
    <col min="47" max="47" width="23" style="46" bestFit="1" customWidth="1"/>
    <col min="48" max="48" width="18.28515625" style="46" bestFit="1" customWidth="1"/>
    <col min="49" max="49" width="14.42578125" style="46" customWidth="1"/>
    <col min="50" max="50" width="17.42578125" style="46" customWidth="1"/>
    <col min="51" max="51" width="9.28515625" style="46" bestFit="1" customWidth="1"/>
    <col min="52" max="52" width="14.42578125" style="46" bestFit="1" customWidth="1"/>
    <col min="53" max="53" width="21" style="46" bestFit="1" customWidth="1"/>
    <col min="54" max="54" width="23" style="46" bestFit="1" customWidth="1"/>
    <col min="55" max="55" width="18.28515625" style="46" bestFit="1" customWidth="1"/>
    <col min="56" max="56" width="21.42578125" style="46" bestFit="1" customWidth="1"/>
    <col min="57" max="57" width="12.42578125" style="46" bestFit="1" customWidth="1"/>
    <col min="58" max="58" width="9.7109375" style="46" bestFit="1" customWidth="1"/>
    <col min="59" max="59" width="14.140625" style="46" bestFit="1" customWidth="1"/>
    <col min="60" max="60" width="6.42578125" style="46" hidden="1" customWidth="1"/>
    <col min="61" max="61" width="24.7109375" style="46" customWidth="1"/>
    <col min="62" max="62" width="16.7109375" style="46" customWidth="1"/>
    <col min="63" max="63" width="42.42578125" style="46" bestFit="1" customWidth="1"/>
    <col min="64" max="64" width="18.28515625" style="46" customWidth="1"/>
    <col min="65" max="65" width="11.42578125" style="46"/>
    <col min="66" max="66" width="14.7109375" style="46" bestFit="1" customWidth="1"/>
    <col min="67" max="67" width="20.7109375" style="46" customWidth="1"/>
    <col min="68" max="68" width="15.7109375" style="46" customWidth="1"/>
    <col min="69" max="69" width="11.42578125" style="46"/>
    <col min="70" max="70" width="14" style="46" customWidth="1"/>
    <col min="71" max="71" width="11.42578125" style="46"/>
    <col min="72" max="72" width="17.42578125" style="46" customWidth="1"/>
    <col min="73" max="73" width="21" style="46" bestFit="1" customWidth="1"/>
    <col min="74" max="74" width="14.140625" style="46" bestFit="1" customWidth="1"/>
    <col min="75" max="75" width="18.28515625" style="46" bestFit="1" customWidth="1"/>
    <col min="76" max="76" width="12.7109375" style="46" bestFit="1" customWidth="1"/>
    <col min="77" max="77" width="12.42578125" style="46" bestFit="1" customWidth="1"/>
    <col min="78" max="78" width="9.7109375" style="46" bestFit="1" customWidth="1"/>
    <col min="79" max="79" width="14.140625" style="46" bestFit="1" customWidth="1"/>
    <col min="80" max="16384" width="11.42578125" style="46"/>
  </cols>
  <sheetData>
    <row r="1" spans="1:63" ht="15.75" thickBot="1">
      <c r="J1" s="47"/>
    </row>
    <row r="2" spans="1:63" ht="21">
      <c r="C2" s="969" t="s">
        <v>93</v>
      </c>
      <c r="D2" s="970"/>
      <c r="E2" s="970"/>
      <c r="F2" s="970"/>
      <c r="G2" s="970"/>
      <c r="H2" s="970"/>
      <c r="I2" s="970"/>
      <c r="J2" s="970"/>
      <c r="K2" s="970"/>
      <c r="L2" s="970"/>
      <c r="M2" s="970"/>
      <c r="N2" s="970"/>
      <c r="O2" s="970"/>
      <c r="P2" s="970"/>
      <c r="Q2" s="970"/>
      <c r="R2" s="970"/>
      <c r="S2" s="970"/>
    </row>
    <row r="3" spans="1:63" ht="28.15" customHeight="1" thickBot="1">
      <c r="C3" s="971">
        <f>+'Resumen Cuota Global'!B4</f>
        <v>43661</v>
      </c>
      <c r="D3" s="972"/>
      <c r="E3" s="972"/>
      <c r="F3" s="972"/>
      <c r="G3" s="972"/>
      <c r="H3" s="972"/>
      <c r="I3" s="972"/>
      <c r="J3" s="972"/>
      <c r="K3" s="972"/>
      <c r="L3" s="972"/>
      <c r="M3" s="972"/>
      <c r="N3" s="972"/>
      <c r="O3" s="972"/>
      <c r="P3" s="972"/>
      <c r="Q3" s="972"/>
      <c r="R3" s="972"/>
      <c r="S3" s="972"/>
    </row>
    <row r="4" spans="1:63" ht="21">
      <c r="C4" s="52"/>
      <c r="D4" s="52"/>
      <c r="E4" s="52"/>
      <c r="F4" s="52"/>
      <c r="G4" s="52"/>
      <c r="H4" s="52"/>
      <c r="I4" s="52"/>
      <c r="J4" s="52"/>
      <c r="K4" s="52"/>
      <c r="L4" s="52"/>
      <c r="M4" s="618"/>
      <c r="N4" s="52"/>
      <c r="O4" s="52"/>
      <c r="P4" s="52"/>
      <c r="Q4" s="636"/>
      <c r="R4" s="636"/>
      <c r="S4" s="636"/>
      <c r="T4" s="636"/>
    </row>
    <row r="5" spans="1:63" ht="21">
      <c r="C5" s="115" t="s">
        <v>70</v>
      </c>
      <c r="D5" s="116" t="s">
        <v>33</v>
      </c>
      <c r="E5" s="973" t="s">
        <v>43</v>
      </c>
      <c r="F5" s="973"/>
      <c r="G5" s="52"/>
      <c r="H5" s="52"/>
      <c r="I5" s="52"/>
      <c r="J5" s="52"/>
      <c r="K5" s="52"/>
      <c r="L5" s="52"/>
      <c r="M5" s="618"/>
      <c r="N5" s="52"/>
      <c r="O5" s="52"/>
      <c r="P5" s="52"/>
      <c r="Q5" s="636"/>
      <c r="R5" s="636"/>
      <c r="S5" s="636"/>
      <c r="T5" s="54"/>
      <c r="U5" s="54"/>
      <c r="V5" s="54"/>
      <c r="W5" s="54"/>
      <c r="X5" s="54"/>
      <c r="Y5" s="54"/>
      <c r="Z5" s="54"/>
      <c r="AA5" s="54"/>
      <c r="AB5" s="54"/>
      <c r="AC5" s="54"/>
      <c r="AD5" s="54"/>
      <c r="AE5" s="54"/>
      <c r="AF5" s="54"/>
      <c r="AG5" s="54"/>
      <c r="AH5" s="54"/>
      <c r="AI5" s="54"/>
      <c r="AJ5" s="54"/>
      <c r="AK5" s="54"/>
      <c r="AL5" s="54"/>
      <c r="AM5" s="54"/>
      <c r="AN5" s="54"/>
      <c r="AO5" s="54"/>
      <c r="AP5" s="54"/>
      <c r="AQ5" s="54"/>
      <c r="AR5" s="54"/>
      <c r="AS5" s="55"/>
      <c r="AT5" s="54"/>
      <c r="AU5" s="54"/>
      <c r="AV5" s="54"/>
      <c r="AW5" s="54"/>
    </row>
    <row r="6" spans="1:63" ht="21">
      <c r="C6" s="974" t="s">
        <v>94</v>
      </c>
      <c r="D6" s="56" t="s">
        <v>35</v>
      </c>
      <c r="E6" s="975">
        <v>1090</v>
      </c>
      <c r="F6" s="975"/>
      <c r="G6" s="52"/>
      <c r="H6" s="52"/>
      <c r="I6" s="52"/>
      <c r="J6" s="52"/>
      <c r="K6" s="52"/>
      <c r="L6" s="52"/>
      <c r="M6" s="618"/>
      <c r="N6" s="52"/>
      <c r="O6" s="52"/>
      <c r="P6" s="52"/>
      <c r="Q6" s="636"/>
      <c r="R6" s="636"/>
      <c r="S6" s="636"/>
      <c r="T6" s="54"/>
      <c r="U6" s="54"/>
      <c r="V6" s="54"/>
      <c r="W6" s="54"/>
      <c r="X6" s="54"/>
      <c r="Y6" s="54"/>
      <c r="Z6" s="54"/>
      <c r="AA6" s="54"/>
      <c r="AB6" s="54"/>
      <c r="AC6" s="54"/>
      <c r="AD6" s="54"/>
      <c r="AE6" s="54"/>
      <c r="AF6" s="54"/>
      <c r="AG6" s="54"/>
      <c r="AH6" s="54"/>
      <c r="AI6" s="54"/>
      <c r="AJ6" s="54"/>
      <c r="AK6" s="54"/>
      <c r="AL6" s="54"/>
      <c r="AM6" s="54"/>
      <c r="AN6" s="54"/>
      <c r="AO6" s="54"/>
      <c r="AP6" s="54"/>
      <c r="AQ6" s="54"/>
      <c r="AR6" s="54"/>
      <c r="AS6" s="55"/>
      <c r="AT6" s="54"/>
      <c r="AU6" s="54"/>
      <c r="AV6" s="54"/>
      <c r="AW6" s="54"/>
    </row>
    <row r="7" spans="1:63" ht="21">
      <c r="C7" s="974"/>
      <c r="D7" s="57" t="s">
        <v>36</v>
      </c>
      <c r="E7" s="976" t="s">
        <v>37</v>
      </c>
      <c r="F7" s="976"/>
      <c r="G7" s="52"/>
      <c r="H7" s="52"/>
      <c r="I7" s="52"/>
      <c r="J7" s="52"/>
      <c r="K7" s="52"/>
      <c r="L7" s="52"/>
      <c r="M7" s="618"/>
      <c r="N7" s="52"/>
      <c r="O7" s="52"/>
      <c r="P7" s="52"/>
      <c r="Q7" s="636"/>
      <c r="R7" s="636"/>
      <c r="S7" s="636"/>
      <c r="T7" s="54"/>
      <c r="U7" s="54"/>
      <c r="V7" s="54"/>
      <c r="W7" s="54"/>
      <c r="X7" s="54"/>
      <c r="Y7" s="54"/>
      <c r="Z7" s="54"/>
      <c r="AA7" s="54"/>
      <c r="AB7" s="54"/>
      <c r="AC7" s="54"/>
      <c r="AD7" s="54"/>
      <c r="AE7" s="54"/>
      <c r="AF7" s="54"/>
      <c r="AG7" s="54"/>
      <c r="AH7" s="54"/>
      <c r="AI7" s="54"/>
      <c r="AJ7" s="54"/>
      <c r="AK7" s="54"/>
      <c r="AL7" s="54"/>
      <c r="AM7" s="54"/>
      <c r="AN7" s="54"/>
      <c r="AO7" s="54"/>
      <c r="AP7" s="54"/>
      <c r="AQ7" s="54"/>
      <c r="AR7" s="54"/>
      <c r="AS7" s="55"/>
      <c r="AT7" s="54"/>
      <c r="AU7" s="54"/>
      <c r="AV7" s="54"/>
      <c r="AW7" s="54"/>
    </row>
    <row r="8" spans="1:63" ht="21">
      <c r="C8" s="974"/>
      <c r="D8" s="56" t="s">
        <v>95</v>
      </c>
      <c r="E8" s="975">
        <v>627</v>
      </c>
      <c r="F8" s="975"/>
      <c r="G8" s="52"/>
      <c r="H8" s="52"/>
      <c r="I8" s="52"/>
      <c r="J8" s="52"/>
      <c r="K8" s="52"/>
      <c r="L8" s="52"/>
      <c r="M8" s="618"/>
      <c r="N8" s="52"/>
      <c r="O8" s="52"/>
      <c r="P8" s="52"/>
      <c r="Q8" s="636"/>
      <c r="R8" s="636"/>
      <c r="S8" s="636"/>
      <c r="T8" s="54"/>
      <c r="U8" s="54"/>
      <c r="V8" s="54"/>
      <c r="W8" s="54"/>
      <c r="X8" s="54"/>
      <c r="Y8" s="54"/>
      <c r="Z8" s="54"/>
      <c r="AA8" s="54"/>
      <c r="AB8" s="54"/>
      <c r="AC8" s="54"/>
      <c r="AD8" s="54"/>
      <c r="AE8" s="54"/>
      <c r="AF8" s="54"/>
      <c r="AG8" s="54"/>
      <c r="AH8" s="54"/>
      <c r="AI8" s="54"/>
      <c r="AJ8" s="54"/>
      <c r="AK8" s="54"/>
      <c r="AL8" s="54"/>
      <c r="AM8" s="54"/>
      <c r="AN8" s="54"/>
      <c r="AO8" s="54"/>
      <c r="AP8" s="54"/>
      <c r="AQ8" s="54"/>
      <c r="AR8" s="54"/>
      <c r="AS8" s="55"/>
      <c r="AT8" s="54"/>
      <c r="AU8" s="54"/>
      <c r="AV8" s="54"/>
      <c r="AW8" s="54"/>
    </row>
    <row r="9" spans="1:63" ht="21">
      <c r="C9" s="974"/>
      <c r="D9" s="117" t="s">
        <v>39</v>
      </c>
      <c r="E9" s="973">
        <f>SUM(E6:F8)</f>
        <v>1717</v>
      </c>
      <c r="F9" s="977"/>
      <c r="G9" s="52"/>
      <c r="H9" s="52"/>
      <c r="I9" s="52"/>
      <c r="J9" s="52"/>
      <c r="K9" s="52"/>
      <c r="L9" s="52"/>
      <c r="M9" s="618"/>
      <c r="N9" s="52"/>
      <c r="O9" s="52"/>
      <c r="P9" s="52"/>
      <c r="Q9" s="636"/>
      <c r="R9" s="636"/>
      <c r="S9" s="636"/>
      <c r="T9" s="102"/>
      <c r="U9" s="102"/>
      <c r="V9" s="102"/>
      <c r="W9" s="102"/>
      <c r="X9" s="102"/>
      <c r="Y9" s="102"/>
      <c r="Z9" s="102"/>
      <c r="AA9" s="102"/>
      <c r="AB9" s="102"/>
      <c r="AC9" s="102"/>
      <c r="AD9" s="102"/>
      <c r="AE9" s="102"/>
      <c r="AF9" s="102"/>
      <c r="AG9" s="102"/>
      <c r="AH9" s="102"/>
      <c r="AI9" s="102"/>
      <c r="AJ9" s="102"/>
      <c r="AK9" s="102"/>
      <c r="AL9" s="102"/>
      <c r="AM9" s="102"/>
      <c r="AN9" s="54"/>
      <c r="AO9" s="54"/>
      <c r="AP9" s="54"/>
      <c r="AQ9" s="54"/>
      <c r="AR9" s="54"/>
      <c r="AS9" s="55"/>
      <c r="AT9" s="54"/>
      <c r="AU9" s="54"/>
      <c r="AV9" s="54"/>
      <c r="AW9" s="54"/>
    </row>
    <row r="10" spans="1:63" ht="21.75" thickBot="1">
      <c r="C10" s="58"/>
      <c r="D10" s="59"/>
      <c r="E10" s="59"/>
      <c r="F10" s="59"/>
      <c r="G10" s="52"/>
      <c r="H10" s="52"/>
      <c r="I10" s="52"/>
      <c r="J10" s="52"/>
      <c r="K10" s="52"/>
      <c r="L10" s="52"/>
      <c r="M10" s="618"/>
      <c r="N10" s="52"/>
      <c r="O10" s="52"/>
      <c r="P10" s="52"/>
      <c r="Q10" s="636"/>
      <c r="R10" s="636"/>
      <c r="S10" s="636"/>
      <c r="T10" s="102"/>
      <c r="U10" s="102"/>
      <c r="V10" s="102"/>
      <c r="W10" s="102"/>
      <c r="X10" s="102"/>
      <c r="Y10" s="102"/>
      <c r="Z10" s="102"/>
      <c r="AA10" s="102"/>
      <c r="AB10" s="102"/>
      <c r="AC10" s="102"/>
      <c r="AD10" s="102"/>
      <c r="AE10" s="102"/>
      <c r="AF10" s="102"/>
      <c r="AG10" s="102"/>
      <c r="AH10" s="102"/>
      <c r="AI10" s="102"/>
      <c r="AJ10" s="102"/>
      <c r="AK10" s="102"/>
      <c r="AL10" s="102"/>
      <c r="AM10" s="102"/>
      <c r="AN10" s="54"/>
      <c r="AO10" s="54"/>
      <c r="AP10" s="54"/>
      <c r="AQ10" s="54"/>
      <c r="AR10" s="54"/>
      <c r="AS10" s="55"/>
      <c r="AT10" s="54"/>
      <c r="AU10" s="54"/>
      <c r="AV10" s="54"/>
      <c r="AW10" s="54"/>
    </row>
    <row r="11" spans="1:63" ht="38.25" thickBot="1">
      <c r="C11" s="60" t="s">
        <v>96</v>
      </c>
      <c r="D11" s="53" t="s">
        <v>33</v>
      </c>
      <c r="E11" s="961" t="s">
        <v>97</v>
      </c>
      <c r="F11" s="962"/>
      <c r="G11" s="61" t="s">
        <v>43</v>
      </c>
      <c r="H11" s="108"/>
      <c r="I11" s="108"/>
      <c r="J11" s="108"/>
      <c r="K11" s="108"/>
      <c r="L11" s="108"/>
      <c r="M11" s="619"/>
      <c r="N11" s="108"/>
      <c r="O11" s="108"/>
      <c r="P11" s="108"/>
      <c r="Q11" s="637"/>
      <c r="R11" s="637"/>
      <c r="S11" s="637"/>
      <c r="T11" s="110"/>
      <c r="U11" s="109"/>
      <c r="V11" s="109"/>
      <c r="W11" s="109"/>
      <c r="X11" s="109"/>
      <c r="Y11" s="103"/>
      <c r="Z11" s="103"/>
      <c r="AA11" s="104"/>
      <c r="AB11" s="104"/>
      <c r="AC11" s="104"/>
      <c r="AD11" s="104"/>
      <c r="AE11" s="104"/>
      <c r="AF11" s="104"/>
      <c r="AG11" s="104"/>
      <c r="AH11" s="104"/>
      <c r="AI11" s="104"/>
      <c r="AJ11" s="104"/>
      <c r="AK11" s="104"/>
      <c r="AL11" s="104"/>
      <c r="AM11" s="104"/>
      <c r="AU11" s="62"/>
      <c r="AV11" s="62"/>
      <c r="AW11" s="62"/>
      <c r="AX11" s="62"/>
      <c r="AY11" s="62"/>
      <c r="AZ11" s="62"/>
      <c r="BA11" s="62"/>
      <c r="BB11" s="62"/>
      <c r="BC11" s="62"/>
      <c r="BD11" s="62"/>
      <c r="BE11" s="62"/>
      <c r="BF11" s="62"/>
      <c r="BG11" s="62"/>
      <c r="BH11" s="62"/>
      <c r="BI11" s="62"/>
      <c r="BJ11" s="62"/>
    </row>
    <row r="12" spans="1:63">
      <c r="C12" s="963" t="s">
        <v>99</v>
      </c>
      <c r="D12" s="63" t="s">
        <v>35</v>
      </c>
      <c r="E12" s="964" t="s">
        <v>100</v>
      </c>
      <c r="F12" s="965">
        <v>7.9365079364999997E-3</v>
      </c>
      <c r="G12" s="64">
        <f>F12*E6*70</f>
        <v>605.55555555494993</v>
      </c>
      <c r="H12" s="108"/>
      <c r="I12" s="108"/>
      <c r="J12" s="108"/>
      <c r="K12" s="108"/>
      <c r="L12" s="108"/>
      <c r="M12" s="619"/>
      <c r="N12" s="108"/>
      <c r="O12" s="108"/>
      <c r="P12" s="108"/>
      <c r="Q12" s="637"/>
      <c r="R12" s="637"/>
      <c r="S12" s="637"/>
      <c r="T12" s="110"/>
      <c r="U12" s="109"/>
      <c r="V12" s="109"/>
      <c r="W12" s="109"/>
      <c r="X12" s="109"/>
      <c r="Y12" s="103"/>
      <c r="Z12" s="103"/>
      <c r="AA12" s="104"/>
      <c r="AB12" s="104"/>
      <c r="AC12" s="104"/>
      <c r="AD12" s="104"/>
      <c r="AE12" s="104"/>
      <c r="AF12" s="104"/>
      <c r="AG12" s="104"/>
      <c r="AH12" s="104"/>
      <c r="AI12" s="104"/>
      <c r="AJ12" s="104"/>
      <c r="AK12" s="104"/>
      <c r="AL12" s="104"/>
      <c r="AM12" s="104"/>
      <c r="AU12" s="62"/>
      <c r="AV12" s="62"/>
      <c r="AW12" s="62"/>
      <c r="AX12" s="62"/>
      <c r="AY12" s="62"/>
      <c r="AZ12" s="62"/>
      <c r="BA12" s="62"/>
      <c r="BB12" s="62"/>
      <c r="BC12" s="62"/>
      <c r="BD12" s="62"/>
      <c r="BE12" s="62"/>
      <c r="BF12" s="62"/>
      <c r="BG12" s="62"/>
      <c r="BH12" s="62"/>
      <c r="BI12" s="62"/>
      <c r="BJ12" s="62"/>
    </row>
    <row r="13" spans="1:63" ht="15.75" thickBot="1">
      <c r="C13" s="963"/>
      <c r="D13" s="63" t="s">
        <v>95</v>
      </c>
      <c r="E13" s="968"/>
      <c r="F13" s="965"/>
      <c r="G13" s="65">
        <f>+F12*$E$8*70</f>
        <v>348.33333333298498</v>
      </c>
      <c r="H13" s="108"/>
      <c r="I13" s="108"/>
      <c r="J13" s="108"/>
      <c r="K13" s="108"/>
      <c r="L13" s="108"/>
      <c r="M13" s="619"/>
      <c r="N13" s="108"/>
      <c r="O13" s="108"/>
      <c r="P13" s="108"/>
      <c r="Q13" s="637"/>
      <c r="R13" s="637"/>
      <c r="S13" s="637"/>
      <c r="T13" s="110"/>
      <c r="U13" s="109"/>
      <c r="V13" s="109"/>
      <c r="W13" s="109"/>
      <c r="X13" s="109"/>
      <c r="Y13" s="103"/>
      <c r="Z13" s="103"/>
      <c r="AA13" s="104"/>
      <c r="AB13" s="104"/>
      <c r="AC13" s="104"/>
      <c r="AD13" s="104"/>
      <c r="AE13" s="104"/>
      <c r="AF13" s="104"/>
      <c r="AG13" s="104"/>
      <c r="AH13" s="104"/>
      <c r="AI13" s="104"/>
      <c r="AJ13" s="104"/>
      <c r="AK13" s="104"/>
      <c r="AL13" s="104"/>
      <c r="AM13" s="104"/>
      <c r="BK13" s="62"/>
    </row>
    <row r="14" spans="1:63">
      <c r="C14" s="963" t="s">
        <v>101</v>
      </c>
      <c r="D14" s="63" t="s">
        <v>35</v>
      </c>
      <c r="E14" s="964" t="s">
        <v>102</v>
      </c>
      <c r="F14" s="965"/>
      <c r="G14" s="65">
        <f>+F12*$E$6*56</f>
        <v>484.44444444395998</v>
      </c>
      <c r="H14" s="108"/>
      <c r="I14" s="108"/>
      <c r="J14" s="108"/>
      <c r="K14" s="108"/>
      <c r="L14" s="108"/>
      <c r="M14" s="619"/>
      <c r="N14" s="108"/>
      <c r="O14" s="108"/>
      <c r="P14" s="108"/>
      <c r="Q14" s="637"/>
      <c r="R14" s="637"/>
      <c r="S14" s="637"/>
      <c r="T14" s="110"/>
      <c r="U14" s="109"/>
      <c r="V14" s="109"/>
      <c r="W14" s="109"/>
      <c r="X14" s="109"/>
      <c r="Y14" s="103"/>
      <c r="Z14" s="103"/>
      <c r="AA14" s="104"/>
      <c r="AB14" s="104"/>
      <c r="AC14" s="104"/>
      <c r="AD14" s="104"/>
      <c r="AE14" s="104"/>
      <c r="AF14" s="104"/>
      <c r="AG14" s="104"/>
      <c r="AH14" s="104"/>
      <c r="AI14" s="104"/>
      <c r="AJ14" s="104"/>
      <c r="AK14" s="104"/>
      <c r="AL14" s="104"/>
      <c r="AM14" s="104"/>
      <c r="AQ14" s="62"/>
      <c r="BJ14" s="62"/>
      <c r="BK14" s="62"/>
    </row>
    <row r="15" spans="1:63" s="62" customFormat="1" ht="15.75" thickBot="1">
      <c r="A15" s="49"/>
      <c r="B15" s="49"/>
      <c r="C15" s="967"/>
      <c r="D15" s="66" t="s">
        <v>95</v>
      </c>
      <c r="E15" s="964"/>
      <c r="F15" s="966"/>
      <c r="G15" s="67">
        <f>+F12*$E$8*56</f>
        <v>278.66666666638798</v>
      </c>
      <c r="H15" s="108"/>
      <c r="I15" s="108"/>
      <c r="J15" s="108"/>
      <c r="K15" s="108"/>
      <c r="L15" s="108"/>
      <c r="M15" s="619"/>
      <c r="N15" s="108"/>
      <c r="O15" s="108"/>
      <c r="P15" s="108"/>
      <c r="Q15" s="637"/>
      <c r="R15" s="637"/>
      <c r="S15" s="637"/>
      <c r="T15" s="110"/>
      <c r="U15" s="110"/>
      <c r="V15" s="110"/>
      <c r="W15" s="110"/>
      <c r="X15" s="110"/>
      <c r="Y15" s="104"/>
      <c r="Z15" s="104"/>
      <c r="AA15" s="103"/>
      <c r="AB15" s="103"/>
      <c r="AC15" s="103"/>
      <c r="AD15" s="103"/>
      <c r="AE15" s="103"/>
      <c r="AF15" s="103"/>
      <c r="AG15" s="103"/>
      <c r="AH15" s="103"/>
      <c r="AI15" s="103"/>
      <c r="AJ15" s="103"/>
      <c r="AK15" s="103"/>
      <c r="AL15" s="103"/>
      <c r="AM15" s="103"/>
      <c r="AS15" s="6"/>
      <c r="AU15" s="46"/>
      <c r="AV15" s="46"/>
      <c r="AW15" s="46"/>
      <c r="AX15" s="46"/>
      <c r="AY15" s="46"/>
      <c r="AZ15" s="46"/>
      <c r="BA15" s="46"/>
      <c r="BB15" s="46"/>
      <c r="BC15" s="46"/>
      <c r="BD15" s="46"/>
      <c r="BE15" s="46"/>
      <c r="BF15" s="46"/>
      <c r="BG15" s="46"/>
      <c r="BH15" s="46"/>
      <c r="BI15" s="46"/>
      <c r="BJ15" s="46"/>
      <c r="BK15" s="46"/>
    </row>
    <row r="16" spans="1:63">
      <c r="C16" s="68"/>
      <c r="D16" s="50"/>
      <c r="E16" s="50">
        <f>70+56</f>
        <v>126</v>
      </c>
      <c r="F16" s="3">
        <f>+E16*F12</f>
        <v>0.99999999999899991</v>
      </c>
      <c r="I16" s="110"/>
      <c r="J16" s="110"/>
      <c r="K16" s="110"/>
      <c r="L16" s="110"/>
      <c r="M16" s="270"/>
      <c r="N16" s="110"/>
      <c r="O16" s="111"/>
      <c r="P16" s="110"/>
      <c r="Q16" s="110"/>
      <c r="R16" s="110"/>
      <c r="S16" s="110"/>
      <c r="T16" s="110"/>
      <c r="U16" s="110"/>
      <c r="V16" s="110"/>
      <c r="W16" s="110"/>
      <c r="X16" s="110"/>
      <c r="Y16" s="104"/>
      <c r="Z16" s="104"/>
      <c r="AA16" s="104"/>
      <c r="AB16" s="104"/>
      <c r="AC16" s="104"/>
      <c r="AD16" s="104"/>
      <c r="AE16" s="104"/>
      <c r="AF16" s="104"/>
      <c r="AG16" s="104"/>
      <c r="AH16" s="104"/>
      <c r="AI16" s="104"/>
      <c r="AJ16" s="104"/>
      <c r="AK16" s="104"/>
      <c r="AL16" s="104"/>
      <c r="AM16" s="104"/>
    </row>
    <row r="17" spans="1:24" ht="15.75" thickBot="1">
      <c r="I17" s="110"/>
      <c r="J17" s="110"/>
      <c r="K17" s="110"/>
      <c r="L17" s="110"/>
      <c r="M17" s="270"/>
      <c r="N17" s="110"/>
      <c r="O17" s="111"/>
      <c r="P17" s="110"/>
      <c r="Q17" s="110"/>
      <c r="R17" s="110"/>
      <c r="S17" s="110"/>
      <c r="T17" s="110"/>
      <c r="U17" s="110"/>
      <c r="V17" s="110"/>
      <c r="W17" s="110"/>
      <c r="X17" s="110"/>
    </row>
    <row r="18" spans="1:24" ht="80.650000000000006" customHeight="1" thickBot="1">
      <c r="A18" s="105" t="s">
        <v>103</v>
      </c>
      <c r="B18" s="106" t="s">
        <v>104</v>
      </c>
      <c r="C18" s="106" t="s">
        <v>96</v>
      </c>
      <c r="D18" s="53" t="s">
        <v>33</v>
      </c>
      <c r="E18" s="53" t="s">
        <v>105</v>
      </c>
      <c r="F18" s="53" t="s">
        <v>106</v>
      </c>
      <c r="G18" s="53" t="s">
        <v>43</v>
      </c>
      <c r="H18" s="92" t="s">
        <v>4</v>
      </c>
      <c r="I18" s="92" t="s">
        <v>44</v>
      </c>
      <c r="J18" s="93" t="s">
        <v>6</v>
      </c>
      <c r="K18" s="92" t="s">
        <v>107</v>
      </c>
      <c r="L18" s="94" t="s">
        <v>46</v>
      </c>
      <c r="M18" s="620" t="s">
        <v>98</v>
      </c>
      <c r="N18" s="149" t="s">
        <v>3</v>
      </c>
      <c r="O18" s="150" t="s">
        <v>4</v>
      </c>
      <c r="P18" s="150" t="s">
        <v>5</v>
      </c>
      <c r="Q18" s="638" t="s">
        <v>6</v>
      </c>
      <c r="R18" s="638" t="s">
        <v>49</v>
      </c>
      <c r="S18" s="639" t="s">
        <v>421</v>
      </c>
      <c r="T18" s="639" t="s">
        <v>422</v>
      </c>
    </row>
    <row r="19" spans="1:24" ht="15" customHeight="1" thickBot="1">
      <c r="A19" s="49">
        <v>1</v>
      </c>
      <c r="B19" s="118">
        <v>1</v>
      </c>
      <c r="C19" s="244" t="s">
        <v>99</v>
      </c>
      <c r="D19" s="246" t="s">
        <v>35</v>
      </c>
      <c r="E19" s="247" t="s">
        <v>108</v>
      </c>
      <c r="F19" s="247">
        <v>964551</v>
      </c>
      <c r="G19" s="248">
        <v>8.6507857139999995</v>
      </c>
      <c r="H19" s="221">
        <v>-13.627000000000001</v>
      </c>
      <c r="I19" s="69">
        <f>G19+H19</f>
        <v>-4.9762142860000012</v>
      </c>
      <c r="J19" s="70"/>
      <c r="K19" s="145">
        <f>I19-J19</f>
        <v>-4.9762142860000012</v>
      </c>
      <c r="L19" s="147">
        <f>J19/I19</f>
        <v>0</v>
      </c>
      <c r="M19" s="621">
        <v>43538</v>
      </c>
      <c r="N19" s="71">
        <f>G19+G20</f>
        <v>13.626971427999999</v>
      </c>
      <c r="O19" s="72">
        <f>H19+H20</f>
        <v>-13.627000000000001</v>
      </c>
      <c r="P19" s="71">
        <f>N19+O19</f>
        <v>-2.8572000001503284E-5</v>
      </c>
      <c r="Q19" s="640">
        <f>J19+J20</f>
        <v>0</v>
      </c>
      <c r="R19" s="641">
        <f>P19-Q19</f>
        <v>-2.8572000001503284E-5</v>
      </c>
      <c r="S19" s="927">
        <f>Q19/P19</f>
        <v>0</v>
      </c>
      <c r="T19" s="927">
        <f t="shared" ref="T19" si="0">(100%-+(R19/N19))</f>
        <v>1.0000020967241439</v>
      </c>
    </row>
    <row r="20" spans="1:24" ht="15" customHeight="1" thickBot="1">
      <c r="A20" s="49">
        <v>2</v>
      </c>
      <c r="B20" s="118">
        <v>1</v>
      </c>
      <c r="C20" s="245" t="s">
        <v>99</v>
      </c>
      <c r="D20" s="249" t="s">
        <v>95</v>
      </c>
      <c r="E20" s="250" t="s">
        <v>108</v>
      </c>
      <c r="F20" s="250">
        <v>964551</v>
      </c>
      <c r="G20" s="251">
        <v>4.9761857139999996</v>
      </c>
      <c r="H20" s="136"/>
      <c r="I20" s="137">
        <f>G20+H20+K19</f>
        <v>-2.8572000001503284E-5</v>
      </c>
      <c r="J20" s="138"/>
      <c r="K20" s="146">
        <f>I20-J20</f>
        <v>-2.8572000001503284E-5</v>
      </c>
      <c r="L20" s="148">
        <f>J20/I20</f>
        <v>0</v>
      </c>
      <c r="M20" s="621">
        <v>43538</v>
      </c>
      <c r="N20" s="73"/>
      <c r="O20" s="73"/>
      <c r="P20" s="73"/>
      <c r="Q20" s="642"/>
      <c r="R20" s="642"/>
      <c r="S20" s="928"/>
      <c r="T20" s="928"/>
    </row>
    <row r="21" spans="1:24" ht="15" customHeight="1" thickBot="1">
      <c r="A21" s="49">
        <v>3</v>
      </c>
      <c r="B21" s="118">
        <v>2</v>
      </c>
      <c r="C21" s="244" t="s">
        <v>99</v>
      </c>
      <c r="D21" s="246" t="s">
        <v>35</v>
      </c>
      <c r="E21" s="247" t="s">
        <v>109</v>
      </c>
      <c r="F21" s="247">
        <v>903675</v>
      </c>
      <c r="G21" s="248">
        <v>8.6507857139999995</v>
      </c>
      <c r="H21" s="221">
        <v>-13.627000000000001</v>
      </c>
      <c r="I21" s="69">
        <f>G21+H21</f>
        <v>-4.9762142860000012</v>
      </c>
      <c r="J21" s="70"/>
      <c r="K21" s="145">
        <f>I21-J21</f>
        <v>-4.9762142860000012</v>
      </c>
      <c r="L21" s="147">
        <f>J21/I21</f>
        <v>0</v>
      </c>
      <c r="M21" s="621">
        <v>43538</v>
      </c>
      <c r="N21" s="71">
        <f>G21+G22</f>
        <v>13.626971427999999</v>
      </c>
      <c r="O21" s="72">
        <f>H21+H22</f>
        <v>-13.627000000000001</v>
      </c>
      <c r="P21" s="71">
        <f>N21+O21</f>
        <v>-2.8572000001503284E-5</v>
      </c>
      <c r="Q21" s="640">
        <f>J21+J22</f>
        <v>0</v>
      </c>
      <c r="R21" s="641">
        <f>P21-Q21</f>
        <v>-2.8572000001503284E-5</v>
      </c>
      <c r="S21" s="927">
        <f>Q21/P21</f>
        <v>0</v>
      </c>
      <c r="T21" s="927">
        <f t="shared" ref="T21" si="1">((Q21+O21)/N21)*-1</f>
        <v>1.0000020967241439</v>
      </c>
    </row>
    <row r="22" spans="1:24" ht="15" customHeight="1" thickBot="1">
      <c r="A22" s="49">
        <v>4</v>
      </c>
      <c r="B22" s="118">
        <v>2</v>
      </c>
      <c r="C22" s="245" t="s">
        <v>99</v>
      </c>
      <c r="D22" s="249" t="s">
        <v>95</v>
      </c>
      <c r="E22" s="250" t="s">
        <v>109</v>
      </c>
      <c r="F22" s="250">
        <v>903675</v>
      </c>
      <c r="G22" s="251">
        <v>4.9761857139999996</v>
      </c>
      <c r="H22" s="136"/>
      <c r="I22" s="137">
        <f>G22+H22+K21</f>
        <v>-2.8572000001503284E-5</v>
      </c>
      <c r="J22" s="138"/>
      <c r="K22" s="146">
        <f t="shared" ref="K22:K85" si="2">I22-J22</f>
        <v>-2.8572000001503284E-5</v>
      </c>
      <c r="L22" s="148">
        <f>J22/I22</f>
        <v>0</v>
      </c>
      <c r="M22" s="621">
        <v>43538</v>
      </c>
      <c r="N22" s="73"/>
      <c r="O22" s="73"/>
      <c r="P22" s="73"/>
      <c r="Q22" s="642"/>
      <c r="R22" s="642"/>
      <c r="S22" s="928"/>
      <c r="T22" s="928"/>
    </row>
    <row r="23" spans="1:24" ht="15" customHeight="1" thickBot="1">
      <c r="A23" s="49">
        <v>5</v>
      </c>
      <c r="B23" s="118">
        <f>+B21+$B$19</f>
        <v>3</v>
      </c>
      <c r="C23" s="244" t="s">
        <v>99</v>
      </c>
      <c r="D23" s="246" t="s">
        <v>35</v>
      </c>
      <c r="E23" s="247" t="s">
        <v>110</v>
      </c>
      <c r="F23" s="247">
        <v>954587</v>
      </c>
      <c r="G23" s="248">
        <v>8.6507857139999995</v>
      </c>
      <c r="H23" s="221">
        <v>-13.627000000000001</v>
      </c>
      <c r="I23" s="69">
        <f t="shared" ref="I23" si="3">G23+H23</f>
        <v>-4.9762142860000012</v>
      </c>
      <c r="J23" s="70"/>
      <c r="K23" s="145">
        <f t="shared" si="2"/>
        <v>-4.9762142860000012</v>
      </c>
      <c r="L23" s="147">
        <f t="shared" ref="L23:L86" si="4">J23/I23</f>
        <v>0</v>
      </c>
      <c r="M23" s="621">
        <v>43538</v>
      </c>
      <c r="N23" s="71">
        <f t="shared" ref="N23:O23" si="5">G23+G24</f>
        <v>13.626971427999999</v>
      </c>
      <c r="O23" s="72">
        <f t="shared" si="5"/>
        <v>-13.627000000000001</v>
      </c>
      <c r="P23" s="71">
        <f t="shared" ref="P23" si="6">N23+O23</f>
        <v>-2.8572000001503284E-5</v>
      </c>
      <c r="Q23" s="640">
        <f t="shared" ref="Q23" si="7">J23+J24</f>
        <v>0</v>
      </c>
      <c r="R23" s="641">
        <f t="shared" ref="R23" si="8">P23-Q23</f>
        <v>-2.8572000001503284E-5</v>
      </c>
      <c r="S23" s="927">
        <f t="shared" ref="S23" si="9">Q23/P23</f>
        <v>0</v>
      </c>
      <c r="T23" s="927">
        <f t="shared" ref="T23" si="10">((Q23+O23)/N23)*-1</f>
        <v>1.0000020967241439</v>
      </c>
    </row>
    <row r="24" spans="1:24" ht="15" customHeight="1" thickBot="1">
      <c r="A24" s="49">
        <v>6</v>
      </c>
      <c r="B24" s="118">
        <f>+B22+$B$20</f>
        <v>3</v>
      </c>
      <c r="C24" s="245" t="s">
        <v>99</v>
      </c>
      <c r="D24" s="249" t="s">
        <v>95</v>
      </c>
      <c r="E24" s="250" t="s">
        <v>110</v>
      </c>
      <c r="F24" s="250">
        <v>954587</v>
      </c>
      <c r="G24" s="251">
        <v>4.9761857139999996</v>
      </c>
      <c r="H24" s="136"/>
      <c r="I24" s="137">
        <f t="shared" ref="I24" si="11">G24+H24+K23</f>
        <v>-2.8572000001503284E-5</v>
      </c>
      <c r="J24" s="138"/>
      <c r="K24" s="146">
        <f t="shared" si="2"/>
        <v>-2.8572000001503284E-5</v>
      </c>
      <c r="L24" s="148">
        <f t="shared" si="4"/>
        <v>0</v>
      </c>
      <c r="M24" s="621">
        <v>43538</v>
      </c>
      <c r="N24" s="73"/>
      <c r="O24" s="73"/>
      <c r="P24" s="73"/>
      <c r="Q24" s="642"/>
      <c r="R24" s="642"/>
      <c r="S24" s="928"/>
      <c r="T24" s="928"/>
    </row>
    <row r="25" spans="1:24" ht="15" customHeight="1" thickBot="1">
      <c r="A25" s="49">
        <v>7</v>
      </c>
      <c r="B25" s="118">
        <f>+B23+$B$19</f>
        <v>4</v>
      </c>
      <c r="C25" s="244" t="s">
        <v>99</v>
      </c>
      <c r="D25" s="246" t="s">
        <v>35</v>
      </c>
      <c r="E25" s="247" t="s">
        <v>111</v>
      </c>
      <c r="F25" s="247">
        <v>922442</v>
      </c>
      <c r="G25" s="248">
        <v>8.6507857139999995</v>
      </c>
      <c r="H25" s="221">
        <v>-13.627000000000001</v>
      </c>
      <c r="I25" s="69">
        <f t="shared" ref="I25" si="12">G25+H25</f>
        <v>-4.9762142860000012</v>
      </c>
      <c r="J25" s="70"/>
      <c r="K25" s="145">
        <f t="shared" si="2"/>
        <v>-4.9762142860000012</v>
      </c>
      <c r="L25" s="147">
        <f t="shared" si="4"/>
        <v>0</v>
      </c>
      <c r="M25" s="621">
        <v>43538</v>
      </c>
      <c r="N25" s="71">
        <f t="shared" ref="N25:O25" si="13">G25+G26</f>
        <v>13.626971427999999</v>
      </c>
      <c r="O25" s="72">
        <f t="shared" si="13"/>
        <v>-13.627000000000001</v>
      </c>
      <c r="P25" s="71">
        <f t="shared" ref="P25" si="14">N25+O25</f>
        <v>-2.8572000001503284E-5</v>
      </c>
      <c r="Q25" s="640">
        <f t="shared" ref="Q25" si="15">J25+J26</f>
        <v>0</v>
      </c>
      <c r="R25" s="641">
        <f t="shared" ref="R25" si="16">P25-Q25</f>
        <v>-2.8572000001503284E-5</v>
      </c>
      <c r="S25" s="927">
        <f t="shared" ref="S25" si="17">Q25/P25</f>
        <v>0</v>
      </c>
      <c r="T25" s="927">
        <f t="shared" ref="T25" si="18">((Q25+O25)/N25)*-1</f>
        <v>1.0000020967241439</v>
      </c>
    </row>
    <row r="26" spans="1:24" ht="15" customHeight="1" thickBot="1">
      <c r="A26" s="49">
        <v>8</v>
      </c>
      <c r="B26" s="118">
        <f>+B24+$B$20</f>
        <v>4</v>
      </c>
      <c r="C26" s="245" t="s">
        <v>99</v>
      </c>
      <c r="D26" s="249" t="s">
        <v>95</v>
      </c>
      <c r="E26" s="250" t="s">
        <v>111</v>
      </c>
      <c r="F26" s="250">
        <v>922442</v>
      </c>
      <c r="G26" s="251">
        <v>4.9761857139999996</v>
      </c>
      <c r="H26" s="136"/>
      <c r="I26" s="137">
        <f t="shared" ref="I26" si="19">G26+H26+K25</f>
        <v>-2.8572000001503284E-5</v>
      </c>
      <c r="J26" s="138"/>
      <c r="K26" s="146">
        <f t="shared" si="2"/>
        <v>-2.8572000001503284E-5</v>
      </c>
      <c r="L26" s="148">
        <f t="shared" si="4"/>
        <v>0</v>
      </c>
      <c r="M26" s="621">
        <v>43538</v>
      </c>
      <c r="N26" s="73"/>
      <c r="O26" s="73"/>
      <c r="P26" s="73"/>
      <c r="Q26" s="642"/>
      <c r="R26" s="642"/>
      <c r="S26" s="928"/>
      <c r="T26" s="928"/>
    </row>
    <row r="27" spans="1:24" ht="15" customHeight="1" thickBot="1">
      <c r="A27" s="49">
        <v>9</v>
      </c>
      <c r="B27" s="118">
        <f t="shared" ref="B27" si="20">+B25+$B$19</f>
        <v>5</v>
      </c>
      <c r="C27" s="244" t="s">
        <v>99</v>
      </c>
      <c r="D27" s="246" t="s">
        <v>35</v>
      </c>
      <c r="E27" s="247" t="s">
        <v>112</v>
      </c>
      <c r="F27" s="247">
        <v>961932</v>
      </c>
      <c r="G27" s="248">
        <v>8.6507857139999995</v>
      </c>
      <c r="H27" s="221">
        <v>-13.627000000000001</v>
      </c>
      <c r="I27" s="69">
        <f t="shared" ref="I27" si="21">G27+H27</f>
        <v>-4.9762142860000012</v>
      </c>
      <c r="J27" s="70"/>
      <c r="K27" s="145">
        <f t="shared" si="2"/>
        <v>-4.9762142860000012</v>
      </c>
      <c r="L27" s="147">
        <f t="shared" si="4"/>
        <v>0</v>
      </c>
      <c r="M27" s="621">
        <v>43538</v>
      </c>
      <c r="N27" s="71">
        <f t="shared" ref="N27:O27" si="22">G27+G28</f>
        <v>13.626971427999999</v>
      </c>
      <c r="O27" s="72">
        <f t="shared" si="22"/>
        <v>-13.627000000000001</v>
      </c>
      <c r="P27" s="71">
        <f t="shared" ref="P27" si="23">N27+O27</f>
        <v>-2.8572000001503284E-5</v>
      </c>
      <c r="Q27" s="640">
        <f t="shared" ref="Q27" si="24">J27+J28</f>
        <v>0</v>
      </c>
      <c r="R27" s="641">
        <f t="shared" ref="R27" si="25">P27-Q27</f>
        <v>-2.8572000001503284E-5</v>
      </c>
      <c r="S27" s="927">
        <f t="shared" ref="S27" si="26">Q27/P27</f>
        <v>0</v>
      </c>
      <c r="T27" s="927">
        <f t="shared" ref="T27" si="27">((Q27+O27)/N27)*-1</f>
        <v>1.0000020967241439</v>
      </c>
    </row>
    <row r="28" spans="1:24" ht="15" customHeight="1" thickBot="1">
      <c r="A28" s="49">
        <v>10</v>
      </c>
      <c r="B28" s="118">
        <f t="shared" ref="B28" si="28">+B26+$B$20</f>
        <v>5</v>
      </c>
      <c r="C28" s="245" t="s">
        <v>99</v>
      </c>
      <c r="D28" s="249" t="s">
        <v>95</v>
      </c>
      <c r="E28" s="250" t="s">
        <v>112</v>
      </c>
      <c r="F28" s="250">
        <v>961932</v>
      </c>
      <c r="G28" s="251">
        <v>4.9761857139999996</v>
      </c>
      <c r="H28" s="136"/>
      <c r="I28" s="137">
        <f t="shared" ref="I28" si="29">G28+H28+K27</f>
        <v>-2.8572000001503284E-5</v>
      </c>
      <c r="J28" s="138"/>
      <c r="K28" s="146">
        <f t="shared" si="2"/>
        <v>-2.8572000001503284E-5</v>
      </c>
      <c r="L28" s="148">
        <f t="shared" si="4"/>
        <v>0</v>
      </c>
      <c r="M28" s="621">
        <v>43538</v>
      </c>
      <c r="N28" s="73"/>
      <c r="O28" s="73"/>
      <c r="P28" s="73"/>
      <c r="Q28" s="642"/>
      <c r="R28" s="642"/>
      <c r="S28" s="928"/>
      <c r="T28" s="928"/>
    </row>
    <row r="29" spans="1:24" ht="15" customHeight="1" thickBot="1">
      <c r="A29" s="49">
        <v>11</v>
      </c>
      <c r="B29" s="118">
        <f t="shared" ref="B29" si="30">+B27+$B$19</f>
        <v>6</v>
      </c>
      <c r="C29" s="244" t="s">
        <v>99</v>
      </c>
      <c r="D29" s="246" t="s">
        <v>35</v>
      </c>
      <c r="E29" s="247" t="s">
        <v>113</v>
      </c>
      <c r="F29" s="247">
        <v>964142</v>
      </c>
      <c r="G29" s="248">
        <v>8.6507857139999995</v>
      </c>
      <c r="H29" s="221">
        <v>-13.627000000000001</v>
      </c>
      <c r="I29" s="69">
        <f t="shared" ref="I29" si="31">G29+H29</f>
        <v>-4.9762142860000012</v>
      </c>
      <c r="J29" s="70"/>
      <c r="K29" s="145">
        <f t="shared" si="2"/>
        <v>-4.9762142860000012</v>
      </c>
      <c r="L29" s="147">
        <f t="shared" si="4"/>
        <v>0</v>
      </c>
      <c r="M29" s="621">
        <v>43538</v>
      </c>
      <c r="N29" s="71">
        <f t="shared" ref="N29:O29" si="32">G29+G30</f>
        <v>13.626971427999999</v>
      </c>
      <c r="O29" s="72">
        <f t="shared" si="32"/>
        <v>-13.627000000000001</v>
      </c>
      <c r="P29" s="71">
        <f t="shared" ref="P29" si="33">N29+O29</f>
        <v>-2.8572000001503284E-5</v>
      </c>
      <c r="Q29" s="640">
        <f t="shared" ref="Q29" si="34">J29+J30</f>
        <v>0</v>
      </c>
      <c r="R29" s="641">
        <f t="shared" ref="R29" si="35">P29-Q29</f>
        <v>-2.8572000001503284E-5</v>
      </c>
      <c r="S29" s="927">
        <f t="shared" ref="S29" si="36">Q29/P29</f>
        <v>0</v>
      </c>
      <c r="T29" s="927">
        <f t="shared" ref="T29" si="37">((Q29+O29)/N29)*-1</f>
        <v>1.0000020967241439</v>
      </c>
    </row>
    <row r="30" spans="1:24" ht="15" customHeight="1" thickBot="1">
      <c r="A30" s="49">
        <v>12</v>
      </c>
      <c r="B30" s="118">
        <f t="shared" ref="B30" si="38">+B28+$B$20</f>
        <v>6</v>
      </c>
      <c r="C30" s="245" t="s">
        <v>99</v>
      </c>
      <c r="D30" s="249" t="s">
        <v>95</v>
      </c>
      <c r="E30" s="250" t="s">
        <v>113</v>
      </c>
      <c r="F30" s="250">
        <v>964142</v>
      </c>
      <c r="G30" s="251">
        <v>4.9761857139999996</v>
      </c>
      <c r="H30" s="136"/>
      <c r="I30" s="137">
        <f t="shared" ref="I30" si="39">G30+H30+K29</f>
        <v>-2.8572000001503284E-5</v>
      </c>
      <c r="J30" s="138"/>
      <c r="K30" s="146">
        <f t="shared" si="2"/>
        <v>-2.8572000001503284E-5</v>
      </c>
      <c r="L30" s="148">
        <f t="shared" si="4"/>
        <v>0</v>
      </c>
      <c r="M30" s="621">
        <v>43538</v>
      </c>
      <c r="N30" s="73"/>
      <c r="O30" s="73"/>
      <c r="P30" s="73"/>
      <c r="Q30" s="642"/>
      <c r="R30" s="642"/>
      <c r="S30" s="928"/>
      <c r="T30" s="928"/>
    </row>
    <row r="31" spans="1:24" ht="15" customHeight="1" thickBot="1">
      <c r="A31" s="49">
        <v>13</v>
      </c>
      <c r="B31" s="118">
        <f t="shared" ref="B31" si="40">+B29+$B$19</f>
        <v>7</v>
      </c>
      <c r="C31" s="244" t="s">
        <v>99</v>
      </c>
      <c r="D31" s="246" t="s">
        <v>35</v>
      </c>
      <c r="E31" s="247" t="s">
        <v>114</v>
      </c>
      <c r="F31" s="247">
        <v>918725</v>
      </c>
      <c r="G31" s="248">
        <v>8.6507857139999995</v>
      </c>
      <c r="H31" s="261">
        <f>-13.527</f>
        <v>-13.526999999999999</v>
      </c>
      <c r="I31" s="69">
        <f t="shared" ref="I31" si="41">G31+H31</f>
        <v>-4.8762142859999997</v>
      </c>
      <c r="J31" s="70"/>
      <c r="K31" s="145">
        <f t="shared" si="2"/>
        <v>-4.8762142859999997</v>
      </c>
      <c r="L31" s="147">
        <f t="shared" si="4"/>
        <v>0</v>
      </c>
      <c r="M31" s="622">
        <v>43629</v>
      </c>
      <c r="N31" s="71">
        <f t="shared" ref="N31" si="42">G31+G32</f>
        <v>13.626971427999999</v>
      </c>
      <c r="O31" s="72">
        <f>H31+H32+O32</f>
        <v>-13.526999999999999</v>
      </c>
      <c r="P31" s="71">
        <f t="shared" ref="P31" si="43">N31+O31</f>
        <v>9.9971427999999918E-2</v>
      </c>
      <c r="Q31" s="640">
        <f t="shared" ref="Q31" si="44">J31+J32</f>
        <v>0</v>
      </c>
      <c r="R31" s="641">
        <f t="shared" ref="R31" si="45">P31-Q31</f>
        <v>9.9971427999999918E-2</v>
      </c>
      <c r="S31" s="927">
        <f t="shared" ref="S31" si="46">Q31/P31</f>
        <v>0</v>
      </c>
      <c r="T31" s="927">
        <f t="shared" ref="T31:T93" si="47">((Q31+O31)/N31)*-1</f>
        <v>0.99266370898858836</v>
      </c>
    </row>
    <row r="32" spans="1:24" ht="15" customHeight="1" thickBot="1">
      <c r="A32" s="49">
        <v>14</v>
      </c>
      <c r="B32" s="118">
        <f t="shared" ref="B32" si="48">+B30+$B$20</f>
        <v>7</v>
      </c>
      <c r="C32" s="245" t="s">
        <v>99</v>
      </c>
      <c r="D32" s="249" t="s">
        <v>95</v>
      </c>
      <c r="E32" s="250" t="s">
        <v>114</v>
      </c>
      <c r="F32" s="250">
        <v>918725</v>
      </c>
      <c r="G32" s="251">
        <v>4.9761857139999996</v>
      </c>
      <c r="H32" s="136"/>
      <c r="I32" s="137">
        <f t="shared" ref="I32" si="49">G32+H32+K31</f>
        <v>9.9971427999999918E-2</v>
      </c>
      <c r="J32" s="138"/>
      <c r="K32" s="146">
        <f t="shared" si="2"/>
        <v>9.9971427999999918E-2</v>
      </c>
      <c r="L32" s="148">
        <f t="shared" si="4"/>
        <v>0</v>
      </c>
      <c r="M32" s="623"/>
      <c r="N32" s="73"/>
      <c r="O32" s="73"/>
      <c r="P32" s="73"/>
      <c r="Q32" s="642"/>
      <c r="R32" s="642"/>
      <c r="S32" s="960"/>
      <c r="T32" s="928"/>
    </row>
    <row r="33" spans="1:20" ht="15" customHeight="1">
      <c r="A33" s="49">
        <v>15</v>
      </c>
      <c r="B33" s="118">
        <f t="shared" ref="B33" si="50">+B31+$B$19</f>
        <v>8</v>
      </c>
      <c r="C33" s="244" t="s">
        <v>99</v>
      </c>
      <c r="D33" s="246" t="s">
        <v>35</v>
      </c>
      <c r="E33" s="247" t="s">
        <v>115</v>
      </c>
      <c r="F33" s="247">
        <v>918466</v>
      </c>
      <c r="G33" s="248">
        <v>8.6507857139999995</v>
      </c>
      <c r="H33" s="225">
        <v>-13</v>
      </c>
      <c r="I33" s="69">
        <f t="shared" ref="I33" si="51">G33+H33</f>
        <v>-4.3492142860000005</v>
      </c>
      <c r="J33" s="70"/>
      <c r="K33" s="145">
        <f t="shared" si="2"/>
        <v>-4.3492142860000005</v>
      </c>
      <c r="L33" s="147">
        <f t="shared" si="4"/>
        <v>0</v>
      </c>
      <c r="M33" s="622">
        <v>43629</v>
      </c>
      <c r="N33" s="71">
        <f t="shared" ref="N33:O33" si="52">G33+G34</f>
        <v>13.626971427999999</v>
      </c>
      <c r="O33" s="72">
        <f t="shared" si="52"/>
        <v>-13</v>
      </c>
      <c r="P33" s="71">
        <f t="shared" ref="P33" si="53">N33+O33</f>
        <v>0.62697142799999916</v>
      </c>
      <c r="Q33" s="640">
        <f t="shared" ref="Q33" si="54">J33+J34</f>
        <v>0</v>
      </c>
      <c r="R33" s="641">
        <f t="shared" ref="R33" si="55">P33-Q33</f>
        <v>0.62697142799999916</v>
      </c>
      <c r="S33" s="927">
        <f t="shared" ref="S33" si="56">Q33/P33</f>
        <v>0</v>
      </c>
      <c r="T33" s="927">
        <f t="shared" si="47"/>
        <v>0.95399040562221105</v>
      </c>
    </row>
    <row r="34" spans="1:20" ht="15" customHeight="1" thickBot="1">
      <c r="A34" s="49">
        <v>16</v>
      </c>
      <c r="B34" s="118">
        <f t="shared" ref="B34" si="57">+B32+$B$20</f>
        <v>8</v>
      </c>
      <c r="C34" s="245" t="s">
        <v>99</v>
      </c>
      <c r="D34" s="249" t="s">
        <v>95</v>
      </c>
      <c r="E34" s="250" t="s">
        <v>115</v>
      </c>
      <c r="F34" s="250">
        <v>918466</v>
      </c>
      <c r="G34" s="251">
        <v>4.9761857139999996</v>
      </c>
      <c r="H34" s="136"/>
      <c r="I34" s="137">
        <f t="shared" ref="I34" si="58">G34+H34+K33</f>
        <v>0.62697142799999916</v>
      </c>
      <c r="J34" s="138"/>
      <c r="K34" s="146">
        <f t="shared" si="2"/>
        <v>0.62697142799999916</v>
      </c>
      <c r="L34" s="148">
        <f t="shared" si="4"/>
        <v>0</v>
      </c>
      <c r="M34" s="624" t="s">
        <v>30</v>
      </c>
      <c r="N34" s="73"/>
      <c r="O34" s="73"/>
      <c r="P34" s="73"/>
      <c r="Q34" s="642"/>
      <c r="R34" s="642"/>
      <c r="S34" s="928"/>
      <c r="T34" s="928"/>
    </row>
    <row r="35" spans="1:20" ht="15" customHeight="1" thickBot="1">
      <c r="A35" s="49">
        <v>17</v>
      </c>
      <c r="B35" s="118">
        <f t="shared" ref="B35" si="59">+B33+$B$19</f>
        <v>9</v>
      </c>
      <c r="C35" s="244" t="s">
        <v>99</v>
      </c>
      <c r="D35" s="246" t="s">
        <v>35</v>
      </c>
      <c r="E35" s="247" t="s">
        <v>116</v>
      </c>
      <c r="F35" s="247">
        <v>951943</v>
      </c>
      <c r="G35" s="248">
        <v>8.6507857139999995</v>
      </c>
      <c r="H35" s="221">
        <v>-13.627000000000001</v>
      </c>
      <c r="I35" s="69">
        <f t="shared" ref="I35" si="60">G35+H35</f>
        <v>-4.9762142860000012</v>
      </c>
      <c r="J35" s="70"/>
      <c r="K35" s="145">
        <f t="shared" si="2"/>
        <v>-4.9762142860000012</v>
      </c>
      <c r="L35" s="147">
        <f t="shared" si="4"/>
        <v>0</v>
      </c>
      <c r="M35" s="621">
        <v>43538</v>
      </c>
      <c r="N35" s="71">
        <f t="shared" ref="N35:O35" si="61">G35+G36</f>
        <v>13.626971427999999</v>
      </c>
      <c r="O35" s="72">
        <f t="shared" si="61"/>
        <v>-13.627000000000001</v>
      </c>
      <c r="P35" s="71">
        <f t="shared" ref="P35" si="62">N35+O35</f>
        <v>-2.8572000001503284E-5</v>
      </c>
      <c r="Q35" s="640">
        <f t="shared" ref="Q35" si="63">J35+J36</f>
        <v>0</v>
      </c>
      <c r="R35" s="641">
        <f t="shared" ref="R35" si="64">P35-Q35</f>
        <v>-2.8572000001503284E-5</v>
      </c>
      <c r="S35" s="927">
        <f t="shared" ref="S35" si="65">Q35/P35</f>
        <v>0</v>
      </c>
      <c r="T35" s="927">
        <f t="shared" si="47"/>
        <v>1.0000020967241439</v>
      </c>
    </row>
    <row r="36" spans="1:20" ht="15" customHeight="1" thickBot="1">
      <c r="A36" s="49">
        <v>18</v>
      </c>
      <c r="B36" s="118">
        <f t="shared" ref="B36" si="66">+B34+$B$20</f>
        <v>9</v>
      </c>
      <c r="C36" s="245" t="s">
        <v>99</v>
      </c>
      <c r="D36" s="249" t="s">
        <v>95</v>
      </c>
      <c r="E36" s="250" t="s">
        <v>116</v>
      </c>
      <c r="F36" s="250">
        <v>951943</v>
      </c>
      <c r="G36" s="251">
        <v>4.9761857139999996</v>
      </c>
      <c r="H36" s="136"/>
      <c r="I36" s="137">
        <f t="shared" ref="I36" si="67">G36+H36+K35</f>
        <v>-2.8572000001503284E-5</v>
      </c>
      <c r="J36" s="138"/>
      <c r="K36" s="146">
        <f t="shared" si="2"/>
        <v>-2.8572000001503284E-5</v>
      </c>
      <c r="L36" s="148">
        <f t="shared" si="4"/>
        <v>0</v>
      </c>
      <c r="M36" s="621">
        <v>43538</v>
      </c>
      <c r="N36" s="73"/>
      <c r="O36" s="73"/>
      <c r="P36" s="73"/>
      <c r="Q36" s="642"/>
      <c r="R36" s="642"/>
      <c r="S36" s="928"/>
      <c r="T36" s="928"/>
    </row>
    <row r="37" spans="1:20" ht="15" customHeight="1" thickBot="1">
      <c r="A37" s="49">
        <v>19</v>
      </c>
      <c r="B37" s="118">
        <f t="shared" ref="B37" si="68">+B35+$B$19</f>
        <v>10</v>
      </c>
      <c r="C37" s="244" t="s">
        <v>99</v>
      </c>
      <c r="D37" s="246" t="s">
        <v>35</v>
      </c>
      <c r="E37" s="247" t="s">
        <v>117</v>
      </c>
      <c r="F37" s="247">
        <v>952448</v>
      </c>
      <c r="G37" s="248">
        <v>8.6507857139999995</v>
      </c>
      <c r="H37" s="221">
        <v>-13.627000000000001</v>
      </c>
      <c r="I37" s="69">
        <f t="shared" ref="I37" si="69">G37+H37</f>
        <v>-4.9762142860000012</v>
      </c>
      <c r="J37" s="70"/>
      <c r="K37" s="145">
        <f t="shared" si="2"/>
        <v>-4.9762142860000012</v>
      </c>
      <c r="L37" s="147">
        <f t="shared" si="4"/>
        <v>0</v>
      </c>
      <c r="M37" s="621">
        <v>43538</v>
      </c>
      <c r="N37" s="71">
        <f t="shared" ref="N37:O37" si="70">G37+G38</f>
        <v>13.626971427999999</v>
      </c>
      <c r="O37" s="72">
        <f t="shared" si="70"/>
        <v>-13.627000000000001</v>
      </c>
      <c r="P37" s="71">
        <f t="shared" ref="P37" si="71">N37+O37</f>
        <v>-2.8572000001503284E-5</v>
      </c>
      <c r="Q37" s="640">
        <f t="shared" ref="Q37" si="72">J37+J38</f>
        <v>0</v>
      </c>
      <c r="R37" s="641">
        <f t="shared" ref="R37" si="73">P37-Q37</f>
        <v>-2.8572000001503284E-5</v>
      </c>
      <c r="S37" s="927">
        <f t="shared" ref="S37" si="74">Q37/P37</f>
        <v>0</v>
      </c>
      <c r="T37" s="927">
        <f t="shared" si="47"/>
        <v>1.0000020967241439</v>
      </c>
    </row>
    <row r="38" spans="1:20" ht="15" customHeight="1" thickBot="1">
      <c r="A38" s="49">
        <v>20</v>
      </c>
      <c r="B38" s="118">
        <f t="shared" ref="B38" si="75">+B36+$B$20</f>
        <v>10</v>
      </c>
      <c r="C38" s="245" t="s">
        <v>99</v>
      </c>
      <c r="D38" s="249" t="s">
        <v>95</v>
      </c>
      <c r="E38" s="250" t="s">
        <v>117</v>
      </c>
      <c r="F38" s="250">
        <v>952448</v>
      </c>
      <c r="G38" s="251">
        <v>4.9761857139999996</v>
      </c>
      <c r="H38" s="136"/>
      <c r="I38" s="137">
        <f t="shared" ref="I38" si="76">G38+H38+K37</f>
        <v>-2.8572000001503284E-5</v>
      </c>
      <c r="J38" s="138"/>
      <c r="K38" s="146">
        <f t="shared" si="2"/>
        <v>-2.8572000001503284E-5</v>
      </c>
      <c r="L38" s="148">
        <f t="shared" si="4"/>
        <v>0</v>
      </c>
      <c r="M38" s="621">
        <v>43538</v>
      </c>
      <c r="N38" s="73"/>
      <c r="O38" s="73"/>
      <c r="P38" s="73"/>
      <c r="Q38" s="642"/>
      <c r="R38" s="642"/>
      <c r="S38" s="928"/>
      <c r="T38" s="928"/>
    </row>
    <row r="39" spans="1:20" ht="15" customHeight="1" thickBot="1">
      <c r="A39" s="49">
        <v>21</v>
      </c>
      <c r="B39" s="118">
        <f t="shared" ref="B39" si="77">+B37+$B$19</f>
        <v>11</v>
      </c>
      <c r="C39" s="244" t="s">
        <v>99</v>
      </c>
      <c r="D39" s="246" t="s">
        <v>35</v>
      </c>
      <c r="E39" s="247" t="s">
        <v>118</v>
      </c>
      <c r="F39" s="247">
        <v>961102</v>
      </c>
      <c r="G39" s="248">
        <v>8.6507857139999995</v>
      </c>
      <c r="H39" s="221">
        <v>-13.627000000000001</v>
      </c>
      <c r="I39" s="69">
        <f t="shared" ref="I39" si="78">G39+H39</f>
        <v>-4.9762142860000012</v>
      </c>
      <c r="J39" s="70"/>
      <c r="K39" s="145">
        <f t="shared" si="2"/>
        <v>-4.9762142860000012</v>
      </c>
      <c r="L39" s="147">
        <f t="shared" si="4"/>
        <v>0</v>
      </c>
      <c r="M39" s="621">
        <v>43538</v>
      </c>
      <c r="N39" s="71">
        <f t="shared" ref="N39:O39" si="79">G39+G40</f>
        <v>13.626971427999999</v>
      </c>
      <c r="O39" s="72">
        <f t="shared" si="79"/>
        <v>-13.627000000000001</v>
      </c>
      <c r="P39" s="71">
        <f t="shared" ref="P39" si="80">N39+O39</f>
        <v>-2.8572000001503284E-5</v>
      </c>
      <c r="Q39" s="640">
        <f t="shared" ref="Q39" si="81">J39+J40</f>
        <v>0</v>
      </c>
      <c r="R39" s="641">
        <f t="shared" ref="R39" si="82">P39-Q39</f>
        <v>-2.8572000001503284E-5</v>
      </c>
      <c r="S39" s="927">
        <f t="shared" ref="S39" si="83">Q39/P39</f>
        <v>0</v>
      </c>
      <c r="T39" s="927">
        <f t="shared" si="47"/>
        <v>1.0000020967241439</v>
      </c>
    </row>
    <row r="40" spans="1:20" ht="15" customHeight="1" thickBot="1">
      <c r="A40" s="49">
        <v>22</v>
      </c>
      <c r="B40" s="118">
        <f t="shared" ref="B40" si="84">+B38+$B$20</f>
        <v>11</v>
      </c>
      <c r="C40" s="245" t="s">
        <v>99</v>
      </c>
      <c r="D40" s="249" t="s">
        <v>95</v>
      </c>
      <c r="E40" s="250" t="s">
        <v>118</v>
      </c>
      <c r="F40" s="250">
        <v>961102</v>
      </c>
      <c r="G40" s="251">
        <v>4.9761857139999996</v>
      </c>
      <c r="H40" s="136"/>
      <c r="I40" s="137">
        <f t="shared" ref="I40" si="85">G40+H40+K39</f>
        <v>-2.8572000001503284E-5</v>
      </c>
      <c r="J40" s="138"/>
      <c r="K40" s="146">
        <f t="shared" si="2"/>
        <v>-2.8572000001503284E-5</v>
      </c>
      <c r="L40" s="148">
        <f t="shared" si="4"/>
        <v>0</v>
      </c>
      <c r="M40" s="621">
        <v>43538</v>
      </c>
      <c r="N40" s="73"/>
      <c r="O40" s="73"/>
      <c r="P40" s="73"/>
      <c r="Q40" s="642"/>
      <c r="R40" s="642"/>
      <c r="S40" s="928"/>
      <c r="T40" s="928"/>
    </row>
    <row r="41" spans="1:20" ht="15" customHeight="1" thickBot="1">
      <c r="A41" s="49">
        <v>23</v>
      </c>
      <c r="B41" s="118">
        <f t="shared" ref="B41" si="86">+B39+$B$19</f>
        <v>12</v>
      </c>
      <c r="C41" s="244" t="s">
        <v>99</v>
      </c>
      <c r="D41" s="246" t="s">
        <v>35</v>
      </c>
      <c r="E41" s="247" t="s">
        <v>119</v>
      </c>
      <c r="F41" s="247">
        <v>37454</v>
      </c>
      <c r="G41" s="248">
        <v>8.6507857139999995</v>
      </c>
      <c r="H41" s="221">
        <v>-13.627000000000001</v>
      </c>
      <c r="I41" s="69">
        <f t="shared" ref="I41" si="87">G41+H41</f>
        <v>-4.9762142860000012</v>
      </c>
      <c r="J41" s="70"/>
      <c r="K41" s="145">
        <f t="shared" si="2"/>
        <v>-4.9762142860000012</v>
      </c>
      <c r="L41" s="147">
        <f t="shared" si="4"/>
        <v>0</v>
      </c>
      <c r="M41" s="621">
        <v>43538</v>
      </c>
      <c r="N41" s="71">
        <f t="shared" ref="N41:O41" si="88">G41+G42</f>
        <v>13.626971427999999</v>
      </c>
      <c r="O41" s="72">
        <f t="shared" si="88"/>
        <v>-13.627000000000001</v>
      </c>
      <c r="P41" s="71">
        <f t="shared" ref="P41" si="89">N41+O41</f>
        <v>-2.8572000001503284E-5</v>
      </c>
      <c r="Q41" s="640">
        <f t="shared" ref="Q41" si="90">J41+J42</f>
        <v>0</v>
      </c>
      <c r="R41" s="641">
        <f t="shared" ref="R41" si="91">P41-Q41</f>
        <v>-2.8572000001503284E-5</v>
      </c>
      <c r="S41" s="927">
        <f t="shared" ref="S41" si="92">Q41/P41</f>
        <v>0</v>
      </c>
      <c r="T41" s="927">
        <f t="shared" si="47"/>
        <v>1.0000020967241439</v>
      </c>
    </row>
    <row r="42" spans="1:20" ht="15" customHeight="1" thickBot="1">
      <c r="A42" s="49">
        <v>24</v>
      </c>
      <c r="B42" s="118">
        <f t="shared" ref="B42" si="93">+B40+$B$20</f>
        <v>12</v>
      </c>
      <c r="C42" s="245" t="s">
        <v>99</v>
      </c>
      <c r="D42" s="249" t="s">
        <v>95</v>
      </c>
      <c r="E42" s="250" t="s">
        <v>119</v>
      </c>
      <c r="F42" s="250">
        <v>37454</v>
      </c>
      <c r="G42" s="251">
        <v>4.9761857139999996</v>
      </c>
      <c r="H42" s="136"/>
      <c r="I42" s="137">
        <f t="shared" ref="I42" si="94">G42+H42+K41</f>
        <v>-2.8572000001503284E-5</v>
      </c>
      <c r="J42" s="138"/>
      <c r="K42" s="146">
        <f t="shared" si="2"/>
        <v>-2.8572000001503284E-5</v>
      </c>
      <c r="L42" s="148">
        <f t="shared" si="4"/>
        <v>0</v>
      </c>
      <c r="M42" s="621">
        <v>43538</v>
      </c>
      <c r="N42" s="73"/>
      <c r="O42" s="73"/>
      <c r="P42" s="73"/>
      <c r="Q42" s="642"/>
      <c r="R42" s="642"/>
      <c r="S42" s="928"/>
      <c r="T42" s="928"/>
    </row>
    <row r="43" spans="1:20" ht="15" customHeight="1" thickBot="1">
      <c r="A43" s="49">
        <v>25</v>
      </c>
      <c r="B43" s="118">
        <f t="shared" ref="B43" si="95">+B41+$B$19</f>
        <v>13</v>
      </c>
      <c r="C43" s="244" t="s">
        <v>99</v>
      </c>
      <c r="D43" s="246" t="s">
        <v>35</v>
      </c>
      <c r="E43" s="247" t="s">
        <v>120</v>
      </c>
      <c r="F43" s="247">
        <v>900895</v>
      </c>
      <c r="G43" s="248">
        <v>8.6507857139999995</v>
      </c>
      <c r="H43" s="221">
        <v>-13.627000000000001</v>
      </c>
      <c r="I43" s="69">
        <f t="shared" ref="I43" si="96">G43+H43</f>
        <v>-4.9762142860000012</v>
      </c>
      <c r="J43" s="70"/>
      <c r="K43" s="145">
        <f t="shared" si="2"/>
        <v>-4.9762142860000012</v>
      </c>
      <c r="L43" s="147">
        <f t="shared" si="4"/>
        <v>0</v>
      </c>
      <c r="M43" s="621">
        <v>43538</v>
      </c>
      <c r="N43" s="71">
        <f t="shared" ref="N43:O43" si="97">G43+G44</f>
        <v>13.626971427999999</v>
      </c>
      <c r="O43" s="72">
        <f t="shared" si="97"/>
        <v>-13.627000000000001</v>
      </c>
      <c r="P43" s="71">
        <f t="shared" ref="P43" si="98">N43+O43</f>
        <v>-2.8572000001503284E-5</v>
      </c>
      <c r="Q43" s="640">
        <f t="shared" ref="Q43" si="99">J43+J44</f>
        <v>0</v>
      </c>
      <c r="R43" s="641">
        <f t="shared" ref="R43" si="100">P43-Q43</f>
        <v>-2.8572000001503284E-5</v>
      </c>
      <c r="S43" s="927">
        <f t="shared" ref="S43" si="101">Q43/P43</f>
        <v>0</v>
      </c>
      <c r="T43" s="927">
        <f t="shared" si="47"/>
        <v>1.0000020967241439</v>
      </c>
    </row>
    <row r="44" spans="1:20" ht="15" customHeight="1" thickBot="1">
      <c r="A44" s="49">
        <v>26</v>
      </c>
      <c r="B44" s="118">
        <f t="shared" ref="B44" si="102">+B42+$B$20</f>
        <v>13</v>
      </c>
      <c r="C44" s="245" t="s">
        <v>99</v>
      </c>
      <c r="D44" s="249" t="s">
        <v>95</v>
      </c>
      <c r="E44" s="250" t="s">
        <v>120</v>
      </c>
      <c r="F44" s="250">
        <v>900895</v>
      </c>
      <c r="G44" s="251">
        <v>4.9761857139999996</v>
      </c>
      <c r="H44" s="136"/>
      <c r="I44" s="137">
        <f t="shared" ref="I44" si="103">G44+H44+K43</f>
        <v>-2.8572000001503284E-5</v>
      </c>
      <c r="J44" s="138"/>
      <c r="K44" s="146">
        <f t="shared" si="2"/>
        <v>-2.8572000001503284E-5</v>
      </c>
      <c r="L44" s="148">
        <f t="shared" si="4"/>
        <v>0</v>
      </c>
      <c r="M44" s="621">
        <v>43538</v>
      </c>
      <c r="N44" s="73"/>
      <c r="O44" s="73"/>
      <c r="P44" s="73"/>
      <c r="Q44" s="642"/>
      <c r="R44" s="642"/>
      <c r="S44" s="928"/>
      <c r="T44" s="928"/>
    </row>
    <row r="45" spans="1:20" ht="15" customHeight="1" thickBot="1">
      <c r="A45" s="49">
        <v>27</v>
      </c>
      <c r="B45" s="118">
        <f t="shared" ref="B45" si="104">+B43+$B$19</f>
        <v>14</v>
      </c>
      <c r="C45" s="244" t="s">
        <v>99</v>
      </c>
      <c r="D45" s="246" t="s">
        <v>35</v>
      </c>
      <c r="E45" s="247" t="s">
        <v>121</v>
      </c>
      <c r="F45" s="247">
        <v>965590</v>
      </c>
      <c r="G45" s="248">
        <v>8.6507857139999995</v>
      </c>
      <c r="H45" s="222">
        <v>-13.627000000000001</v>
      </c>
      <c r="I45" s="69">
        <f t="shared" ref="I45" si="105">G45+H45</f>
        <v>-4.9762142860000012</v>
      </c>
      <c r="J45" s="70"/>
      <c r="K45" s="145">
        <f t="shared" si="2"/>
        <v>-4.9762142860000012</v>
      </c>
      <c r="L45" s="147">
        <f t="shared" si="4"/>
        <v>0</v>
      </c>
      <c r="M45" s="625">
        <v>43510</v>
      </c>
      <c r="N45" s="71">
        <f t="shared" ref="N45:O45" si="106">G45+G46</f>
        <v>13.626971427999999</v>
      </c>
      <c r="O45" s="72">
        <f t="shared" si="106"/>
        <v>-13.627000000000001</v>
      </c>
      <c r="P45" s="71">
        <f t="shared" ref="P45" si="107">N45+O45</f>
        <v>-2.8572000001503284E-5</v>
      </c>
      <c r="Q45" s="640">
        <f t="shared" ref="Q45" si="108">J45+J46</f>
        <v>0</v>
      </c>
      <c r="R45" s="643">
        <f t="shared" ref="R45" si="109">P45-Q45</f>
        <v>-2.8572000001503284E-5</v>
      </c>
      <c r="S45" s="927">
        <f t="shared" ref="S45" si="110">Q45/P45</f>
        <v>0</v>
      </c>
      <c r="T45" s="927">
        <f t="shared" si="47"/>
        <v>1.0000020967241439</v>
      </c>
    </row>
    <row r="46" spans="1:20" ht="15" customHeight="1" thickBot="1">
      <c r="A46" s="49">
        <v>28</v>
      </c>
      <c r="B46" s="118">
        <f t="shared" ref="B46" si="111">+B44+$B$20</f>
        <v>14</v>
      </c>
      <c r="C46" s="245" t="s">
        <v>99</v>
      </c>
      <c r="D46" s="249" t="s">
        <v>95</v>
      </c>
      <c r="E46" s="250" t="s">
        <v>121</v>
      </c>
      <c r="F46" s="250">
        <v>965590</v>
      </c>
      <c r="G46" s="251">
        <v>4.9761857139999996</v>
      </c>
      <c r="H46" s="136"/>
      <c r="I46" s="137">
        <f t="shared" ref="I46" si="112">G46+H46+K45</f>
        <v>-2.8572000001503284E-5</v>
      </c>
      <c r="J46" s="138"/>
      <c r="K46" s="146">
        <f t="shared" si="2"/>
        <v>-2.8572000001503284E-5</v>
      </c>
      <c r="L46" s="148">
        <f t="shared" si="4"/>
        <v>0</v>
      </c>
      <c r="M46" s="625">
        <v>43510</v>
      </c>
      <c r="N46" s="73"/>
      <c r="O46" s="73"/>
      <c r="P46" s="73"/>
      <c r="Q46" s="642"/>
      <c r="R46" s="644"/>
      <c r="S46" s="928"/>
      <c r="T46" s="928"/>
    </row>
    <row r="47" spans="1:20" ht="15" customHeight="1" thickBot="1">
      <c r="A47" s="49">
        <v>29</v>
      </c>
      <c r="B47" s="118">
        <f t="shared" ref="B47" si="113">+B45+$B$19</f>
        <v>15</v>
      </c>
      <c r="C47" s="244" t="s">
        <v>99</v>
      </c>
      <c r="D47" s="246" t="s">
        <v>35</v>
      </c>
      <c r="E47" s="247" t="s">
        <v>122</v>
      </c>
      <c r="F47" s="247">
        <v>952272</v>
      </c>
      <c r="G47" s="248">
        <v>8.6507857139999995</v>
      </c>
      <c r="H47" s="221">
        <v>-13.627000000000001</v>
      </c>
      <c r="I47" s="69">
        <f t="shared" ref="I47" si="114">G47+H47</f>
        <v>-4.9762142860000012</v>
      </c>
      <c r="J47" s="70"/>
      <c r="K47" s="145">
        <f t="shared" si="2"/>
        <v>-4.9762142860000012</v>
      </c>
      <c r="L47" s="147">
        <f t="shared" si="4"/>
        <v>0</v>
      </c>
      <c r="M47" s="621">
        <v>43538</v>
      </c>
      <c r="N47" s="71">
        <f t="shared" ref="N47:O47" si="115">G47+G48</f>
        <v>13.626971427999999</v>
      </c>
      <c r="O47" s="72">
        <f t="shared" si="115"/>
        <v>-13.627000000000001</v>
      </c>
      <c r="P47" s="71">
        <f t="shared" ref="P47" si="116">N47+O47</f>
        <v>-2.8572000001503284E-5</v>
      </c>
      <c r="Q47" s="640">
        <f t="shared" ref="Q47" si="117">J47+J48</f>
        <v>0</v>
      </c>
      <c r="R47" s="641">
        <f t="shared" ref="R47" si="118">P47-Q47</f>
        <v>-2.8572000001503284E-5</v>
      </c>
      <c r="S47" s="927">
        <f t="shared" ref="S47" si="119">Q47/P47</f>
        <v>0</v>
      </c>
      <c r="T47" s="927">
        <f t="shared" si="47"/>
        <v>1.0000020967241439</v>
      </c>
    </row>
    <row r="48" spans="1:20" ht="15" customHeight="1" thickBot="1">
      <c r="A48" s="49">
        <v>30</v>
      </c>
      <c r="B48" s="118">
        <f t="shared" ref="B48" si="120">+B46+$B$20</f>
        <v>15</v>
      </c>
      <c r="C48" s="245" t="s">
        <v>99</v>
      </c>
      <c r="D48" s="249" t="s">
        <v>95</v>
      </c>
      <c r="E48" s="250" t="s">
        <v>122</v>
      </c>
      <c r="F48" s="250">
        <v>952272</v>
      </c>
      <c r="G48" s="251">
        <v>4.9761857139999996</v>
      </c>
      <c r="H48" s="136"/>
      <c r="I48" s="137">
        <f t="shared" ref="I48" si="121">G48+H48+K47</f>
        <v>-2.8572000001503284E-5</v>
      </c>
      <c r="J48" s="138"/>
      <c r="K48" s="146">
        <f t="shared" si="2"/>
        <v>-2.8572000001503284E-5</v>
      </c>
      <c r="L48" s="148">
        <f t="shared" si="4"/>
        <v>0</v>
      </c>
      <c r="M48" s="621">
        <v>43538</v>
      </c>
      <c r="N48" s="73"/>
      <c r="O48" s="73"/>
      <c r="P48" s="73"/>
      <c r="Q48" s="642"/>
      <c r="R48" s="642"/>
      <c r="S48" s="928"/>
      <c r="T48" s="928"/>
    </row>
    <row r="49" spans="1:22" ht="15" customHeight="1" thickBot="1">
      <c r="A49" s="49">
        <v>31</v>
      </c>
      <c r="B49" s="118">
        <f t="shared" ref="B49" si="122">+B47+$B$19</f>
        <v>16</v>
      </c>
      <c r="C49" s="244" t="s">
        <v>99</v>
      </c>
      <c r="D49" s="246" t="s">
        <v>35</v>
      </c>
      <c r="E49" s="247" t="s">
        <v>123</v>
      </c>
      <c r="F49" s="247">
        <v>960680</v>
      </c>
      <c r="G49" s="248">
        <v>8.6507857139999995</v>
      </c>
      <c r="H49" s="221">
        <v>-13.627000000000001</v>
      </c>
      <c r="I49" s="69">
        <f t="shared" ref="I49" si="123">G49+H49</f>
        <v>-4.9762142860000012</v>
      </c>
      <c r="J49" s="70"/>
      <c r="K49" s="145">
        <f t="shared" si="2"/>
        <v>-4.9762142860000012</v>
      </c>
      <c r="L49" s="147">
        <f t="shared" si="4"/>
        <v>0</v>
      </c>
      <c r="M49" s="621">
        <v>43538</v>
      </c>
      <c r="N49" s="71">
        <f t="shared" ref="N49:O49" si="124">G49+G50</f>
        <v>13.626971427999999</v>
      </c>
      <c r="O49" s="72">
        <f t="shared" si="124"/>
        <v>-13.627000000000001</v>
      </c>
      <c r="P49" s="71">
        <f t="shared" ref="P49" si="125">N49+O49</f>
        <v>-2.8572000001503284E-5</v>
      </c>
      <c r="Q49" s="640">
        <f t="shared" ref="Q49" si="126">J49+J50</f>
        <v>0</v>
      </c>
      <c r="R49" s="641">
        <f t="shared" ref="R49" si="127">P49-Q49</f>
        <v>-2.8572000001503284E-5</v>
      </c>
      <c r="S49" s="927">
        <f t="shared" ref="S49" si="128">Q49/P49</f>
        <v>0</v>
      </c>
      <c r="T49" s="927">
        <f t="shared" si="47"/>
        <v>1.0000020967241439</v>
      </c>
    </row>
    <row r="50" spans="1:22" ht="15" customHeight="1" thickBot="1">
      <c r="A50" s="49">
        <v>32</v>
      </c>
      <c r="B50" s="118">
        <f t="shared" ref="B50" si="129">+B48+$B$20</f>
        <v>16</v>
      </c>
      <c r="C50" s="245" t="s">
        <v>99</v>
      </c>
      <c r="D50" s="249" t="s">
        <v>95</v>
      </c>
      <c r="E50" s="250" t="s">
        <v>123</v>
      </c>
      <c r="F50" s="250">
        <v>960680</v>
      </c>
      <c r="G50" s="251">
        <v>4.9761857139999996</v>
      </c>
      <c r="H50" s="136"/>
      <c r="I50" s="137">
        <f t="shared" ref="I50" si="130">G50+H50+K49</f>
        <v>-2.8572000001503284E-5</v>
      </c>
      <c r="J50" s="138"/>
      <c r="K50" s="146">
        <f t="shared" si="2"/>
        <v>-2.8572000001503284E-5</v>
      </c>
      <c r="L50" s="148">
        <f t="shared" si="4"/>
        <v>0</v>
      </c>
      <c r="M50" s="621">
        <v>43538</v>
      </c>
      <c r="N50" s="73"/>
      <c r="O50" s="73"/>
      <c r="P50" s="73"/>
      <c r="Q50" s="642"/>
      <c r="R50" s="642"/>
      <c r="S50" s="928"/>
      <c r="T50" s="928"/>
    </row>
    <row r="51" spans="1:22" ht="15" customHeight="1">
      <c r="A51" s="49">
        <v>33</v>
      </c>
      <c r="B51" s="118">
        <f t="shared" ref="B51" si="131">+B49+$B$19</f>
        <v>17</v>
      </c>
      <c r="C51" s="244" t="s">
        <v>99</v>
      </c>
      <c r="D51" s="246" t="s">
        <v>35</v>
      </c>
      <c r="E51" s="247" t="s">
        <v>124</v>
      </c>
      <c r="F51" s="247">
        <v>963416</v>
      </c>
      <c r="G51" s="248">
        <v>8.6507857139999995</v>
      </c>
      <c r="H51" s="225">
        <v>-9</v>
      </c>
      <c r="I51" s="69">
        <f t="shared" ref="I51" si="132">G51+H51</f>
        <v>-0.34921428600000048</v>
      </c>
      <c r="J51" s="288">
        <v>3.5430000000000001</v>
      </c>
      <c r="K51" s="145">
        <f t="shared" si="2"/>
        <v>-3.8922142860000006</v>
      </c>
      <c r="L51" s="566">
        <f t="shared" si="4"/>
        <v>-10.145633045493435</v>
      </c>
      <c r="M51" s="622">
        <v>43629</v>
      </c>
      <c r="N51" s="71">
        <f t="shared" ref="N51:O51" si="133">G51+G52</f>
        <v>13.626971427999999</v>
      </c>
      <c r="O51" s="72">
        <f t="shared" si="133"/>
        <v>-9</v>
      </c>
      <c r="P51" s="71">
        <f t="shared" ref="P51" si="134">N51+O51</f>
        <v>4.6269714279999992</v>
      </c>
      <c r="Q51" s="640">
        <f t="shared" ref="Q51" si="135">J51+J52</f>
        <v>3.5430000000000001</v>
      </c>
      <c r="R51" s="641">
        <f t="shared" ref="R51" si="136">P51-Q51</f>
        <v>1.083971427999999</v>
      </c>
      <c r="S51" s="927">
        <f t="shared" ref="S51" si="137">Q51/P51</f>
        <v>0.76572765903839957</v>
      </c>
      <c r="T51" s="927">
        <f t="shared" si="47"/>
        <v>0.40045581872926195</v>
      </c>
      <c r="U51" s="573"/>
      <c r="V51" s="46">
        <f>13.627-9</f>
        <v>4.6270000000000007</v>
      </c>
    </row>
    <row r="52" spans="1:22" ht="15" customHeight="1" thickBot="1">
      <c r="A52" s="49">
        <v>34</v>
      </c>
      <c r="B52" s="118">
        <f t="shared" ref="B52" si="138">+B50+$B$20</f>
        <v>17</v>
      </c>
      <c r="C52" s="245" t="s">
        <v>99</v>
      </c>
      <c r="D52" s="249" t="s">
        <v>95</v>
      </c>
      <c r="E52" s="250" t="s">
        <v>124</v>
      </c>
      <c r="F52" s="250">
        <v>963416</v>
      </c>
      <c r="G52" s="251">
        <v>4.9761857139999996</v>
      </c>
      <c r="H52" s="136"/>
      <c r="I52" s="137">
        <f t="shared" ref="I52" si="139">G52+H52+K51</f>
        <v>1.083971427999999</v>
      </c>
      <c r="J52" s="138"/>
      <c r="K52" s="146">
        <f t="shared" si="2"/>
        <v>1.083971427999999</v>
      </c>
      <c r="L52" s="148">
        <f t="shared" si="4"/>
        <v>0</v>
      </c>
      <c r="M52" s="626" t="s">
        <v>30</v>
      </c>
      <c r="N52" s="73"/>
      <c r="O52" s="73"/>
      <c r="P52" s="73"/>
      <c r="Q52" s="642"/>
      <c r="R52" s="642"/>
      <c r="S52" s="928"/>
      <c r="T52" s="928"/>
      <c r="U52" s="573"/>
    </row>
    <row r="53" spans="1:22" ht="15" customHeight="1" thickBot="1">
      <c r="A53" s="49">
        <v>35</v>
      </c>
      <c r="B53" s="118">
        <f t="shared" ref="B53" si="140">+B51+$B$19</f>
        <v>18</v>
      </c>
      <c r="C53" s="592" t="s">
        <v>99</v>
      </c>
      <c r="D53" s="593" t="s">
        <v>35</v>
      </c>
      <c r="E53" s="594" t="s">
        <v>125</v>
      </c>
      <c r="F53" s="247">
        <v>960679</v>
      </c>
      <c r="G53" s="248">
        <v>8.6507857139999995</v>
      </c>
      <c r="H53" s="500">
        <v>-13.627000000000001</v>
      </c>
      <c r="I53" s="69">
        <f t="shared" ref="I53" si="141">G53+H53</f>
        <v>-4.9762142860000012</v>
      </c>
      <c r="J53" s="70"/>
      <c r="K53" s="145">
        <f t="shared" si="2"/>
        <v>-4.9762142860000012</v>
      </c>
      <c r="L53" s="147">
        <f t="shared" si="4"/>
        <v>0</v>
      </c>
      <c r="M53" s="627">
        <v>43629</v>
      </c>
      <c r="N53" s="71">
        <f t="shared" ref="N53:O53" si="142">G53+G54</f>
        <v>13.626971427999999</v>
      </c>
      <c r="O53" s="72">
        <f t="shared" si="142"/>
        <v>-13.627000000000001</v>
      </c>
      <c r="P53" s="71">
        <f t="shared" ref="P53" si="143">N53+O53</f>
        <v>-2.8572000001503284E-5</v>
      </c>
      <c r="Q53" s="640">
        <f t="shared" ref="Q53" si="144">J53+J54</f>
        <v>0</v>
      </c>
      <c r="R53" s="641">
        <f t="shared" ref="R53" si="145">P53-Q53</f>
        <v>-2.8572000001503284E-5</v>
      </c>
      <c r="S53" s="927">
        <f t="shared" ref="S53" si="146">Q53/P53</f>
        <v>0</v>
      </c>
      <c r="T53" s="927">
        <f t="shared" si="47"/>
        <v>1.0000020967241439</v>
      </c>
    </row>
    <row r="54" spans="1:22" ht="15" customHeight="1" thickBot="1">
      <c r="A54" s="49">
        <v>36</v>
      </c>
      <c r="B54" s="118">
        <f t="shared" ref="B54" si="147">+B52+$B$20</f>
        <v>18</v>
      </c>
      <c r="C54" s="595" t="s">
        <v>99</v>
      </c>
      <c r="D54" s="596" t="s">
        <v>95</v>
      </c>
      <c r="E54" s="597" t="s">
        <v>125</v>
      </c>
      <c r="F54" s="250">
        <v>960679</v>
      </c>
      <c r="G54" s="251">
        <v>4.9761857139999996</v>
      </c>
      <c r="H54" s="136"/>
      <c r="I54" s="137">
        <f t="shared" ref="I54" si="148">G54+H54+K53</f>
        <v>-2.8572000001503284E-5</v>
      </c>
      <c r="J54" s="138"/>
      <c r="K54" s="146">
        <f t="shared" si="2"/>
        <v>-2.8572000001503284E-5</v>
      </c>
      <c r="L54" s="148">
        <f t="shared" si="4"/>
        <v>0</v>
      </c>
      <c r="M54" s="628">
        <v>43629</v>
      </c>
      <c r="N54" s="73"/>
      <c r="O54" s="73"/>
      <c r="P54" s="73"/>
      <c r="Q54" s="642"/>
      <c r="R54" s="642"/>
      <c r="S54" s="928"/>
      <c r="T54" s="928"/>
    </row>
    <row r="55" spans="1:22" ht="15" customHeight="1" thickBot="1">
      <c r="A55" s="49">
        <v>37</v>
      </c>
      <c r="B55" s="118">
        <f t="shared" ref="B55" si="149">+B53+$B$19</f>
        <v>19</v>
      </c>
      <c r="C55" s="244" t="s">
        <v>99</v>
      </c>
      <c r="D55" s="246" t="s">
        <v>35</v>
      </c>
      <c r="E55" s="247" t="s">
        <v>126</v>
      </c>
      <c r="F55" s="247">
        <v>961369</v>
      </c>
      <c r="G55" s="248">
        <v>8.6507857139999995</v>
      </c>
      <c r="H55" s="221">
        <f>-13.627</f>
        <v>-13.627000000000001</v>
      </c>
      <c r="I55" s="69">
        <f t="shared" ref="I55" si="150">G55+H55</f>
        <v>-4.9762142860000012</v>
      </c>
      <c r="J55" s="70"/>
      <c r="K55" s="145">
        <f t="shared" si="2"/>
        <v>-4.9762142860000012</v>
      </c>
      <c r="L55" s="147">
        <f t="shared" si="4"/>
        <v>0</v>
      </c>
      <c r="M55" s="629">
        <v>43538</v>
      </c>
      <c r="N55" s="71">
        <f t="shared" ref="N55:O55" si="151">G55+G56</f>
        <v>13.626971427999999</v>
      </c>
      <c r="O55" s="72">
        <f t="shared" si="151"/>
        <v>-13.627000000000001</v>
      </c>
      <c r="P55" s="71">
        <f t="shared" ref="P55" si="152">N55+O55</f>
        <v>-2.8572000001503284E-5</v>
      </c>
      <c r="Q55" s="640">
        <f t="shared" ref="Q55" si="153">J55+J56</f>
        <v>0</v>
      </c>
      <c r="R55" s="641">
        <f t="shared" ref="R55" si="154">P55-Q55</f>
        <v>-2.8572000001503284E-5</v>
      </c>
      <c r="S55" s="927">
        <f t="shared" ref="S55" si="155">Q55/P55</f>
        <v>0</v>
      </c>
      <c r="T55" s="927">
        <f t="shared" si="47"/>
        <v>1.0000020967241439</v>
      </c>
    </row>
    <row r="56" spans="1:22" ht="15" customHeight="1" thickBot="1">
      <c r="A56" s="49">
        <v>38</v>
      </c>
      <c r="B56" s="118">
        <f t="shared" ref="B56" si="156">+B54+$B$20</f>
        <v>19</v>
      </c>
      <c r="C56" s="245" t="s">
        <v>99</v>
      </c>
      <c r="D56" s="249" t="s">
        <v>95</v>
      </c>
      <c r="E56" s="250" t="s">
        <v>126</v>
      </c>
      <c r="F56" s="250">
        <v>961369</v>
      </c>
      <c r="G56" s="251">
        <v>4.9761857139999996</v>
      </c>
      <c r="H56" s="136"/>
      <c r="I56" s="137">
        <f t="shared" ref="I56" si="157">G56+H56+K55</f>
        <v>-2.8572000001503284E-5</v>
      </c>
      <c r="J56" s="138"/>
      <c r="K56" s="146">
        <f t="shared" si="2"/>
        <v>-2.8572000001503284E-5</v>
      </c>
      <c r="L56" s="148">
        <f t="shared" si="4"/>
        <v>0</v>
      </c>
      <c r="M56" s="629">
        <v>43538</v>
      </c>
      <c r="N56" s="73"/>
      <c r="O56" s="73"/>
      <c r="P56" s="73"/>
      <c r="Q56" s="642"/>
      <c r="R56" s="642"/>
      <c r="S56" s="928"/>
      <c r="T56" s="928"/>
    </row>
    <row r="57" spans="1:22" ht="15" customHeight="1" thickBot="1">
      <c r="A57" s="49">
        <v>39</v>
      </c>
      <c r="B57" s="118">
        <f t="shared" ref="B57" si="158">+B55+$B$19</f>
        <v>20</v>
      </c>
      <c r="C57" s="244" t="s">
        <v>99</v>
      </c>
      <c r="D57" s="246" t="s">
        <v>35</v>
      </c>
      <c r="E57" s="247" t="s">
        <v>127</v>
      </c>
      <c r="F57" s="247">
        <v>918715</v>
      </c>
      <c r="G57" s="248">
        <v>8.6507857139999995</v>
      </c>
      <c r="H57" s="221">
        <v>-13.627000000000001</v>
      </c>
      <c r="I57" s="69">
        <f t="shared" ref="I57" si="159">G57+H57</f>
        <v>-4.9762142860000012</v>
      </c>
      <c r="J57" s="70"/>
      <c r="K57" s="145">
        <f t="shared" si="2"/>
        <v>-4.9762142860000012</v>
      </c>
      <c r="L57" s="147">
        <f t="shared" si="4"/>
        <v>0</v>
      </c>
      <c r="M57" s="621">
        <v>43538</v>
      </c>
      <c r="N57" s="71">
        <f t="shared" ref="N57:O57" si="160">G57+G58</f>
        <v>13.626971427999999</v>
      </c>
      <c r="O57" s="72">
        <f t="shared" si="160"/>
        <v>-13.627000000000001</v>
      </c>
      <c r="P57" s="71">
        <f t="shared" ref="P57" si="161">N57+O57</f>
        <v>-2.8572000001503284E-5</v>
      </c>
      <c r="Q57" s="640">
        <f t="shared" ref="Q57" si="162">J57+J58</f>
        <v>0</v>
      </c>
      <c r="R57" s="641">
        <f t="shared" ref="R57" si="163">P57-Q57</f>
        <v>-2.8572000001503284E-5</v>
      </c>
      <c r="S57" s="927">
        <f t="shared" ref="S57" si="164">Q57/P57</f>
        <v>0</v>
      </c>
      <c r="T57" s="927">
        <f t="shared" si="47"/>
        <v>1.0000020967241439</v>
      </c>
    </row>
    <row r="58" spans="1:22" ht="15" customHeight="1" thickBot="1">
      <c r="A58" s="49">
        <v>40</v>
      </c>
      <c r="B58" s="118">
        <f t="shared" ref="B58" si="165">+B56+$B$20</f>
        <v>20</v>
      </c>
      <c r="C58" s="245" t="s">
        <v>99</v>
      </c>
      <c r="D58" s="249" t="s">
        <v>95</v>
      </c>
      <c r="E58" s="250" t="s">
        <v>127</v>
      </c>
      <c r="F58" s="250">
        <v>918715</v>
      </c>
      <c r="G58" s="251">
        <v>4.9761857139999996</v>
      </c>
      <c r="H58" s="136"/>
      <c r="I58" s="137">
        <f t="shared" ref="I58" si="166">G58+H58+K57</f>
        <v>-2.8572000001503284E-5</v>
      </c>
      <c r="J58" s="138"/>
      <c r="K58" s="146">
        <f t="shared" si="2"/>
        <v>-2.8572000001503284E-5</v>
      </c>
      <c r="L58" s="148">
        <f t="shared" si="4"/>
        <v>0</v>
      </c>
      <c r="M58" s="621">
        <v>43538</v>
      </c>
      <c r="N58" s="73"/>
      <c r="O58" s="73"/>
      <c r="P58" s="73"/>
      <c r="Q58" s="642"/>
      <c r="R58" s="642"/>
      <c r="S58" s="928"/>
      <c r="T58" s="928"/>
    </row>
    <row r="59" spans="1:22" ht="15" customHeight="1" thickBot="1">
      <c r="A59" s="49">
        <v>41</v>
      </c>
      <c r="B59" s="118">
        <f t="shared" ref="B59" si="167">+B57+$B$19</f>
        <v>21</v>
      </c>
      <c r="C59" s="244" t="s">
        <v>99</v>
      </c>
      <c r="D59" s="246" t="s">
        <v>35</v>
      </c>
      <c r="E59" s="247" t="s">
        <v>128</v>
      </c>
      <c r="F59" s="247">
        <v>926081</v>
      </c>
      <c r="G59" s="248">
        <v>8.6507857139999995</v>
      </c>
      <c r="H59" s="221">
        <v>-13.627000000000001</v>
      </c>
      <c r="I59" s="69">
        <f t="shared" ref="I59" si="168">G59+H59</f>
        <v>-4.9762142860000012</v>
      </c>
      <c r="J59" s="70"/>
      <c r="K59" s="145">
        <f t="shared" si="2"/>
        <v>-4.9762142860000012</v>
      </c>
      <c r="L59" s="147">
        <f t="shared" si="4"/>
        <v>0</v>
      </c>
      <c r="M59" s="621">
        <v>43538</v>
      </c>
      <c r="N59" s="71">
        <f t="shared" ref="N59:O59" si="169">G59+G60</f>
        <v>13.626971427999999</v>
      </c>
      <c r="O59" s="72">
        <f t="shared" si="169"/>
        <v>-13.627000000000001</v>
      </c>
      <c r="P59" s="71">
        <f t="shared" ref="P59" si="170">N59+O59</f>
        <v>-2.8572000001503284E-5</v>
      </c>
      <c r="Q59" s="640">
        <f t="shared" ref="Q59" si="171">J59+J60</f>
        <v>0</v>
      </c>
      <c r="R59" s="641">
        <f t="shared" ref="R59" si="172">P59-Q59</f>
        <v>-2.8572000001503284E-5</v>
      </c>
      <c r="S59" s="927">
        <f t="shared" ref="S59" si="173">Q59/P59</f>
        <v>0</v>
      </c>
      <c r="T59" s="927">
        <f t="shared" si="47"/>
        <v>1.0000020967241439</v>
      </c>
    </row>
    <row r="60" spans="1:22" ht="15" customHeight="1" thickBot="1">
      <c r="A60" s="49">
        <v>42</v>
      </c>
      <c r="B60" s="118">
        <f t="shared" ref="B60" si="174">+B58+$B$20</f>
        <v>21</v>
      </c>
      <c r="C60" s="245" t="s">
        <v>99</v>
      </c>
      <c r="D60" s="249" t="s">
        <v>95</v>
      </c>
      <c r="E60" s="250" t="s">
        <v>128</v>
      </c>
      <c r="F60" s="250">
        <v>926081</v>
      </c>
      <c r="G60" s="251">
        <v>4.9761857139999996</v>
      </c>
      <c r="H60" s="136"/>
      <c r="I60" s="137">
        <f t="shared" ref="I60" si="175">G60+H60+K59</f>
        <v>-2.8572000001503284E-5</v>
      </c>
      <c r="J60" s="138"/>
      <c r="K60" s="146">
        <f t="shared" si="2"/>
        <v>-2.8572000001503284E-5</v>
      </c>
      <c r="L60" s="148">
        <f t="shared" si="4"/>
        <v>0</v>
      </c>
      <c r="M60" s="621">
        <v>43538</v>
      </c>
      <c r="N60" s="73"/>
      <c r="O60" s="73"/>
      <c r="P60" s="73"/>
      <c r="Q60" s="642"/>
      <c r="R60" s="642"/>
      <c r="S60" s="928"/>
      <c r="T60" s="928"/>
    </row>
    <row r="61" spans="1:22" ht="15" customHeight="1" thickBot="1">
      <c r="A61" s="49">
        <v>43</v>
      </c>
      <c r="B61" s="118">
        <f t="shared" ref="B61" si="176">+B59+$B$19</f>
        <v>22</v>
      </c>
      <c r="C61" s="244" t="s">
        <v>99</v>
      </c>
      <c r="D61" s="246" t="s">
        <v>35</v>
      </c>
      <c r="E61" s="247" t="s">
        <v>129</v>
      </c>
      <c r="F61" s="247">
        <v>961650</v>
      </c>
      <c r="G61" s="248">
        <v>8.6507857139999995</v>
      </c>
      <c r="H61" s="221">
        <v>-13.627000000000001</v>
      </c>
      <c r="I61" s="69">
        <f t="shared" ref="I61" si="177">G61+H61</f>
        <v>-4.9762142860000012</v>
      </c>
      <c r="J61" s="70"/>
      <c r="K61" s="145">
        <f t="shared" si="2"/>
        <v>-4.9762142860000012</v>
      </c>
      <c r="L61" s="147">
        <f t="shared" si="4"/>
        <v>0</v>
      </c>
      <c r="M61" s="621">
        <v>43538</v>
      </c>
      <c r="N61" s="71">
        <f t="shared" ref="N61:O61" si="178">G61+G62</f>
        <v>13.626971427999999</v>
      </c>
      <c r="O61" s="72">
        <f t="shared" si="178"/>
        <v>-13.627000000000001</v>
      </c>
      <c r="P61" s="71">
        <f t="shared" ref="P61" si="179">N61+O61</f>
        <v>-2.8572000001503284E-5</v>
      </c>
      <c r="Q61" s="640">
        <f t="shared" ref="Q61" si="180">J61+J62</f>
        <v>0</v>
      </c>
      <c r="R61" s="641">
        <f t="shared" ref="R61" si="181">P61-Q61</f>
        <v>-2.8572000001503284E-5</v>
      </c>
      <c r="S61" s="927">
        <f t="shared" ref="S61" si="182">Q61/P61</f>
        <v>0</v>
      </c>
      <c r="T61" s="927">
        <f t="shared" si="47"/>
        <v>1.0000020967241439</v>
      </c>
    </row>
    <row r="62" spans="1:22" ht="15" customHeight="1" thickBot="1">
      <c r="A62" s="49">
        <v>44</v>
      </c>
      <c r="B62" s="118">
        <f t="shared" ref="B62" si="183">+B60+$B$20</f>
        <v>22</v>
      </c>
      <c r="C62" s="245" t="s">
        <v>99</v>
      </c>
      <c r="D62" s="249" t="s">
        <v>95</v>
      </c>
      <c r="E62" s="250" t="s">
        <v>129</v>
      </c>
      <c r="F62" s="250">
        <v>961650</v>
      </c>
      <c r="G62" s="251">
        <v>4.9761857139999996</v>
      </c>
      <c r="H62" s="136"/>
      <c r="I62" s="137">
        <f t="shared" ref="I62" si="184">G62+H62+K61</f>
        <v>-2.8572000001503284E-5</v>
      </c>
      <c r="J62" s="138"/>
      <c r="K62" s="146">
        <f t="shared" si="2"/>
        <v>-2.8572000001503284E-5</v>
      </c>
      <c r="L62" s="148">
        <f t="shared" si="4"/>
        <v>0</v>
      </c>
      <c r="M62" s="621">
        <v>43538</v>
      </c>
      <c r="N62" s="73"/>
      <c r="O62" s="73"/>
      <c r="P62" s="73"/>
      <c r="Q62" s="642"/>
      <c r="R62" s="642"/>
      <c r="S62" s="928"/>
      <c r="T62" s="928"/>
    </row>
    <row r="63" spans="1:22" ht="15" customHeight="1" thickBot="1">
      <c r="A63" s="49">
        <v>45</v>
      </c>
      <c r="B63" s="118">
        <f t="shared" ref="B63" si="185">+B61+$B$19</f>
        <v>23</v>
      </c>
      <c r="C63" s="244" t="s">
        <v>99</v>
      </c>
      <c r="D63" s="246" t="s">
        <v>35</v>
      </c>
      <c r="E63" s="247" t="s">
        <v>130</v>
      </c>
      <c r="F63" s="247">
        <v>900894</v>
      </c>
      <c r="G63" s="248">
        <v>8.6507857139999995</v>
      </c>
      <c r="H63" s="221">
        <v>-13.627000000000001</v>
      </c>
      <c r="I63" s="69">
        <f t="shared" ref="I63" si="186">G63+H63</f>
        <v>-4.9762142860000012</v>
      </c>
      <c r="J63" s="70"/>
      <c r="K63" s="145">
        <f t="shared" si="2"/>
        <v>-4.9762142860000012</v>
      </c>
      <c r="L63" s="147">
        <f t="shared" si="4"/>
        <v>0</v>
      </c>
      <c r="M63" s="621">
        <v>43538</v>
      </c>
      <c r="N63" s="71">
        <f t="shared" ref="N63:O63" si="187">G63+G64</f>
        <v>13.626971427999999</v>
      </c>
      <c r="O63" s="72">
        <f t="shared" si="187"/>
        <v>-13.627000000000001</v>
      </c>
      <c r="P63" s="71">
        <f t="shared" ref="P63" si="188">N63+O63</f>
        <v>-2.8572000001503284E-5</v>
      </c>
      <c r="Q63" s="640">
        <f t="shared" ref="Q63" si="189">J63+J64</f>
        <v>0</v>
      </c>
      <c r="R63" s="641">
        <f t="shared" ref="R63" si="190">P63-Q63</f>
        <v>-2.8572000001503284E-5</v>
      </c>
      <c r="S63" s="927">
        <f t="shared" ref="S63" si="191">Q63/P63</f>
        <v>0</v>
      </c>
      <c r="T63" s="927">
        <f t="shared" si="47"/>
        <v>1.0000020967241439</v>
      </c>
    </row>
    <row r="64" spans="1:22" ht="15" customHeight="1" thickBot="1">
      <c r="A64" s="49">
        <v>46</v>
      </c>
      <c r="B64" s="118">
        <f t="shared" ref="B64" si="192">+B62+$B$20</f>
        <v>23</v>
      </c>
      <c r="C64" s="245" t="s">
        <v>99</v>
      </c>
      <c r="D64" s="249" t="s">
        <v>95</v>
      </c>
      <c r="E64" s="250" t="s">
        <v>130</v>
      </c>
      <c r="F64" s="250">
        <v>900894</v>
      </c>
      <c r="G64" s="251">
        <v>4.9761857139999996</v>
      </c>
      <c r="H64" s="136"/>
      <c r="I64" s="137">
        <f t="shared" ref="I64" si="193">G64+H64+K63</f>
        <v>-2.8572000001503284E-5</v>
      </c>
      <c r="J64" s="138"/>
      <c r="K64" s="146">
        <f t="shared" si="2"/>
        <v>-2.8572000001503284E-5</v>
      </c>
      <c r="L64" s="148">
        <f t="shared" si="4"/>
        <v>0</v>
      </c>
      <c r="M64" s="621">
        <v>43538</v>
      </c>
      <c r="N64" s="73"/>
      <c r="O64" s="73"/>
      <c r="P64" s="73"/>
      <c r="Q64" s="642"/>
      <c r="R64" s="642"/>
      <c r="S64" s="928"/>
      <c r="T64" s="928"/>
    </row>
    <row r="65" spans="1:20" ht="15" customHeight="1" thickBot="1">
      <c r="A65" s="49">
        <v>47</v>
      </c>
      <c r="B65" s="118">
        <f t="shared" ref="B65" si="194">+B63+$B$19</f>
        <v>24</v>
      </c>
      <c r="C65" s="244" t="s">
        <v>99</v>
      </c>
      <c r="D65" s="246" t="s">
        <v>35</v>
      </c>
      <c r="E65" s="247" t="s">
        <v>131</v>
      </c>
      <c r="F65" s="247">
        <v>926474</v>
      </c>
      <c r="G65" s="248">
        <v>8.6507857139999995</v>
      </c>
      <c r="H65" s="221">
        <v>-13.627000000000001</v>
      </c>
      <c r="I65" s="69">
        <f t="shared" ref="I65" si="195">G65+H65</f>
        <v>-4.9762142860000012</v>
      </c>
      <c r="J65" s="70"/>
      <c r="K65" s="145">
        <f t="shared" si="2"/>
        <v>-4.9762142860000012</v>
      </c>
      <c r="L65" s="147">
        <f t="shared" si="4"/>
        <v>0</v>
      </c>
      <c r="M65" s="621">
        <v>43538</v>
      </c>
      <c r="N65" s="71">
        <f t="shared" ref="N65:O65" si="196">G65+G66</f>
        <v>13.626971427999999</v>
      </c>
      <c r="O65" s="72">
        <f t="shared" si="196"/>
        <v>-13.627000000000001</v>
      </c>
      <c r="P65" s="71">
        <f t="shared" ref="P65" si="197">N65+O65</f>
        <v>-2.8572000001503284E-5</v>
      </c>
      <c r="Q65" s="640">
        <f t="shared" ref="Q65" si="198">J65+J66</f>
        <v>0</v>
      </c>
      <c r="R65" s="641">
        <f t="shared" ref="R65" si="199">P65-Q65</f>
        <v>-2.8572000001503284E-5</v>
      </c>
      <c r="S65" s="927">
        <f t="shared" ref="S65" si="200">Q65/P65</f>
        <v>0</v>
      </c>
      <c r="T65" s="927">
        <f t="shared" si="47"/>
        <v>1.0000020967241439</v>
      </c>
    </row>
    <row r="66" spans="1:20" ht="15" customHeight="1" thickBot="1">
      <c r="A66" s="49">
        <v>48</v>
      </c>
      <c r="B66" s="118">
        <f t="shared" ref="B66" si="201">+B64+$B$20</f>
        <v>24</v>
      </c>
      <c r="C66" s="245" t="s">
        <v>99</v>
      </c>
      <c r="D66" s="249" t="s">
        <v>95</v>
      </c>
      <c r="E66" s="250" t="s">
        <v>131</v>
      </c>
      <c r="F66" s="250">
        <v>926474</v>
      </c>
      <c r="G66" s="251">
        <v>4.9761857139999996</v>
      </c>
      <c r="H66" s="136"/>
      <c r="I66" s="137">
        <f t="shared" ref="I66" si="202">G66+H66+K65</f>
        <v>-2.8572000001503284E-5</v>
      </c>
      <c r="J66" s="138"/>
      <c r="K66" s="146">
        <f t="shared" si="2"/>
        <v>-2.8572000001503284E-5</v>
      </c>
      <c r="L66" s="148">
        <f t="shared" si="4"/>
        <v>0</v>
      </c>
      <c r="M66" s="621">
        <v>43538</v>
      </c>
      <c r="N66" s="73"/>
      <c r="O66" s="73"/>
      <c r="P66" s="73"/>
      <c r="Q66" s="642"/>
      <c r="R66" s="642"/>
      <c r="S66" s="928"/>
      <c r="T66" s="928"/>
    </row>
    <row r="67" spans="1:20" ht="15" customHeight="1" thickBot="1">
      <c r="A67" s="49">
        <v>49</v>
      </c>
      <c r="B67" s="118">
        <f t="shared" ref="B67" si="203">+B65+$B$19</f>
        <v>25</v>
      </c>
      <c r="C67" s="244" t="s">
        <v>99</v>
      </c>
      <c r="D67" s="246" t="s">
        <v>35</v>
      </c>
      <c r="E67" s="247" t="s">
        <v>132</v>
      </c>
      <c r="F67" s="247">
        <v>954388</v>
      </c>
      <c r="G67" s="248">
        <v>8.6507857139999995</v>
      </c>
      <c r="H67" s="221">
        <v>-13.627000000000001</v>
      </c>
      <c r="I67" s="69">
        <f t="shared" ref="I67" si="204">G67+H67</f>
        <v>-4.9762142860000012</v>
      </c>
      <c r="J67" s="70"/>
      <c r="K67" s="145">
        <f t="shared" si="2"/>
        <v>-4.9762142860000012</v>
      </c>
      <c r="L67" s="147">
        <f t="shared" si="4"/>
        <v>0</v>
      </c>
      <c r="M67" s="621">
        <v>43538</v>
      </c>
      <c r="N67" s="71">
        <f t="shared" ref="N67:O67" si="205">G67+G68</f>
        <v>13.626971427999999</v>
      </c>
      <c r="O67" s="72">
        <f t="shared" si="205"/>
        <v>-13.627000000000001</v>
      </c>
      <c r="P67" s="71">
        <f t="shared" ref="P67" si="206">N67+O67</f>
        <v>-2.8572000001503284E-5</v>
      </c>
      <c r="Q67" s="640">
        <f t="shared" ref="Q67" si="207">J67+J68</f>
        <v>0</v>
      </c>
      <c r="R67" s="641">
        <f t="shared" ref="R67" si="208">P67-Q67</f>
        <v>-2.8572000001503284E-5</v>
      </c>
      <c r="S67" s="927">
        <f t="shared" ref="S67" si="209">Q67/P67</f>
        <v>0</v>
      </c>
      <c r="T67" s="927">
        <f t="shared" si="47"/>
        <v>1.0000020967241439</v>
      </c>
    </row>
    <row r="68" spans="1:20" ht="15" customHeight="1" thickBot="1">
      <c r="A68" s="49">
        <v>50</v>
      </c>
      <c r="B68" s="118">
        <f t="shared" ref="B68" si="210">+B66+$B$20</f>
        <v>25</v>
      </c>
      <c r="C68" s="245" t="s">
        <v>99</v>
      </c>
      <c r="D68" s="249" t="s">
        <v>95</v>
      </c>
      <c r="E68" s="250" t="s">
        <v>132</v>
      </c>
      <c r="F68" s="250">
        <v>954388</v>
      </c>
      <c r="G68" s="251">
        <v>4.9761857139999996</v>
      </c>
      <c r="H68" s="136"/>
      <c r="I68" s="137">
        <f t="shared" ref="I68" si="211">G68+H68+K67</f>
        <v>-2.8572000001503284E-5</v>
      </c>
      <c r="J68" s="138"/>
      <c r="K68" s="146">
        <f t="shared" si="2"/>
        <v>-2.8572000001503284E-5</v>
      </c>
      <c r="L68" s="148">
        <f t="shared" si="4"/>
        <v>0</v>
      </c>
      <c r="M68" s="621">
        <v>43538</v>
      </c>
      <c r="N68" s="73"/>
      <c r="O68" s="73"/>
      <c r="P68" s="73"/>
      <c r="Q68" s="642"/>
      <c r="R68" s="642"/>
      <c r="S68" s="928"/>
      <c r="T68" s="928"/>
    </row>
    <row r="69" spans="1:20" ht="15" customHeight="1" thickBot="1">
      <c r="A69" s="49">
        <v>51</v>
      </c>
      <c r="B69" s="118">
        <f t="shared" ref="B69" si="212">+B67+$B$19</f>
        <v>26</v>
      </c>
      <c r="C69" s="244" t="s">
        <v>99</v>
      </c>
      <c r="D69" s="246" t="s">
        <v>35</v>
      </c>
      <c r="E69" s="247" t="s">
        <v>133</v>
      </c>
      <c r="F69" s="247">
        <v>15842</v>
      </c>
      <c r="G69" s="248">
        <v>8.6507857139999995</v>
      </c>
      <c r="H69" s="221">
        <v>-13.627000000000001</v>
      </c>
      <c r="I69" s="69">
        <f t="shared" ref="I69" si="213">G69+H69</f>
        <v>-4.9762142860000012</v>
      </c>
      <c r="J69" s="70"/>
      <c r="K69" s="145">
        <f t="shared" si="2"/>
        <v>-4.9762142860000012</v>
      </c>
      <c r="L69" s="147">
        <f t="shared" si="4"/>
        <v>0</v>
      </c>
      <c r="M69" s="621">
        <v>43538</v>
      </c>
      <c r="N69" s="71">
        <f t="shared" ref="N69:O69" si="214">G69+G70</f>
        <v>13.626971427999999</v>
      </c>
      <c r="O69" s="72">
        <f t="shared" si="214"/>
        <v>-13.627000000000001</v>
      </c>
      <c r="P69" s="71">
        <f t="shared" ref="P69" si="215">N69+O69</f>
        <v>-2.8572000001503284E-5</v>
      </c>
      <c r="Q69" s="640">
        <f t="shared" ref="Q69" si="216">J69+J70</f>
        <v>0</v>
      </c>
      <c r="R69" s="641">
        <f t="shared" ref="R69" si="217">P69-Q69</f>
        <v>-2.8572000001503284E-5</v>
      </c>
      <c r="S69" s="927">
        <f t="shared" ref="S69" si="218">Q69/P69</f>
        <v>0</v>
      </c>
      <c r="T69" s="927">
        <f t="shared" si="47"/>
        <v>1.0000020967241439</v>
      </c>
    </row>
    <row r="70" spans="1:20" ht="15" customHeight="1" thickBot="1">
      <c r="A70" s="49">
        <v>52</v>
      </c>
      <c r="B70" s="118">
        <f t="shared" ref="B70" si="219">+B68+$B$20</f>
        <v>26</v>
      </c>
      <c r="C70" s="245" t="s">
        <v>99</v>
      </c>
      <c r="D70" s="249" t="s">
        <v>95</v>
      </c>
      <c r="E70" s="250" t="s">
        <v>133</v>
      </c>
      <c r="F70" s="250">
        <v>15842</v>
      </c>
      <c r="G70" s="251">
        <v>4.9761857139999996</v>
      </c>
      <c r="H70" s="136"/>
      <c r="I70" s="137">
        <f t="shared" ref="I70" si="220">G70+H70+K69</f>
        <v>-2.8572000001503284E-5</v>
      </c>
      <c r="J70" s="138"/>
      <c r="K70" s="146">
        <f t="shared" si="2"/>
        <v>-2.8572000001503284E-5</v>
      </c>
      <c r="L70" s="148">
        <f t="shared" si="4"/>
        <v>0</v>
      </c>
      <c r="M70" s="621">
        <v>43538</v>
      </c>
      <c r="N70" s="73"/>
      <c r="O70" s="73"/>
      <c r="P70" s="73"/>
      <c r="Q70" s="642"/>
      <c r="R70" s="642"/>
      <c r="S70" s="928"/>
      <c r="T70" s="928"/>
    </row>
    <row r="71" spans="1:20" ht="15" customHeight="1" thickBot="1">
      <c r="A71" s="49">
        <v>53</v>
      </c>
      <c r="B71" s="118">
        <f t="shared" ref="B71" si="221">+B69+$B$19</f>
        <v>27</v>
      </c>
      <c r="C71" s="244" t="s">
        <v>99</v>
      </c>
      <c r="D71" s="246" t="s">
        <v>35</v>
      </c>
      <c r="E71" s="247" t="s">
        <v>134</v>
      </c>
      <c r="F71" s="247">
        <v>951978</v>
      </c>
      <c r="G71" s="248">
        <v>8.6507857139999995</v>
      </c>
      <c r="H71" s="221">
        <v>-13.627000000000001</v>
      </c>
      <c r="I71" s="69">
        <f t="shared" ref="I71" si="222">G71+H71</f>
        <v>-4.9762142860000012</v>
      </c>
      <c r="J71" s="70"/>
      <c r="K71" s="145">
        <f t="shared" si="2"/>
        <v>-4.9762142860000012</v>
      </c>
      <c r="L71" s="147">
        <f t="shared" si="4"/>
        <v>0</v>
      </c>
      <c r="M71" s="621">
        <v>43538</v>
      </c>
      <c r="N71" s="71">
        <f t="shared" ref="N71:O71" si="223">G71+G72</f>
        <v>13.626971427999999</v>
      </c>
      <c r="O71" s="72">
        <f t="shared" si="223"/>
        <v>-13.627000000000001</v>
      </c>
      <c r="P71" s="71">
        <f t="shared" ref="P71" si="224">N71+O71</f>
        <v>-2.8572000001503284E-5</v>
      </c>
      <c r="Q71" s="640">
        <f t="shared" ref="Q71" si="225">J71+J72</f>
        <v>0</v>
      </c>
      <c r="R71" s="641">
        <f t="shared" ref="R71" si="226">P71-Q71</f>
        <v>-2.8572000001503284E-5</v>
      </c>
      <c r="S71" s="927">
        <f t="shared" ref="S71" si="227">Q71/P71</f>
        <v>0</v>
      </c>
      <c r="T71" s="927">
        <f t="shared" si="47"/>
        <v>1.0000020967241439</v>
      </c>
    </row>
    <row r="72" spans="1:20" ht="15" customHeight="1" thickBot="1">
      <c r="A72" s="49">
        <v>54</v>
      </c>
      <c r="B72" s="118">
        <f t="shared" ref="B72" si="228">+B70+$B$20</f>
        <v>27</v>
      </c>
      <c r="C72" s="245" t="s">
        <v>99</v>
      </c>
      <c r="D72" s="249" t="s">
        <v>95</v>
      </c>
      <c r="E72" s="250" t="s">
        <v>134</v>
      </c>
      <c r="F72" s="250">
        <v>951978</v>
      </c>
      <c r="G72" s="251">
        <v>4.9761857139999996</v>
      </c>
      <c r="H72" s="136"/>
      <c r="I72" s="137">
        <f t="shared" ref="I72" si="229">G72+H72+K71</f>
        <v>-2.8572000001503284E-5</v>
      </c>
      <c r="J72" s="138"/>
      <c r="K72" s="146">
        <f t="shared" si="2"/>
        <v>-2.8572000001503284E-5</v>
      </c>
      <c r="L72" s="148">
        <f t="shared" si="4"/>
        <v>0</v>
      </c>
      <c r="M72" s="621">
        <v>43538</v>
      </c>
      <c r="N72" s="73"/>
      <c r="O72" s="73"/>
      <c r="P72" s="73"/>
      <c r="Q72" s="642"/>
      <c r="R72" s="642"/>
      <c r="S72" s="928"/>
      <c r="T72" s="928"/>
    </row>
    <row r="73" spans="1:20" ht="15" customHeight="1" thickBot="1">
      <c r="A73" s="49">
        <v>55</v>
      </c>
      <c r="B73" s="118">
        <f t="shared" ref="B73" si="230">+B71+$B$19</f>
        <v>28</v>
      </c>
      <c r="C73" s="244" t="s">
        <v>99</v>
      </c>
      <c r="D73" s="246" t="s">
        <v>35</v>
      </c>
      <c r="E73" s="247" t="s">
        <v>135</v>
      </c>
      <c r="F73" s="247">
        <v>903672</v>
      </c>
      <c r="G73" s="248">
        <v>8.6507857139999995</v>
      </c>
      <c r="H73" s="221">
        <v>-13.627000000000001</v>
      </c>
      <c r="I73" s="69">
        <f t="shared" ref="I73" si="231">G73+H73</f>
        <v>-4.9762142860000012</v>
      </c>
      <c r="J73" s="70"/>
      <c r="K73" s="145">
        <f t="shared" si="2"/>
        <v>-4.9762142860000012</v>
      </c>
      <c r="L73" s="147">
        <f t="shared" si="4"/>
        <v>0</v>
      </c>
      <c r="M73" s="621">
        <v>43538</v>
      </c>
      <c r="N73" s="71">
        <f t="shared" ref="N73:O73" si="232">G73+G74</f>
        <v>13.626971427999999</v>
      </c>
      <c r="O73" s="72">
        <f t="shared" si="232"/>
        <v>-13.627000000000001</v>
      </c>
      <c r="P73" s="71">
        <f t="shared" ref="P73" si="233">N73+O73</f>
        <v>-2.8572000001503284E-5</v>
      </c>
      <c r="Q73" s="640">
        <f t="shared" ref="Q73" si="234">J73+J74</f>
        <v>0</v>
      </c>
      <c r="R73" s="641">
        <f t="shared" ref="R73" si="235">P73-Q73</f>
        <v>-2.8572000001503284E-5</v>
      </c>
      <c r="S73" s="927">
        <f t="shared" ref="S73" si="236">Q73/P73</f>
        <v>0</v>
      </c>
      <c r="T73" s="927">
        <f t="shared" si="47"/>
        <v>1.0000020967241439</v>
      </c>
    </row>
    <row r="74" spans="1:20" ht="15" customHeight="1" thickBot="1">
      <c r="A74" s="49">
        <v>56</v>
      </c>
      <c r="B74" s="118">
        <f t="shared" ref="B74" si="237">+B72+$B$20</f>
        <v>28</v>
      </c>
      <c r="C74" s="245" t="s">
        <v>99</v>
      </c>
      <c r="D74" s="249" t="s">
        <v>95</v>
      </c>
      <c r="E74" s="250" t="s">
        <v>135</v>
      </c>
      <c r="F74" s="250">
        <v>903672</v>
      </c>
      <c r="G74" s="251">
        <v>4.9761857139999996</v>
      </c>
      <c r="H74" s="136"/>
      <c r="I74" s="137">
        <f t="shared" ref="I74" si="238">G74+H74+K73</f>
        <v>-2.8572000001503284E-5</v>
      </c>
      <c r="J74" s="138"/>
      <c r="K74" s="146">
        <f t="shared" si="2"/>
        <v>-2.8572000001503284E-5</v>
      </c>
      <c r="L74" s="148">
        <f t="shared" si="4"/>
        <v>0</v>
      </c>
      <c r="M74" s="621">
        <v>43538</v>
      </c>
      <c r="N74" s="73"/>
      <c r="O74" s="73"/>
      <c r="P74" s="73"/>
      <c r="Q74" s="642"/>
      <c r="R74" s="642"/>
      <c r="S74" s="928"/>
      <c r="T74" s="928"/>
    </row>
    <row r="75" spans="1:20" ht="15" customHeight="1" thickBot="1">
      <c r="A75" s="49">
        <v>57</v>
      </c>
      <c r="B75" s="118">
        <f t="shared" ref="B75" si="239">+B73+$B$19</f>
        <v>29</v>
      </c>
      <c r="C75" s="244" t="s">
        <v>99</v>
      </c>
      <c r="D75" s="246" t="s">
        <v>35</v>
      </c>
      <c r="E75" s="247" t="s">
        <v>136</v>
      </c>
      <c r="F75" s="247">
        <v>920416</v>
      </c>
      <c r="G75" s="248">
        <v>8.6507857139999995</v>
      </c>
      <c r="H75" s="221">
        <v>-13.627000000000001</v>
      </c>
      <c r="I75" s="69">
        <f t="shared" ref="I75" si="240">G75+H75</f>
        <v>-4.9762142860000012</v>
      </c>
      <c r="J75" s="70"/>
      <c r="K75" s="145">
        <f t="shared" si="2"/>
        <v>-4.9762142860000012</v>
      </c>
      <c r="L75" s="147">
        <f t="shared" si="4"/>
        <v>0</v>
      </c>
      <c r="M75" s="621">
        <v>43538</v>
      </c>
      <c r="N75" s="71">
        <f t="shared" ref="N75:O75" si="241">G75+G76</f>
        <v>13.626971427999999</v>
      </c>
      <c r="O75" s="72">
        <f t="shared" si="241"/>
        <v>-13.627000000000001</v>
      </c>
      <c r="P75" s="71">
        <f t="shared" ref="P75" si="242">N75+O75</f>
        <v>-2.8572000001503284E-5</v>
      </c>
      <c r="Q75" s="640">
        <f t="shared" ref="Q75" si="243">J75+J76</f>
        <v>0</v>
      </c>
      <c r="R75" s="641">
        <f t="shared" ref="R75" si="244">P75-Q75</f>
        <v>-2.8572000001503284E-5</v>
      </c>
      <c r="S75" s="927">
        <f t="shared" ref="S75" si="245">Q75/P75</f>
        <v>0</v>
      </c>
      <c r="T75" s="927">
        <f t="shared" si="47"/>
        <v>1.0000020967241439</v>
      </c>
    </row>
    <row r="76" spans="1:20" ht="15" customHeight="1" thickBot="1">
      <c r="A76" s="49">
        <v>58</v>
      </c>
      <c r="B76" s="118">
        <f t="shared" ref="B76" si="246">+B74+$B$20</f>
        <v>29</v>
      </c>
      <c r="C76" s="245" t="s">
        <v>99</v>
      </c>
      <c r="D76" s="249" t="s">
        <v>95</v>
      </c>
      <c r="E76" s="250" t="s">
        <v>136</v>
      </c>
      <c r="F76" s="250">
        <v>920416</v>
      </c>
      <c r="G76" s="251">
        <v>4.9761857139999996</v>
      </c>
      <c r="H76" s="136"/>
      <c r="I76" s="137">
        <f t="shared" ref="I76" si="247">G76+H76+K75</f>
        <v>-2.8572000001503284E-5</v>
      </c>
      <c r="J76" s="138"/>
      <c r="K76" s="146">
        <f t="shared" si="2"/>
        <v>-2.8572000001503284E-5</v>
      </c>
      <c r="L76" s="148">
        <f t="shared" si="4"/>
        <v>0</v>
      </c>
      <c r="M76" s="621">
        <v>43538</v>
      </c>
      <c r="N76" s="73"/>
      <c r="O76" s="73"/>
      <c r="P76" s="73"/>
      <c r="Q76" s="642"/>
      <c r="R76" s="642"/>
      <c r="S76" s="928"/>
      <c r="T76" s="928"/>
    </row>
    <row r="77" spans="1:20" ht="15" customHeight="1" thickBot="1">
      <c r="A77" s="49">
        <v>59</v>
      </c>
      <c r="B77" s="118">
        <f t="shared" ref="B77" si="248">+B75+$B$19</f>
        <v>30</v>
      </c>
      <c r="C77" s="244" t="s">
        <v>99</v>
      </c>
      <c r="D77" s="246" t="s">
        <v>35</v>
      </c>
      <c r="E77" s="247" t="s">
        <v>137</v>
      </c>
      <c r="F77" s="247">
        <v>951977</v>
      </c>
      <c r="G77" s="248">
        <v>8.6507857139999995</v>
      </c>
      <c r="H77" s="221">
        <v>-13.627000000000001</v>
      </c>
      <c r="I77" s="69">
        <f t="shared" ref="I77" si="249">G77+H77</f>
        <v>-4.9762142860000012</v>
      </c>
      <c r="J77" s="70"/>
      <c r="K77" s="145">
        <f t="shared" si="2"/>
        <v>-4.9762142860000012</v>
      </c>
      <c r="L77" s="147">
        <f t="shared" si="4"/>
        <v>0</v>
      </c>
      <c r="M77" s="621">
        <v>43538</v>
      </c>
      <c r="N77" s="71">
        <f t="shared" ref="N77:O77" si="250">G77+G78</f>
        <v>13.626971427999999</v>
      </c>
      <c r="O77" s="72">
        <f t="shared" si="250"/>
        <v>-13.627000000000001</v>
      </c>
      <c r="P77" s="71">
        <f t="shared" ref="P77" si="251">N77+O77</f>
        <v>-2.8572000001503284E-5</v>
      </c>
      <c r="Q77" s="640">
        <f t="shared" ref="Q77" si="252">J77+J78</f>
        <v>0</v>
      </c>
      <c r="R77" s="641">
        <f t="shared" ref="R77" si="253">P77-Q77</f>
        <v>-2.8572000001503284E-5</v>
      </c>
      <c r="S77" s="927">
        <f t="shared" ref="S77" si="254">Q77/P77</f>
        <v>0</v>
      </c>
      <c r="T77" s="927">
        <f t="shared" si="47"/>
        <v>1.0000020967241439</v>
      </c>
    </row>
    <row r="78" spans="1:20" ht="15" customHeight="1" thickBot="1">
      <c r="A78" s="49">
        <v>60</v>
      </c>
      <c r="B78" s="118">
        <f t="shared" ref="B78" si="255">+B76+$B$20</f>
        <v>30</v>
      </c>
      <c r="C78" s="245" t="s">
        <v>99</v>
      </c>
      <c r="D78" s="249" t="s">
        <v>95</v>
      </c>
      <c r="E78" s="250" t="s">
        <v>137</v>
      </c>
      <c r="F78" s="250">
        <v>951977</v>
      </c>
      <c r="G78" s="251">
        <v>4.9761857139999996</v>
      </c>
      <c r="H78" s="136"/>
      <c r="I78" s="137">
        <f t="shared" ref="I78" si="256">G78+H78+K77</f>
        <v>-2.8572000001503284E-5</v>
      </c>
      <c r="J78" s="138"/>
      <c r="K78" s="146">
        <f t="shared" si="2"/>
        <v>-2.8572000001503284E-5</v>
      </c>
      <c r="L78" s="148">
        <f t="shared" si="4"/>
        <v>0</v>
      </c>
      <c r="M78" s="621">
        <v>43538</v>
      </c>
      <c r="N78" s="73"/>
      <c r="O78" s="73"/>
      <c r="P78" s="73"/>
      <c r="Q78" s="642"/>
      <c r="R78" s="642"/>
      <c r="S78" s="928"/>
      <c r="T78" s="928"/>
    </row>
    <row r="79" spans="1:20" ht="15" customHeight="1" thickBot="1">
      <c r="A79" s="49">
        <v>61</v>
      </c>
      <c r="B79" s="118">
        <f t="shared" ref="B79" si="257">+B77+$B$19</f>
        <v>31</v>
      </c>
      <c r="C79" s="244" t="s">
        <v>99</v>
      </c>
      <c r="D79" s="246" t="s">
        <v>35</v>
      </c>
      <c r="E79" s="247" t="s">
        <v>138</v>
      </c>
      <c r="F79" s="247">
        <v>957467</v>
      </c>
      <c r="G79" s="248">
        <v>8.6507857139999995</v>
      </c>
      <c r="H79" s="221">
        <v>-13.627000000000001</v>
      </c>
      <c r="I79" s="69">
        <f t="shared" ref="I79" si="258">G79+H79</f>
        <v>-4.9762142860000012</v>
      </c>
      <c r="J79" s="70"/>
      <c r="K79" s="145">
        <f t="shared" si="2"/>
        <v>-4.9762142860000012</v>
      </c>
      <c r="L79" s="147">
        <f t="shared" si="4"/>
        <v>0</v>
      </c>
      <c r="M79" s="621">
        <v>43538</v>
      </c>
      <c r="N79" s="71">
        <f t="shared" ref="N79:O79" si="259">G79+G80</f>
        <v>13.626971427999999</v>
      </c>
      <c r="O79" s="72">
        <f t="shared" si="259"/>
        <v>-13.627000000000001</v>
      </c>
      <c r="P79" s="71">
        <f t="shared" ref="P79" si="260">N79+O79</f>
        <v>-2.8572000001503284E-5</v>
      </c>
      <c r="Q79" s="640">
        <f t="shared" ref="Q79" si="261">J79+J80</f>
        <v>0</v>
      </c>
      <c r="R79" s="641">
        <f t="shared" ref="R79" si="262">P79-Q79</f>
        <v>-2.8572000001503284E-5</v>
      </c>
      <c r="S79" s="927">
        <f t="shared" ref="S79" si="263">Q79/P79</f>
        <v>0</v>
      </c>
      <c r="T79" s="927">
        <f t="shared" si="47"/>
        <v>1.0000020967241439</v>
      </c>
    </row>
    <row r="80" spans="1:20" ht="15" customHeight="1" thickBot="1">
      <c r="A80" s="49">
        <v>62</v>
      </c>
      <c r="B80" s="118">
        <f t="shared" ref="B80" si="264">+B78+$B$20</f>
        <v>31</v>
      </c>
      <c r="C80" s="245" t="s">
        <v>99</v>
      </c>
      <c r="D80" s="249" t="s">
        <v>95</v>
      </c>
      <c r="E80" s="250" t="s">
        <v>138</v>
      </c>
      <c r="F80" s="250">
        <v>957467</v>
      </c>
      <c r="G80" s="251">
        <v>4.9761857139999996</v>
      </c>
      <c r="H80" s="136"/>
      <c r="I80" s="137">
        <f t="shared" ref="I80" si="265">G80+H80+K79</f>
        <v>-2.8572000001503284E-5</v>
      </c>
      <c r="J80" s="138"/>
      <c r="K80" s="146">
        <f t="shared" si="2"/>
        <v>-2.8572000001503284E-5</v>
      </c>
      <c r="L80" s="148">
        <f t="shared" si="4"/>
        <v>0</v>
      </c>
      <c r="M80" s="621">
        <v>43538</v>
      </c>
      <c r="N80" s="73"/>
      <c r="O80" s="73"/>
      <c r="P80" s="73"/>
      <c r="Q80" s="642"/>
      <c r="R80" s="642"/>
      <c r="S80" s="928"/>
      <c r="T80" s="928"/>
    </row>
    <row r="81" spans="1:20" ht="15" customHeight="1" thickBot="1">
      <c r="A81" s="49">
        <v>63</v>
      </c>
      <c r="B81" s="118">
        <f t="shared" ref="B81" si="266">+B79+$B$19</f>
        <v>32</v>
      </c>
      <c r="C81" s="244" t="s">
        <v>99</v>
      </c>
      <c r="D81" s="246" t="s">
        <v>35</v>
      </c>
      <c r="E81" s="247" t="s">
        <v>139</v>
      </c>
      <c r="F81" s="247">
        <v>913400</v>
      </c>
      <c r="G81" s="248">
        <v>8.6507857139999995</v>
      </c>
      <c r="H81" s="221">
        <v>-13.627000000000001</v>
      </c>
      <c r="I81" s="69">
        <f t="shared" ref="I81" si="267">G81+H81</f>
        <v>-4.9762142860000012</v>
      </c>
      <c r="J81" s="70"/>
      <c r="K81" s="145">
        <f t="shared" si="2"/>
        <v>-4.9762142860000012</v>
      </c>
      <c r="L81" s="147">
        <f t="shared" si="4"/>
        <v>0</v>
      </c>
      <c r="M81" s="621">
        <v>43538</v>
      </c>
      <c r="N81" s="71">
        <f t="shared" ref="N81:O81" si="268">G81+G82</f>
        <v>13.626971427999999</v>
      </c>
      <c r="O81" s="72">
        <f t="shared" si="268"/>
        <v>-13.627000000000001</v>
      </c>
      <c r="P81" s="71">
        <f t="shared" ref="P81" si="269">N81+O81</f>
        <v>-2.8572000001503284E-5</v>
      </c>
      <c r="Q81" s="640">
        <f t="shared" ref="Q81" si="270">J81+J82</f>
        <v>0</v>
      </c>
      <c r="R81" s="641">
        <f t="shared" ref="R81" si="271">P81-Q81</f>
        <v>-2.8572000001503284E-5</v>
      </c>
      <c r="S81" s="927">
        <f t="shared" ref="S81" si="272">Q81/P81</f>
        <v>0</v>
      </c>
      <c r="T81" s="927">
        <f t="shared" si="47"/>
        <v>1.0000020967241439</v>
      </c>
    </row>
    <row r="82" spans="1:20" ht="15" customHeight="1" thickBot="1">
      <c r="A82" s="49">
        <v>64</v>
      </c>
      <c r="B82" s="118">
        <f t="shared" ref="B82" si="273">+B80+$B$20</f>
        <v>32</v>
      </c>
      <c r="C82" s="245" t="s">
        <v>99</v>
      </c>
      <c r="D82" s="249" t="s">
        <v>95</v>
      </c>
      <c r="E82" s="250" t="s">
        <v>139</v>
      </c>
      <c r="F82" s="250">
        <v>913400</v>
      </c>
      <c r="G82" s="251">
        <v>4.9761857139999996</v>
      </c>
      <c r="H82" s="136"/>
      <c r="I82" s="137">
        <f t="shared" ref="I82" si="274">G82+H82+K81</f>
        <v>-2.8572000001503284E-5</v>
      </c>
      <c r="J82" s="138"/>
      <c r="K82" s="146">
        <f t="shared" si="2"/>
        <v>-2.8572000001503284E-5</v>
      </c>
      <c r="L82" s="148">
        <f t="shared" si="4"/>
        <v>0</v>
      </c>
      <c r="M82" s="621">
        <v>43538</v>
      </c>
      <c r="N82" s="73"/>
      <c r="O82" s="73"/>
      <c r="P82" s="73"/>
      <c r="Q82" s="642"/>
      <c r="R82" s="642"/>
      <c r="S82" s="928"/>
      <c r="T82" s="928"/>
    </row>
    <row r="83" spans="1:20" ht="15" customHeight="1" thickBot="1">
      <c r="A83" s="49">
        <v>65</v>
      </c>
      <c r="B83" s="118">
        <f t="shared" ref="B83" si="275">+B81+$B$19</f>
        <v>33</v>
      </c>
      <c r="C83" s="244" t="s">
        <v>99</v>
      </c>
      <c r="D83" s="246" t="s">
        <v>35</v>
      </c>
      <c r="E83" s="247" t="s">
        <v>140</v>
      </c>
      <c r="F83" s="247">
        <v>960311</v>
      </c>
      <c r="G83" s="248">
        <v>8.6507857139999995</v>
      </c>
      <c r="H83" s="221">
        <v>-13.627000000000001</v>
      </c>
      <c r="I83" s="69">
        <f t="shared" ref="I83" si="276">G83+H83</f>
        <v>-4.9762142860000012</v>
      </c>
      <c r="J83" s="70"/>
      <c r="K83" s="145">
        <f t="shared" si="2"/>
        <v>-4.9762142860000012</v>
      </c>
      <c r="L83" s="147">
        <f t="shared" si="4"/>
        <v>0</v>
      </c>
      <c r="M83" s="621">
        <v>43538</v>
      </c>
      <c r="N83" s="71">
        <f t="shared" ref="N83:O83" si="277">G83+G84</f>
        <v>13.626971427999999</v>
      </c>
      <c r="O83" s="72">
        <f t="shared" si="277"/>
        <v>-13.627000000000001</v>
      </c>
      <c r="P83" s="71">
        <f t="shared" ref="P83" si="278">N83+O83</f>
        <v>-2.8572000001503284E-5</v>
      </c>
      <c r="Q83" s="640">
        <f t="shared" ref="Q83" si="279">J83+J84</f>
        <v>0</v>
      </c>
      <c r="R83" s="641">
        <f t="shared" ref="R83" si="280">P83-Q83</f>
        <v>-2.8572000001503284E-5</v>
      </c>
      <c r="S83" s="927">
        <f t="shared" ref="S83" si="281">Q83/P83</f>
        <v>0</v>
      </c>
      <c r="T83" s="927">
        <f t="shared" si="47"/>
        <v>1.0000020967241439</v>
      </c>
    </row>
    <row r="84" spans="1:20" ht="15" customHeight="1" thickBot="1">
      <c r="A84" s="49">
        <v>66</v>
      </c>
      <c r="B84" s="118">
        <f t="shared" ref="B84" si="282">+B82+$B$20</f>
        <v>33</v>
      </c>
      <c r="C84" s="245" t="s">
        <v>99</v>
      </c>
      <c r="D84" s="249" t="s">
        <v>95</v>
      </c>
      <c r="E84" s="250" t="s">
        <v>140</v>
      </c>
      <c r="F84" s="250">
        <v>960311</v>
      </c>
      <c r="G84" s="251">
        <v>4.9761857139999996</v>
      </c>
      <c r="H84" s="136"/>
      <c r="I84" s="137">
        <f t="shared" ref="I84" si="283">G84+H84+K83</f>
        <v>-2.8572000001503284E-5</v>
      </c>
      <c r="J84" s="138"/>
      <c r="K84" s="146">
        <f t="shared" si="2"/>
        <v>-2.8572000001503284E-5</v>
      </c>
      <c r="L84" s="148">
        <f t="shared" si="4"/>
        <v>0</v>
      </c>
      <c r="M84" s="621">
        <v>43538</v>
      </c>
      <c r="N84" s="73"/>
      <c r="O84" s="73"/>
      <c r="P84" s="73"/>
      <c r="Q84" s="642"/>
      <c r="R84" s="642"/>
      <c r="S84" s="928"/>
      <c r="T84" s="928"/>
    </row>
    <row r="85" spans="1:20" ht="15" customHeight="1" thickBot="1">
      <c r="A85" s="49">
        <v>67</v>
      </c>
      <c r="B85" s="118">
        <f t="shared" ref="B85" si="284">+B83+$B$19</f>
        <v>34</v>
      </c>
      <c r="C85" s="244" t="s">
        <v>99</v>
      </c>
      <c r="D85" s="246" t="s">
        <v>35</v>
      </c>
      <c r="E85" s="247" t="s">
        <v>141</v>
      </c>
      <c r="F85" s="247">
        <v>961110</v>
      </c>
      <c r="G85" s="248">
        <v>8.6507857139999995</v>
      </c>
      <c r="H85" s="221">
        <v>-13.627000000000001</v>
      </c>
      <c r="I85" s="69">
        <f t="shared" ref="I85" si="285">G85+H85</f>
        <v>-4.9762142860000012</v>
      </c>
      <c r="J85" s="70"/>
      <c r="K85" s="145">
        <f t="shared" si="2"/>
        <v>-4.9762142860000012</v>
      </c>
      <c r="L85" s="147">
        <f t="shared" si="4"/>
        <v>0</v>
      </c>
      <c r="M85" s="621">
        <v>43538</v>
      </c>
      <c r="N85" s="71">
        <f t="shared" ref="N85:O85" si="286">G85+G86</f>
        <v>13.626971427999999</v>
      </c>
      <c r="O85" s="72">
        <f t="shared" si="286"/>
        <v>-13.627000000000001</v>
      </c>
      <c r="P85" s="71">
        <f t="shared" ref="P85" si="287">N85+O85</f>
        <v>-2.8572000001503284E-5</v>
      </c>
      <c r="Q85" s="640">
        <f t="shared" ref="Q85" si="288">J85+J86</f>
        <v>0</v>
      </c>
      <c r="R85" s="641">
        <f t="shared" ref="R85" si="289">P85-Q85</f>
        <v>-2.8572000001503284E-5</v>
      </c>
      <c r="S85" s="927">
        <f t="shared" ref="S85" si="290">Q85/P85</f>
        <v>0</v>
      </c>
      <c r="T85" s="927">
        <f t="shared" si="47"/>
        <v>1.0000020967241439</v>
      </c>
    </row>
    <row r="86" spans="1:20" ht="15" customHeight="1" thickBot="1">
      <c r="A86" s="49">
        <v>68</v>
      </c>
      <c r="B86" s="118">
        <f t="shared" ref="B86" si="291">+B84+$B$20</f>
        <v>34</v>
      </c>
      <c r="C86" s="245" t="s">
        <v>99</v>
      </c>
      <c r="D86" s="249" t="s">
        <v>95</v>
      </c>
      <c r="E86" s="250" t="s">
        <v>141</v>
      </c>
      <c r="F86" s="250">
        <v>961110</v>
      </c>
      <c r="G86" s="251">
        <v>4.9761857139999996</v>
      </c>
      <c r="H86" s="136"/>
      <c r="I86" s="137">
        <f t="shared" ref="I86" si="292">G86+H86+K85</f>
        <v>-2.8572000001503284E-5</v>
      </c>
      <c r="J86" s="138"/>
      <c r="K86" s="146">
        <f t="shared" ref="K86:K149" si="293">I86-J86</f>
        <v>-2.8572000001503284E-5</v>
      </c>
      <c r="L86" s="148">
        <f t="shared" si="4"/>
        <v>0</v>
      </c>
      <c r="M86" s="621">
        <v>43538</v>
      </c>
      <c r="N86" s="73"/>
      <c r="O86" s="73"/>
      <c r="P86" s="73"/>
      <c r="Q86" s="642"/>
      <c r="R86" s="642"/>
      <c r="S86" s="928"/>
      <c r="T86" s="928"/>
    </row>
    <row r="87" spans="1:20" ht="15" customHeight="1" thickBot="1">
      <c r="A87" s="49">
        <v>69</v>
      </c>
      <c r="B87" s="118">
        <f t="shared" ref="B87" si="294">+B85+$B$19</f>
        <v>35</v>
      </c>
      <c r="C87" s="244" t="s">
        <v>99</v>
      </c>
      <c r="D87" s="246" t="s">
        <v>35</v>
      </c>
      <c r="E87" s="247" t="s">
        <v>142</v>
      </c>
      <c r="F87" s="247">
        <v>15614</v>
      </c>
      <c r="G87" s="248">
        <v>8.6507857139999995</v>
      </c>
      <c r="H87" s="221">
        <v>-13.627000000000001</v>
      </c>
      <c r="I87" s="69">
        <f t="shared" ref="I87" si="295">G87+H87</f>
        <v>-4.9762142860000012</v>
      </c>
      <c r="J87" s="70"/>
      <c r="K87" s="145">
        <f t="shared" si="293"/>
        <v>-4.9762142860000012</v>
      </c>
      <c r="L87" s="147">
        <f t="shared" ref="L87:L150" si="296">J87/I87</f>
        <v>0</v>
      </c>
      <c r="M87" s="621">
        <v>43538</v>
      </c>
      <c r="N87" s="71">
        <f t="shared" ref="N87:O87" si="297">G87+G88</f>
        <v>13.626971427999999</v>
      </c>
      <c r="O87" s="72">
        <f t="shared" si="297"/>
        <v>-13.627000000000001</v>
      </c>
      <c r="P87" s="71">
        <f t="shared" ref="P87" si="298">N87+O87</f>
        <v>-2.8572000001503284E-5</v>
      </c>
      <c r="Q87" s="640">
        <f t="shared" ref="Q87" si="299">J87+J88</f>
        <v>0</v>
      </c>
      <c r="R87" s="641">
        <f t="shared" ref="R87" si="300">P87-Q87</f>
        <v>-2.8572000001503284E-5</v>
      </c>
      <c r="S87" s="927">
        <f t="shared" ref="S87" si="301">Q87/P87</f>
        <v>0</v>
      </c>
      <c r="T87" s="927">
        <f t="shared" si="47"/>
        <v>1.0000020967241439</v>
      </c>
    </row>
    <row r="88" spans="1:20" ht="15" customHeight="1" thickBot="1">
      <c r="A88" s="49">
        <v>70</v>
      </c>
      <c r="B88" s="118">
        <f t="shared" ref="B88" si="302">+B86+$B$20</f>
        <v>35</v>
      </c>
      <c r="C88" s="245" t="s">
        <v>99</v>
      </c>
      <c r="D88" s="249" t="s">
        <v>95</v>
      </c>
      <c r="E88" s="250" t="s">
        <v>142</v>
      </c>
      <c r="F88" s="250">
        <v>15614</v>
      </c>
      <c r="G88" s="251">
        <v>4.9761857139999996</v>
      </c>
      <c r="H88" s="136"/>
      <c r="I88" s="137">
        <f t="shared" ref="I88" si="303">G88+H88+K87</f>
        <v>-2.8572000001503284E-5</v>
      </c>
      <c r="J88" s="138"/>
      <c r="K88" s="146">
        <f t="shared" si="293"/>
        <v>-2.8572000001503284E-5</v>
      </c>
      <c r="L88" s="148">
        <f t="shared" si="296"/>
        <v>0</v>
      </c>
      <c r="M88" s="621">
        <v>43538</v>
      </c>
      <c r="N88" s="73"/>
      <c r="O88" s="73"/>
      <c r="P88" s="73"/>
      <c r="Q88" s="642"/>
      <c r="R88" s="642"/>
      <c r="S88" s="928"/>
      <c r="T88" s="928"/>
    </row>
    <row r="89" spans="1:20" ht="15" customHeight="1" thickBot="1">
      <c r="A89" s="49">
        <v>71</v>
      </c>
      <c r="B89" s="118">
        <f t="shared" ref="B89" si="304">+B87+$B$19</f>
        <v>36</v>
      </c>
      <c r="C89" s="244" t="s">
        <v>99</v>
      </c>
      <c r="D89" s="246" t="s">
        <v>35</v>
      </c>
      <c r="E89" s="247" t="s">
        <v>143</v>
      </c>
      <c r="F89" s="247">
        <v>966253</v>
      </c>
      <c r="G89" s="248">
        <v>8.6507857139999995</v>
      </c>
      <c r="H89" s="221">
        <v>-13.627000000000001</v>
      </c>
      <c r="I89" s="69">
        <f t="shared" ref="I89" si="305">G89+H89</f>
        <v>-4.9762142860000012</v>
      </c>
      <c r="J89" s="70"/>
      <c r="K89" s="145">
        <f t="shared" si="293"/>
        <v>-4.9762142860000012</v>
      </c>
      <c r="L89" s="147">
        <f t="shared" si="296"/>
        <v>0</v>
      </c>
      <c r="M89" s="621">
        <v>43538</v>
      </c>
      <c r="N89" s="71">
        <f t="shared" ref="N89:O89" si="306">G89+G90</f>
        <v>13.626971427999999</v>
      </c>
      <c r="O89" s="72">
        <f t="shared" si="306"/>
        <v>-13.627000000000001</v>
      </c>
      <c r="P89" s="71">
        <f t="shared" ref="P89" si="307">N89+O89</f>
        <v>-2.8572000001503284E-5</v>
      </c>
      <c r="Q89" s="640">
        <f t="shared" ref="Q89" si="308">J89+J90</f>
        <v>0</v>
      </c>
      <c r="R89" s="641">
        <f t="shared" ref="R89" si="309">P89-Q89</f>
        <v>-2.8572000001503284E-5</v>
      </c>
      <c r="S89" s="927">
        <f t="shared" ref="S89" si="310">Q89/P89</f>
        <v>0</v>
      </c>
      <c r="T89" s="927">
        <f t="shared" si="47"/>
        <v>1.0000020967241439</v>
      </c>
    </row>
    <row r="90" spans="1:20" ht="15" customHeight="1" thickBot="1">
      <c r="A90" s="49">
        <v>72</v>
      </c>
      <c r="B90" s="118">
        <f t="shared" ref="B90" si="311">+B88+$B$20</f>
        <v>36</v>
      </c>
      <c r="C90" s="245" t="s">
        <v>99</v>
      </c>
      <c r="D90" s="249" t="s">
        <v>95</v>
      </c>
      <c r="E90" s="250" t="s">
        <v>143</v>
      </c>
      <c r="F90" s="250">
        <v>966253</v>
      </c>
      <c r="G90" s="251">
        <v>4.9761857139999996</v>
      </c>
      <c r="H90" s="136"/>
      <c r="I90" s="137">
        <f t="shared" ref="I90" si="312">G90+H90+K89</f>
        <v>-2.8572000001503284E-5</v>
      </c>
      <c r="J90" s="138"/>
      <c r="K90" s="146">
        <f t="shared" si="293"/>
        <v>-2.8572000001503284E-5</v>
      </c>
      <c r="L90" s="148">
        <f t="shared" si="296"/>
        <v>0</v>
      </c>
      <c r="M90" s="621">
        <v>43538</v>
      </c>
      <c r="N90" s="73"/>
      <c r="O90" s="73"/>
      <c r="P90" s="73"/>
      <c r="Q90" s="642"/>
      <c r="R90" s="642"/>
      <c r="S90" s="928"/>
      <c r="T90" s="928"/>
    </row>
    <row r="91" spans="1:20" ht="15" customHeight="1" thickBot="1">
      <c r="A91" s="49">
        <v>73</v>
      </c>
      <c r="B91" s="118">
        <f t="shared" ref="B91" si="313">+B89+$B$19</f>
        <v>37</v>
      </c>
      <c r="C91" s="244" t="s">
        <v>99</v>
      </c>
      <c r="D91" s="246" t="s">
        <v>35</v>
      </c>
      <c r="E91" s="247" t="s">
        <v>144</v>
      </c>
      <c r="F91" s="247">
        <v>955409</v>
      </c>
      <c r="G91" s="248">
        <v>8.6507857139999995</v>
      </c>
      <c r="H91" s="221">
        <v>-13.627000000000001</v>
      </c>
      <c r="I91" s="69">
        <f t="shared" ref="I91" si="314">G91+H91</f>
        <v>-4.9762142860000012</v>
      </c>
      <c r="J91" s="70"/>
      <c r="K91" s="145">
        <f t="shared" si="293"/>
        <v>-4.9762142860000012</v>
      </c>
      <c r="L91" s="147">
        <f t="shared" si="296"/>
        <v>0</v>
      </c>
      <c r="M91" s="621">
        <v>43538</v>
      </c>
      <c r="N91" s="71">
        <f t="shared" ref="N91:O91" si="315">G91+G92</f>
        <v>13.626971427999999</v>
      </c>
      <c r="O91" s="72">
        <f t="shared" si="315"/>
        <v>-13.627000000000001</v>
      </c>
      <c r="P91" s="71">
        <f t="shared" ref="P91" si="316">N91+O91</f>
        <v>-2.8572000001503284E-5</v>
      </c>
      <c r="Q91" s="640">
        <f t="shared" ref="Q91" si="317">J91+J92</f>
        <v>0</v>
      </c>
      <c r="R91" s="641">
        <f t="shared" ref="R91" si="318">P91-Q91</f>
        <v>-2.8572000001503284E-5</v>
      </c>
      <c r="S91" s="927">
        <f t="shared" ref="S91" si="319">Q91/P91</f>
        <v>0</v>
      </c>
      <c r="T91" s="927">
        <f t="shared" si="47"/>
        <v>1.0000020967241439</v>
      </c>
    </row>
    <row r="92" spans="1:20" ht="15" customHeight="1" thickBot="1">
      <c r="A92" s="49">
        <v>74</v>
      </c>
      <c r="B92" s="118">
        <f t="shared" ref="B92" si="320">+B90+$B$20</f>
        <v>37</v>
      </c>
      <c r="C92" s="245" t="s">
        <v>99</v>
      </c>
      <c r="D92" s="249" t="s">
        <v>95</v>
      </c>
      <c r="E92" s="250" t="s">
        <v>144</v>
      </c>
      <c r="F92" s="250">
        <v>955409</v>
      </c>
      <c r="G92" s="251">
        <v>4.9761857139999996</v>
      </c>
      <c r="H92" s="136"/>
      <c r="I92" s="137">
        <f t="shared" ref="I92" si="321">G92+H92+K91</f>
        <v>-2.8572000001503284E-5</v>
      </c>
      <c r="J92" s="138"/>
      <c r="K92" s="146">
        <f t="shared" si="293"/>
        <v>-2.8572000001503284E-5</v>
      </c>
      <c r="L92" s="148">
        <f t="shared" si="296"/>
        <v>0</v>
      </c>
      <c r="M92" s="621">
        <v>43538</v>
      </c>
      <c r="N92" s="73"/>
      <c r="O92" s="73"/>
      <c r="P92" s="73"/>
      <c r="Q92" s="642"/>
      <c r="R92" s="642"/>
      <c r="S92" s="928"/>
      <c r="T92" s="928"/>
    </row>
    <row r="93" spans="1:20" ht="15" customHeight="1" thickBot="1">
      <c r="A93" s="49">
        <v>75</v>
      </c>
      <c r="B93" s="118">
        <f t="shared" ref="B93" si="322">+B91+$B$19</f>
        <v>38</v>
      </c>
      <c r="C93" s="244" t="s">
        <v>99</v>
      </c>
      <c r="D93" s="246" t="s">
        <v>35</v>
      </c>
      <c r="E93" s="247" t="s">
        <v>145</v>
      </c>
      <c r="F93" s="247">
        <v>963882</v>
      </c>
      <c r="G93" s="248">
        <v>8.6507857139999995</v>
      </c>
      <c r="H93" s="221">
        <v>-13.627000000000001</v>
      </c>
      <c r="I93" s="69">
        <f t="shared" ref="I93" si="323">G93+H93</f>
        <v>-4.9762142860000012</v>
      </c>
      <c r="J93" s="70"/>
      <c r="K93" s="145">
        <f t="shared" si="293"/>
        <v>-4.9762142860000012</v>
      </c>
      <c r="L93" s="147">
        <f t="shared" si="296"/>
        <v>0</v>
      </c>
      <c r="M93" s="621">
        <v>43538</v>
      </c>
      <c r="N93" s="71">
        <f t="shared" ref="N93:O93" si="324">G93+G94</f>
        <v>13.626971427999999</v>
      </c>
      <c r="O93" s="72">
        <f t="shared" si="324"/>
        <v>-13.627000000000001</v>
      </c>
      <c r="P93" s="71">
        <f t="shared" ref="P93" si="325">N93+O93</f>
        <v>-2.8572000001503284E-5</v>
      </c>
      <c r="Q93" s="640">
        <f t="shared" ref="Q93" si="326">J93+J94</f>
        <v>0</v>
      </c>
      <c r="R93" s="641">
        <f t="shared" ref="R93" si="327">P93-Q93</f>
        <v>-2.8572000001503284E-5</v>
      </c>
      <c r="S93" s="927">
        <f t="shared" ref="S93" si="328">Q93/P93</f>
        <v>0</v>
      </c>
      <c r="T93" s="927">
        <f t="shared" si="47"/>
        <v>1.0000020967241439</v>
      </c>
    </row>
    <row r="94" spans="1:20" ht="15" customHeight="1" thickBot="1">
      <c r="A94" s="49">
        <v>76</v>
      </c>
      <c r="B94" s="118">
        <f t="shared" ref="B94" si="329">+B92+$B$20</f>
        <v>38</v>
      </c>
      <c r="C94" s="245" t="s">
        <v>99</v>
      </c>
      <c r="D94" s="249" t="s">
        <v>95</v>
      </c>
      <c r="E94" s="250" t="s">
        <v>145</v>
      </c>
      <c r="F94" s="250">
        <v>963882</v>
      </c>
      <c r="G94" s="251">
        <v>4.9761857139999996</v>
      </c>
      <c r="H94" s="136"/>
      <c r="I94" s="137">
        <f t="shared" ref="I94" si="330">G94+H94+K93</f>
        <v>-2.8572000001503284E-5</v>
      </c>
      <c r="J94" s="138"/>
      <c r="K94" s="146">
        <f t="shared" si="293"/>
        <v>-2.8572000001503284E-5</v>
      </c>
      <c r="L94" s="148">
        <f t="shared" si="296"/>
        <v>0</v>
      </c>
      <c r="M94" s="621">
        <v>43538</v>
      </c>
      <c r="N94" s="73"/>
      <c r="O94" s="73"/>
      <c r="P94" s="73"/>
      <c r="Q94" s="642"/>
      <c r="R94" s="642"/>
      <c r="S94" s="928"/>
      <c r="T94" s="928"/>
    </row>
    <row r="95" spans="1:20" ht="15" customHeight="1" thickBot="1">
      <c r="A95" s="49">
        <v>77</v>
      </c>
      <c r="B95" s="118">
        <f t="shared" ref="B95" si="331">+B93+$B$19</f>
        <v>39</v>
      </c>
      <c r="C95" s="244" t="s">
        <v>99</v>
      </c>
      <c r="D95" s="246" t="s">
        <v>35</v>
      </c>
      <c r="E95" s="247" t="s">
        <v>146</v>
      </c>
      <c r="F95" s="247">
        <v>920062</v>
      </c>
      <c r="G95" s="248">
        <v>8.6507857139999995</v>
      </c>
      <c r="H95" s="221">
        <v>-13.627000000000001</v>
      </c>
      <c r="I95" s="69">
        <f t="shared" ref="I95" si="332">G95+H95</f>
        <v>-4.9762142860000012</v>
      </c>
      <c r="J95" s="70"/>
      <c r="K95" s="145">
        <f t="shared" si="293"/>
        <v>-4.9762142860000012</v>
      </c>
      <c r="L95" s="147">
        <f t="shared" si="296"/>
        <v>0</v>
      </c>
      <c r="M95" s="621">
        <v>43538</v>
      </c>
      <c r="N95" s="71">
        <f t="shared" ref="N95:O95" si="333">G95+G96</f>
        <v>13.626971427999999</v>
      </c>
      <c r="O95" s="72">
        <f t="shared" si="333"/>
        <v>-13.627000000000001</v>
      </c>
      <c r="P95" s="71">
        <f t="shared" ref="P95" si="334">N95+O95</f>
        <v>-2.8572000001503284E-5</v>
      </c>
      <c r="Q95" s="640">
        <f t="shared" ref="Q95" si="335">J95+J96</f>
        <v>0</v>
      </c>
      <c r="R95" s="641">
        <f t="shared" ref="R95" si="336">P95-Q95</f>
        <v>-2.8572000001503284E-5</v>
      </c>
      <c r="S95" s="927">
        <f t="shared" ref="S95" si="337">Q95/P95</f>
        <v>0</v>
      </c>
      <c r="T95" s="927">
        <f t="shared" ref="T95:T97" si="338">((Q95+O95)/N95)*-1</f>
        <v>1.0000020967241439</v>
      </c>
    </row>
    <row r="96" spans="1:20" ht="15" customHeight="1" thickBot="1">
      <c r="A96" s="49">
        <v>78</v>
      </c>
      <c r="B96" s="118">
        <f t="shared" ref="B96" si="339">+B94+$B$20</f>
        <v>39</v>
      </c>
      <c r="C96" s="245" t="s">
        <v>99</v>
      </c>
      <c r="D96" s="249" t="s">
        <v>95</v>
      </c>
      <c r="E96" s="250" t="s">
        <v>146</v>
      </c>
      <c r="F96" s="250">
        <v>920062</v>
      </c>
      <c r="G96" s="251">
        <v>4.9761857139999996</v>
      </c>
      <c r="H96" s="136"/>
      <c r="I96" s="137">
        <f t="shared" ref="I96" si="340">G96+H96+K95</f>
        <v>-2.8572000001503284E-5</v>
      </c>
      <c r="J96" s="138"/>
      <c r="K96" s="146">
        <f t="shared" si="293"/>
        <v>-2.8572000001503284E-5</v>
      </c>
      <c r="L96" s="148">
        <f t="shared" si="296"/>
        <v>0</v>
      </c>
      <c r="M96" s="621">
        <v>43538</v>
      </c>
      <c r="N96" s="73"/>
      <c r="O96" s="73"/>
      <c r="P96" s="73"/>
      <c r="Q96" s="642"/>
      <c r="R96" s="642"/>
      <c r="S96" s="928"/>
      <c r="T96" s="928"/>
    </row>
    <row r="97" spans="1:21" ht="15" customHeight="1" thickBot="1">
      <c r="A97" s="49">
        <v>79</v>
      </c>
      <c r="B97" s="118">
        <f t="shared" ref="B97" si="341">+B95+$B$19</f>
        <v>40</v>
      </c>
      <c r="C97" s="244" t="s">
        <v>99</v>
      </c>
      <c r="D97" s="246" t="s">
        <v>35</v>
      </c>
      <c r="E97" s="247" t="s">
        <v>147</v>
      </c>
      <c r="F97" s="247">
        <v>922418</v>
      </c>
      <c r="G97" s="248">
        <v>8.6507857139999995</v>
      </c>
      <c r="H97" s="221">
        <v>-13.627000000000001</v>
      </c>
      <c r="I97" s="69">
        <f t="shared" ref="I97" si="342">G97+H97</f>
        <v>-4.9762142860000012</v>
      </c>
      <c r="J97" s="70"/>
      <c r="K97" s="145">
        <f t="shared" si="293"/>
        <v>-4.9762142860000012</v>
      </c>
      <c r="L97" s="147">
        <f t="shared" si="296"/>
        <v>0</v>
      </c>
      <c r="M97" s="621">
        <v>43538</v>
      </c>
      <c r="N97" s="71">
        <f t="shared" ref="N97:O97" si="343">G97+G98</f>
        <v>13.626971427999999</v>
      </c>
      <c r="O97" s="72">
        <f t="shared" si="343"/>
        <v>-13.627000000000001</v>
      </c>
      <c r="P97" s="71">
        <f t="shared" ref="P97" si="344">N97+O97</f>
        <v>-2.8572000001503284E-5</v>
      </c>
      <c r="Q97" s="640">
        <f t="shared" ref="Q97" si="345">J97+J98</f>
        <v>0</v>
      </c>
      <c r="R97" s="641">
        <f t="shared" ref="R97" si="346">P97-Q97</f>
        <v>-2.8572000001503284E-5</v>
      </c>
      <c r="S97" s="927">
        <f t="shared" ref="S97" si="347">Q97/P97</f>
        <v>0</v>
      </c>
      <c r="T97" s="927">
        <f t="shared" si="338"/>
        <v>1.0000020967241439</v>
      </c>
    </row>
    <row r="98" spans="1:21" ht="15" customHeight="1" thickBot="1">
      <c r="A98" s="49">
        <v>80</v>
      </c>
      <c r="B98" s="118">
        <f t="shared" ref="B98" si="348">+B96+$B$20</f>
        <v>40</v>
      </c>
      <c r="C98" s="245" t="s">
        <v>99</v>
      </c>
      <c r="D98" s="249" t="s">
        <v>95</v>
      </c>
      <c r="E98" s="250" t="s">
        <v>147</v>
      </c>
      <c r="F98" s="250">
        <v>922418</v>
      </c>
      <c r="G98" s="251">
        <v>4.9761857139999996</v>
      </c>
      <c r="H98" s="136"/>
      <c r="I98" s="137">
        <f t="shared" ref="I98" si="349">G98+H98+K97</f>
        <v>-2.8572000001503284E-5</v>
      </c>
      <c r="J98" s="138"/>
      <c r="K98" s="146">
        <f t="shared" si="293"/>
        <v>-2.8572000001503284E-5</v>
      </c>
      <c r="L98" s="148">
        <f t="shared" si="296"/>
        <v>0</v>
      </c>
      <c r="M98" s="621">
        <v>43538</v>
      </c>
      <c r="N98" s="73"/>
      <c r="O98" s="73"/>
      <c r="P98" s="73"/>
      <c r="Q98" s="642"/>
      <c r="R98" s="642"/>
      <c r="S98" s="928"/>
      <c r="T98" s="928"/>
    </row>
    <row r="99" spans="1:21" ht="15" customHeight="1" thickBot="1">
      <c r="A99" s="49">
        <v>81</v>
      </c>
      <c r="B99" s="118">
        <f t="shared" ref="B99" si="350">+B97+$B$19</f>
        <v>41</v>
      </c>
      <c r="C99" s="244" t="s">
        <v>99</v>
      </c>
      <c r="D99" s="246" t="s">
        <v>35</v>
      </c>
      <c r="E99" s="247" t="s">
        <v>148</v>
      </c>
      <c r="F99" s="247">
        <v>964568</v>
      </c>
      <c r="G99" s="248">
        <v>8.6507857139999995</v>
      </c>
      <c r="H99" s="221">
        <v>-13.627000000000001</v>
      </c>
      <c r="I99" s="69">
        <f t="shared" ref="I99" si="351">G99+H99</f>
        <v>-4.9762142860000012</v>
      </c>
      <c r="J99" s="70"/>
      <c r="K99" s="145">
        <f t="shared" si="293"/>
        <v>-4.9762142860000012</v>
      </c>
      <c r="L99" s="147">
        <f t="shared" si="296"/>
        <v>0</v>
      </c>
      <c r="M99" s="621">
        <v>43538</v>
      </c>
      <c r="N99" s="71">
        <f t="shared" ref="N99:O99" si="352">G99+G100</f>
        <v>13.626971427999999</v>
      </c>
      <c r="O99" s="72">
        <f t="shared" si="352"/>
        <v>-13.627000000000001</v>
      </c>
      <c r="P99" s="71">
        <f t="shared" ref="P99" si="353">N99+O99</f>
        <v>-2.8572000001503284E-5</v>
      </c>
      <c r="Q99" s="640">
        <f t="shared" ref="Q99" si="354">J99+J100</f>
        <v>0</v>
      </c>
      <c r="R99" s="641">
        <f t="shared" ref="R99" si="355">P99-Q99</f>
        <v>-2.8572000001503284E-5</v>
      </c>
      <c r="S99" s="927">
        <f t="shared" ref="S99" si="356">Q99/P99</f>
        <v>0</v>
      </c>
      <c r="T99" s="927">
        <f t="shared" ref="T99:T125" si="357">((Q99+O99)/N99)*-1</f>
        <v>1.0000020967241439</v>
      </c>
    </row>
    <row r="100" spans="1:21" ht="15" customHeight="1" thickBot="1">
      <c r="A100" s="49">
        <v>82</v>
      </c>
      <c r="B100" s="118">
        <f t="shared" ref="B100" si="358">+B98+$B$20</f>
        <v>41</v>
      </c>
      <c r="C100" s="245" t="s">
        <v>99</v>
      </c>
      <c r="D100" s="249" t="s">
        <v>95</v>
      </c>
      <c r="E100" s="250" t="s">
        <v>148</v>
      </c>
      <c r="F100" s="250">
        <v>964568</v>
      </c>
      <c r="G100" s="251">
        <v>4.9761857139999996</v>
      </c>
      <c r="H100" s="136"/>
      <c r="I100" s="137">
        <f t="shared" ref="I100" si="359">G100+H100+K99</f>
        <v>-2.8572000001503284E-5</v>
      </c>
      <c r="J100" s="138"/>
      <c r="K100" s="146">
        <f t="shared" si="293"/>
        <v>-2.8572000001503284E-5</v>
      </c>
      <c r="L100" s="148">
        <f t="shared" si="296"/>
        <v>0</v>
      </c>
      <c r="M100" s="621">
        <v>43538</v>
      </c>
      <c r="N100" s="73"/>
      <c r="O100" s="73"/>
      <c r="P100" s="73"/>
      <c r="Q100" s="642"/>
      <c r="R100" s="642"/>
      <c r="S100" s="928"/>
      <c r="T100" s="928"/>
    </row>
    <row r="101" spans="1:21" ht="15" customHeight="1" thickBot="1">
      <c r="A101" s="49">
        <v>83</v>
      </c>
      <c r="B101" s="118">
        <f t="shared" ref="B101" si="360">+B99+$B$19</f>
        <v>42</v>
      </c>
      <c r="C101" s="244" t="s">
        <v>99</v>
      </c>
      <c r="D101" s="246" t="s">
        <v>35</v>
      </c>
      <c r="E101" s="247" t="s">
        <v>149</v>
      </c>
      <c r="F101" s="247">
        <v>966191</v>
      </c>
      <c r="G101" s="248">
        <v>8.6507857139999995</v>
      </c>
      <c r="H101" s="221">
        <v>-13.627000000000001</v>
      </c>
      <c r="I101" s="69">
        <f t="shared" ref="I101" si="361">G101+H101</f>
        <v>-4.9762142860000012</v>
      </c>
      <c r="J101" s="70"/>
      <c r="K101" s="145">
        <f t="shared" si="293"/>
        <v>-4.9762142860000012</v>
      </c>
      <c r="L101" s="147">
        <f t="shared" si="296"/>
        <v>0</v>
      </c>
      <c r="M101" s="621">
        <v>43538</v>
      </c>
      <c r="N101" s="71">
        <f t="shared" ref="N101:O101" si="362">G101+G102</f>
        <v>13.626971427999999</v>
      </c>
      <c r="O101" s="72">
        <f t="shared" si="362"/>
        <v>-13.627000000000001</v>
      </c>
      <c r="P101" s="71">
        <f t="shared" ref="P101" si="363">N101+O101</f>
        <v>-2.8572000001503284E-5</v>
      </c>
      <c r="Q101" s="640">
        <f t="shared" ref="Q101" si="364">J101+J102</f>
        <v>0</v>
      </c>
      <c r="R101" s="641">
        <f t="shared" ref="R101" si="365">P101-Q101</f>
        <v>-2.8572000001503284E-5</v>
      </c>
      <c r="S101" s="927">
        <f t="shared" ref="S101" si="366">Q101/P101</f>
        <v>0</v>
      </c>
      <c r="T101" s="927">
        <f t="shared" si="357"/>
        <v>1.0000020967241439</v>
      </c>
    </row>
    <row r="102" spans="1:21" ht="15" customHeight="1" thickBot="1">
      <c r="A102" s="49">
        <v>84</v>
      </c>
      <c r="B102" s="118">
        <f t="shared" ref="B102" si="367">+B100+$B$20</f>
        <v>42</v>
      </c>
      <c r="C102" s="245" t="s">
        <v>99</v>
      </c>
      <c r="D102" s="249" t="s">
        <v>95</v>
      </c>
      <c r="E102" s="250" t="s">
        <v>149</v>
      </c>
      <c r="F102" s="250">
        <v>966191</v>
      </c>
      <c r="G102" s="251">
        <v>4.9761857139999996</v>
      </c>
      <c r="H102" s="136"/>
      <c r="I102" s="137">
        <f t="shared" ref="I102" si="368">G102+H102+K101</f>
        <v>-2.8572000001503284E-5</v>
      </c>
      <c r="J102" s="138"/>
      <c r="K102" s="146">
        <f t="shared" si="293"/>
        <v>-2.8572000001503284E-5</v>
      </c>
      <c r="L102" s="148">
        <f t="shared" si="296"/>
        <v>0</v>
      </c>
      <c r="M102" s="621">
        <v>43538</v>
      </c>
      <c r="N102" s="73"/>
      <c r="O102" s="73"/>
      <c r="P102" s="73"/>
      <c r="Q102" s="642"/>
      <c r="R102" s="642"/>
      <c r="S102" s="928"/>
      <c r="T102" s="928"/>
    </row>
    <row r="103" spans="1:21" ht="15" customHeight="1" thickBot="1">
      <c r="A103" s="49">
        <v>85</v>
      </c>
      <c r="B103" s="118">
        <f t="shared" ref="B103" si="369">+B101+$B$19</f>
        <v>43</v>
      </c>
      <c r="C103" s="244" t="s">
        <v>99</v>
      </c>
      <c r="D103" s="246" t="s">
        <v>35</v>
      </c>
      <c r="E103" s="247" t="s">
        <v>150</v>
      </c>
      <c r="F103" s="247">
        <v>15641</v>
      </c>
      <c r="G103" s="248">
        <v>8.6507857139999995</v>
      </c>
      <c r="H103" s="221">
        <v>-13.627000000000001</v>
      </c>
      <c r="I103" s="69">
        <f t="shared" ref="I103" si="370">G103+H103</f>
        <v>-4.9762142860000012</v>
      </c>
      <c r="J103" s="70"/>
      <c r="K103" s="145">
        <f t="shared" si="293"/>
        <v>-4.9762142860000012</v>
      </c>
      <c r="L103" s="147">
        <f t="shared" si="296"/>
        <v>0</v>
      </c>
      <c r="M103" s="621">
        <v>43538</v>
      </c>
      <c r="N103" s="71">
        <f t="shared" ref="N103:O103" si="371">G103+G104</f>
        <v>13.626971427999999</v>
      </c>
      <c r="O103" s="72">
        <f t="shared" si="371"/>
        <v>-13.627000000000001</v>
      </c>
      <c r="P103" s="71">
        <f t="shared" ref="P103" si="372">N103+O103</f>
        <v>-2.8572000001503284E-5</v>
      </c>
      <c r="Q103" s="640">
        <f t="shared" ref="Q103" si="373">J103+J104</f>
        <v>0</v>
      </c>
      <c r="R103" s="641">
        <f t="shared" ref="R103" si="374">P103-Q103</f>
        <v>-2.8572000001503284E-5</v>
      </c>
      <c r="S103" s="927">
        <f t="shared" ref="S103" si="375">Q103/P103</f>
        <v>0</v>
      </c>
      <c r="T103" s="927">
        <f t="shared" si="357"/>
        <v>1.0000020967241439</v>
      </c>
    </row>
    <row r="104" spans="1:21" ht="15" customHeight="1" thickBot="1">
      <c r="A104" s="49">
        <v>86</v>
      </c>
      <c r="B104" s="118">
        <f t="shared" ref="B104" si="376">+B102+$B$20</f>
        <v>43</v>
      </c>
      <c r="C104" s="245" t="s">
        <v>99</v>
      </c>
      <c r="D104" s="249" t="s">
        <v>95</v>
      </c>
      <c r="E104" s="250" t="s">
        <v>150</v>
      </c>
      <c r="F104" s="250">
        <v>15641</v>
      </c>
      <c r="G104" s="251">
        <v>4.9761857139999996</v>
      </c>
      <c r="H104" s="136"/>
      <c r="I104" s="137">
        <f t="shared" ref="I104" si="377">G104+H104+K103</f>
        <v>-2.8572000001503284E-5</v>
      </c>
      <c r="J104" s="138"/>
      <c r="K104" s="146">
        <f t="shared" si="293"/>
        <v>-2.8572000001503284E-5</v>
      </c>
      <c r="L104" s="148">
        <f t="shared" si="296"/>
        <v>0</v>
      </c>
      <c r="M104" s="621">
        <v>43538</v>
      </c>
      <c r="N104" s="73"/>
      <c r="O104" s="73"/>
      <c r="P104" s="73"/>
      <c r="Q104" s="642"/>
      <c r="R104" s="642"/>
      <c r="S104" s="928"/>
      <c r="T104" s="928"/>
    </row>
    <row r="105" spans="1:21" ht="15" customHeight="1" thickBot="1">
      <c r="A105" s="49">
        <v>87</v>
      </c>
      <c r="B105" s="118">
        <f t="shared" ref="B105" si="378">+B103+$B$19</f>
        <v>44</v>
      </c>
      <c r="C105" s="244" t="s">
        <v>99</v>
      </c>
      <c r="D105" s="246" t="s">
        <v>35</v>
      </c>
      <c r="E105" s="247" t="s">
        <v>151</v>
      </c>
      <c r="F105" s="247">
        <v>950962</v>
      </c>
      <c r="G105" s="248">
        <v>8.6507857139999995</v>
      </c>
      <c r="H105" s="221">
        <v>-13.627000000000001</v>
      </c>
      <c r="I105" s="69">
        <f t="shared" ref="I105" si="379">G105+H105</f>
        <v>-4.9762142860000012</v>
      </c>
      <c r="J105" s="70"/>
      <c r="K105" s="145">
        <f t="shared" si="293"/>
        <v>-4.9762142860000012</v>
      </c>
      <c r="L105" s="147">
        <f t="shared" si="296"/>
        <v>0</v>
      </c>
      <c r="M105" s="621">
        <v>43538</v>
      </c>
      <c r="N105" s="71">
        <f t="shared" ref="N105:O105" si="380">G105+G106</f>
        <v>13.626971427999999</v>
      </c>
      <c r="O105" s="72">
        <f t="shared" si="380"/>
        <v>-13.627000000000001</v>
      </c>
      <c r="P105" s="71">
        <f t="shared" ref="P105" si="381">N105+O105</f>
        <v>-2.8572000001503284E-5</v>
      </c>
      <c r="Q105" s="640">
        <f t="shared" ref="Q105" si="382">J105+J106</f>
        <v>0</v>
      </c>
      <c r="R105" s="641">
        <f t="shared" ref="R105" si="383">P105-Q105</f>
        <v>-2.8572000001503284E-5</v>
      </c>
      <c r="S105" s="927">
        <f t="shared" ref="S105" si="384">Q105/P105</f>
        <v>0</v>
      </c>
      <c r="T105" s="927">
        <f t="shared" si="357"/>
        <v>1.0000020967241439</v>
      </c>
    </row>
    <row r="106" spans="1:21" ht="15" customHeight="1" thickBot="1">
      <c r="A106" s="49">
        <v>88</v>
      </c>
      <c r="B106" s="118">
        <f t="shared" ref="B106" si="385">+B104+$B$20</f>
        <v>44</v>
      </c>
      <c r="C106" s="245" t="s">
        <v>99</v>
      </c>
      <c r="D106" s="249" t="s">
        <v>95</v>
      </c>
      <c r="E106" s="250" t="s">
        <v>151</v>
      </c>
      <c r="F106" s="250">
        <v>950962</v>
      </c>
      <c r="G106" s="251">
        <v>4.9761857139999996</v>
      </c>
      <c r="H106" s="136"/>
      <c r="I106" s="137">
        <f t="shared" ref="I106" si="386">G106+H106+K105</f>
        <v>-2.8572000001503284E-5</v>
      </c>
      <c r="J106" s="138"/>
      <c r="K106" s="146">
        <f t="shared" si="293"/>
        <v>-2.8572000001503284E-5</v>
      </c>
      <c r="L106" s="148">
        <f t="shared" si="296"/>
        <v>0</v>
      </c>
      <c r="M106" s="621">
        <v>43538</v>
      </c>
      <c r="N106" s="73"/>
      <c r="O106" s="73"/>
      <c r="P106" s="73"/>
      <c r="Q106" s="642"/>
      <c r="R106" s="642"/>
      <c r="S106" s="928"/>
      <c r="T106" s="928"/>
    </row>
    <row r="107" spans="1:21" ht="15" customHeight="1" thickBot="1">
      <c r="A107" s="49">
        <v>89</v>
      </c>
      <c r="B107" s="118">
        <f t="shared" ref="B107" si="387">+B105+$B$19</f>
        <v>45</v>
      </c>
      <c r="C107" s="244" t="s">
        <v>99</v>
      </c>
      <c r="D107" s="246" t="s">
        <v>35</v>
      </c>
      <c r="E107" s="247" t="s">
        <v>152</v>
      </c>
      <c r="F107" s="247">
        <v>15642</v>
      </c>
      <c r="G107" s="248">
        <v>8.6507857139999995</v>
      </c>
      <c r="H107" s="221">
        <v>-13.627000000000001</v>
      </c>
      <c r="I107" s="69">
        <f t="shared" ref="I107" si="388">G107+H107</f>
        <v>-4.9762142860000012</v>
      </c>
      <c r="J107" s="70"/>
      <c r="K107" s="145">
        <f t="shared" si="293"/>
        <v>-4.9762142860000012</v>
      </c>
      <c r="L107" s="147">
        <f t="shared" si="296"/>
        <v>0</v>
      </c>
      <c r="M107" s="621">
        <v>43538</v>
      </c>
      <c r="N107" s="71">
        <f t="shared" ref="N107:O107" si="389">G107+G108</f>
        <v>13.626971427999999</v>
      </c>
      <c r="O107" s="72">
        <f t="shared" si="389"/>
        <v>-13.627000000000001</v>
      </c>
      <c r="P107" s="71">
        <f t="shared" ref="P107" si="390">N107+O107</f>
        <v>-2.8572000001503284E-5</v>
      </c>
      <c r="Q107" s="640">
        <f t="shared" ref="Q107" si="391">J107+J108</f>
        <v>0</v>
      </c>
      <c r="R107" s="641">
        <f t="shared" ref="R107" si="392">P107-Q107</f>
        <v>-2.8572000001503284E-5</v>
      </c>
      <c r="S107" s="927">
        <f t="shared" ref="S107" si="393">Q107/P107</f>
        <v>0</v>
      </c>
      <c r="T107" s="927">
        <f t="shared" si="357"/>
        <v>1.0000020967241439</v>
      </c>
    </row>
    <row r="108" spans="1:21" ht="15" customHeight="1" thickBot="1">
      <c r="A108" s="49">
        <v>90</v>
      </c>
      <c r="B108" s="118">
        <f t="shared" ref="B108" si="394">+B106+$B$20</f>
        <v>45</v>
      </c>
      <c r="C108" s="245" t="s">
        <v>99</v>
      </c>
      <c r="D108" s="249" t="s">
        <v>95</v>
      </c>
      <c r="E108" s="250" t="s">
        <v>152</v>
      </c>
      <c r="F108" s="250">
        <v>15642</v>
      </c>
      <c r="G108" s="251">
        <v>4.9761857139999996</v>
      </c>
      <c r="H108" s="136"/>
      <c r="I108" s="137">
        <f t="shared" ref="I108" si="395">G108+H108+K107</f>
        <v>-2.8572000001503284E-5</v>
      </c>
      <c r="J108" s="138"/>
      <c r="K108" s="146">
        <f t="shared" si="293"/>
        <v>-2.8572000001503284E-5</v>
      </c>
      <c r="L108" s="148">
        <f t="shared" si="296"/>
        <v>0</v>
      </c>
      <c r="M108" s="621">
        <v>43538</v>
      </c>
      <c r="N108" s="73"/>
      <c r="O108" s="73"/>
      <c r="P108" s="73"/>
      <c r="Q108" s="642"/>
      <c r="R108" s="642"/>
      <c r="S108" s="928"/>
      <c r="T108" s="928"/>
    </row>
    <row r="109" spans="1:21" ht="15" customHeight="1">
      <c r="A109" s="49">
        <v>91</v>
      </c>
      <c r="B109" s="118">
        <f t="shared" ref="B109" si="396">+B107+$B$19</f>
        <v>46</v>
      </c>
      <c r="C109" s="244" t="s">
        <v>99</v>
      </c>
      <c r="D109" s="246" t="s">
        <v>35</v>
      </c>
      <c r="E109" s="247" t="s">
        <v>153</v>
      </c>
      <c r="F109" s="247">
        <v>967065</v>
      </c>
      <c r="G109" s="248">
        <v>8.6507857139999995</v>
      </c>
      <c r="H109" s="225">
        <v>-11</v>
      </c>
      <c r="I109" s="69">
        <f t="shared" ref="I109" si="397">G109+H109</f>
        <v>-2.3492142860000005</v>
      </c>
      <c r="J109" s="70"/>
      <c r="K109" s="145">
        <f t="shared" si="293"/>
        <v>-2.3492142860000005</v>
      </c>
      <c r="L109" s="147">
        <f t="shared" si="296"/>
        <v>0</v>
      </c>
      <c r="M109" s="622">
        <v>43629</v>
      </c>
      <c r="N109" s="71">
        <f t="shared" ref="N109:O109" si="398">G109+G110</f>
        <v>13.626971427999999</v>
      </c>
      <c r="O109" s="72">
        <f t="shared" si="398"/>
        <v>-11</v>
      </c>
      <c r="P109" s="71">
        <f t="shared" ref="P109" si="399">N109+O109</f>
        <v>2.6269714279999992</v>
      </c>
      <c r="Q109" s="640">
        <f t="shared" ref="Q109" si="400">J109+J110</f>
        <v>0</v>
      </c>
      <c r="R109" s="641">
        <f t="shared" ref="R109" si="401">P109-Q109</f>
        <v>2.6269714279999992</v>
      </c>
      <c r="S109" s="927">
        <f t="shared" ref="S109" si="402">Q109/P109</f>
        <v>0</v>
      </c>
      <c r="T109" s="927">
        <f t="shared" si="357"/>
        <v>0.80722265091110168</v>
      </c>
      <c r="U109" s="573"/>
    </row>
    <row r="110" spans="1:21" ht="15" customHeight="1" thickBot="1">
      <c r="A110" s="49">
        <v>92</v>
      </c>
      <c r="B110" s="118">
        <f t="shared" ref="B110" si="403">+B108+$B$20</f>
        <v>46</v>
      </c>
      <c r="C110" s="245" t="s">
        <v>99</v>
      </c>
      <c r="D110" s="249" t="s">
        <v>95</v>
      </c>
      <c r="E110" s="250" t="s">
        <v>153</v>
      </c>
      <c r="F110" s="250">
        <v>967065</v>
      </c>
      <c r="G110" s="251">
        <v>4.9761857139999996</v>
      </c>
      <c r="H110" s="136"/>
      <c r="I110" s="137">
        <f t="shared" ref="I110" si="404">G110+H110+K109</f>
        <v>2.6269714279999992</v>
      </c>
      <c r="J110" s="138"/>
      <c r="K110" s="146">
        <f t="shared" si="293"/>
        <v>2.6269714279999992</v>
      </c>
      <c r="L110" s="148">
        <f t="shared" si="296"/>
        <v>0</v>
      </c>
      <c r="M110" s="626" t="s">
        <v>30</v>
      </c>
      <c r="N110" s="73"/>
      <c r="O110" s="73"/>
      <c r="P110" s="73"/>
      <c r="Q110" s="642"/>
      <c r="R110" s="642"/>
      <c r="S110" s="928"/>
      <c r="T110" s="928"/>
    </row>
    <row r="111" spans="1:21" ht="15" customHeight="1" thickBot="1">
      <c r="A111" s="49">
        <v>93</v>
      </c>
      <c r="B111" s="118">
        <f t="shared" ref="B111" si="405">+B109+$B$19</f>
        <v>47</v>
      </c>
      <c r="C111" s="244" t="s">
        <v>99</v>
      </c>
      <c r="D111" s="246" t="s">
        <v>35</v>
      </c>
      <c r="E111" s="247" t="s">
        <v>154</v>
      </c>
      <c r="F111" s="247">
        <v>951023</v>
      </c>
      <c r="G111" s="248">
        <v>8.6507857139999995</v>
      </c>
      <c r="H111" s="221">
        <v>-13.627000000000001</v>
      </c>
      <c r="I111" s="69">
        <f t="shared" ref="I111" si="406">G111+H111</f>
        <v>-4.9762142860000012</v>
      </c>
      <c r="J111" s="70"/>
      <c r="K111" s="145">
        <f t="shared" si="293"/>
        <v>-4.9762142860000012</v>
      </c>
      <c r="L111" s="147">
        <f t="shared" si="296"/>
        <v>0</v>
      </c>
      <c r="M111" s="621">
        <v>43538</v>
      </c>
      <c r="N111" s="71">
        <f t="shared" ref="N111:O111" si="407">G111+G112</f>
        <v>13.626971427999999</v>
      </c>
      <c r="O111" s="72">
        <f t="shared" si="407"/>
        <v>-13.627000000000001</v>
      </c>
      <c r="P111" s="71">
        <f t="shared" ref="P111" si="408">N111+O111</f>
        <v>-2.8572000001503284E-5</v>
      </c>
      <c r="Q111" s="640">
        <f t="shared" ref="Q111" si="409">J111+J112</f>
        <v>0</v>
      </c>
      <c r="R111" s="641">
        <f t="shared" ref="R111" si="410">P111-Q111</f>
        <v>-2.8572000001503284E-5</v>
      </c>
      <c r="S111" s="927">
        <f t="shared" ref="S111" si="411">Q111/P111</f>
        <v>0</v>
      </c>
      <c r="T111" s="927">
        <f t="shared" si="357"/>
        <v>1.0000020967241439</v>
      </c>
    </row>
    <row r="112" spans="1:21" ht="15" customHeight="1" thickBot="1">
      <c r="A112" s="49">
        <v>94</v>
      </c>
      <c r="B112" s="118">
        <f t="shared" ref="B112" si="412">+B110+$B$20</f>
        <v>47</v>
      </c>
      <c r="C112" s="245" t="s">
        <v>99</v>
      </c>
      <c r="D112" s="249" t="s">
        <v>95</v>
      </c>
      <c r="E112" s="250" t="s">
        <v>154</v>
      </c>
      <c r="F112" s="250">
        <v>951023</v>
      </c>
      <c r="G112" s="251">
        <v>4.9761857139999996</v>
      </c>
      <c r="H112" s="136"/>
      <c r="I112" s="137">
        <f t="shared" ref="I112" si="413">G112+H112+K111</f>
        <v>-2.8572000001503284E-5</v>
      </c>
      <c r="J112" s="138"/>
      <c r="K112" s="146">
        <f t="shared" si="293"/>
        <v>-2.8572000001503284E-5</v>
      </c>
      <c r="L112" s="148">
        <f t="shared" si="296"/>
        <v>0</v>
      </c>
      <c r="M112" s="621">
        <v>43538</v>
      </c>
      <c r="N112" s="73"/>
      <c r="O112" s="73"/>
      <c r="P112" s="73"/>
      <c r="Q112" s="642"/>
      <c r="R112" s="642"/>
      <c r="S112" s="928"/>
      <c r="T112" s="928"/>
    </row>
    <row r="113" spans="1:21" ht="15" customHeight="1" thickBot="1">
      <c r="A113" s="49">
        <v>95</v>
      </c>
      <c r="B113" s="118">
        <f t="shared" ref="B113" si="414">+B111+$B$19</f>
        <v>48</v>
      </c>
      <c r="C113" s="244" t="s">
        <v>99</v>
      </c>
      <c r="D113" s="246" t="s">
        <v>35</v>
      </c>
      <c r="E113" s="247" t="s">
        <v>155</v>
      </c>
      <c r="F113" s="247">
        <v>913389</v>
      </c>
      <c r="G113" s="248">
        <v>8.6507857139999995</v>
      </c>
      <c r="H113" s="221">
        <v>-13.627000000000001</v>
      </c>
      <c r="I113" s="69">
        <f t="shared" ref="I113" si="415">G113+H113</f>
        <v>-4.9762142860000012</v>
      </c>
      <c r="J113" s="70"/>
      <c r="K113" s="145">
        <f t="shared" si="293"/>
        <v>-4.9762142860000012</v>
      </c>
      <c r="L113" s="147">
        <f t="shared" si="296"/>
        <v>0</v>
      </c>
      <c r="M113" s="621">
        <v>43538</v>
      </c>
      <c r="N113" s="71">
        <f t="shared" ref="N113:O113" si="416">G113+G114</f>
        <v>13.626971427999999</v>
      </c>
      <c r="O113" s="72">
        <f t="shared" si="416"/>
        <v>-13.627000000000001</v>
      </c>
      <c r="P113" s="71">
        <f t="shared" ref="P113" si="417">N113+O113</f>
        <v>-2.8572000001503284E-5</v>
      </c>
      <c r="Q113" s="640">
        <f t="shared" ref="Q113" si="418">J113+J114</f>
        <v>0</v>
      </c>
      <c r="R113" s="641">
        <f t="shared" ref="R113" si="419">P113-Q113</f>
        <v>-2.8572000001503284E-5</v>
      </c>
      <c r="S113" s="927">
        <f t="shared" ref="S113" si="420">Q113/P113</f>
        <v>0</v>
      </c>
      <c r="T113" s="927">
        <f t="shared" si="357"/>
        <v>1.0000020967241439</v>
      </c>
    </row>
    <row r="114" spans="1:21" ht="15" customHeight="1" thickBot="1">
      <c r="A114" s="49">
        <v>96</v>
      </c>
      <c r="B114" s="118">
        <f t="shared" ref="B114" si="421">+B112+$B$20</f>
        <v>48</v>
      </c>
      <c r="C114" s="245" t="s">
        <v>99</v>
      </c>
      <c r="D114" s="249" t="s">
        <v>95</v>
      </c>
      <c r="E114" s="250" t="s">
        <v>155</v>
      </c>
      <c r="F114" s="250">
        <v>913389</v>
      </c>
      <c r="G114" s="251">
        <v>4.9761857139999996</v>
      </c>
      <c r="H114" s="136"/>
      <c r="I114" s="137">
        <f t="shared" ref="I114" si="422">G114+H114+K113</f>
        <v>-2.8572000001503284E-5</v>
      </c>
      <c r="J114" s="138"/>
      <c r="K114" s="146">
        <f t="shared" si="293"/>
        <v>-2.8572000001503284E-5</v>
      </c>
      <c r="L114" s="148">
        <f t="shared" si="296"/>
        <v>0</v>
      </c>
      <c r="M114" s="621">
        <v>43538</v>
      </c>
      <c r="N114" s="73"/>
      <c r="O114" s="73"/>
      <c r="P114" s="73"/>
      <c r="Q114" s="642"/>
      <c r="R114" s="642"/>
      <c r="S114" s="928"/>
      <c r="T114" s="928"/>
    </row>
    <row r="115" spans="1:21" ht="15" customHeight="1" thickBot="1">
      <c r="A115" s="49">
        <v>97</v>
      </c>
      <c r="B115" s="118">
        <f t="shared" ref="B115" si="423">+B113+$B$19</f>
        <v>49</v>
      </c>
      <c r="C115" s="244" t="s">
        <v>99</v>
      </c>
      <c r="D115" s="246" t="s">
        <v>35</v>
      </c>
      <c r="E115" s="247" t="s">
        <v>156</v>
      </c>
      <c r="F115" s="247">
        <v>920447</v>
      </c>
      <c r="G115" s="248">
        <v>8.6507857139999995</v>
      </c>
      <c r="H115" s="221">
        <v>-13.627000000000001</v>
      </c>
      <c r="I115" s="69">
        <f t="shared" ref="I115" si="424">G115+H115</f>
        <v>-4.9762142860000012</v>
      </c>
      <c r="J115" s="70"/>
      <c r="K115" s="145">
        <f t="shared" si="293"/>
        <v>-4.9762142860000012</v>
      </c>
      <c r="L115" s="147">
        <f t="shared" si="296"/>
        <v>0</v>
      </c>
      <c r="M115" s="621">
        <v>43538</v>
      </c>
      <c r="N115" s="71">
        <f t="shared" ref="N115:O115" si="425">G115+G116</f>
        <v>13.626971427999999</v>
      </c>
      <c r="O115" s="72">
        <f t="shared" si="425"/>
        <v>-13.627000000000001</v>
      </c>
      <c r="P115" s="71">
        <f t="shared" ref="P115" si="426">N115+O115</f>
        <v>-2.8572000001503284E-5</v>
      </c>
      <c r="Q115" s="640">
        <f t="shared" ref="Q115" si="427">J115+J116</f>
        <v>0</v>
      </c>
      <c r="R115" s="641">
        <f t="shared" ref="R115" si="428">P115-Q115</f>
        <v>-2.8572000001503284E-5</v>
      </c>
      <c r="S115" s="927">
        <f t="shared" ref="S115" si="429">Q115/P115</f>
        <v>0</v>
      </c>
      <c r="T115" s="927">
        <f t="shared" si="357"/>
        <v>1.0000020967241439</v>
      </c>
    </row>
    <row r="116" spans="1:21" ht="15" customHeight="1" thickBot="1">
      <c r="A116" s="49">
        <v>98</v>
      </c>
      <c r="B116" s="118">
        <f t="shared" ref="B116" si="430">+B114+$B$20</f>
        <v>49</v>
      </c>
      <c r="C116" s="245" t="s">
        <v>99</v>
      </c>
      <c r="D116" s="249" t="s">
        <v>95</v>
      </c>
      <c r="E116" s="250" t="s">
        <v>156</v>
      </c>
      <c r="F116" s="250">
        <v>920447</v>
      </c>
      <c r="G116" s="251">
        <v>4.9761857139999996</v>
      </c>
      <c r="H116" s="136"/>
      <c r="I116" s="137">
        <f t="shared" ref="I116" si="431">G116+H116+K115</f>
        <v>-2.8572000001503284E-5</v>
      </c>
      <c r="J116" s="138"/>
      <c r="K116" s="146">
        <f t="shared" si="293"/>
        <v>-2.8572000001503284E-5</v>
      </c>
      <c r="L116" s="148">
        <f t="shared" si="296"/>
        <v>0</v>
      </c>
      <c r="M116" s="621">
        <v>43538</v>
      </c>
      <c r="N116" s="73"/>
      <c r="O116" s="73"/>
      <c r="P116" s="73"/>
      <c r="Q116" s="642"/>
      <c r="R116" s="642"/>
      <c r="S116" s="928"/>
      <c r="T116" s="928"/>
    </row>
    <row r="117" spans="1:21" ht="15" customHeight="1" thickBot="1">
      <c r="A117" s="49">
        <v>99</v>
      </c>
      <c r="B117" s="118">
        <f t="shared" ref="B117" si="432">+B115+$B$19</f>
        <v>50</v>
      </c>
      <c r="C117" s="244" t="s">
        <v>99</v>
      </c>
      <c r="D117" s="246" t="s">
        <v>35</v>
      </c>
      <c r="E117" s="247" t="s">
        <v>157</v>
      </c>
      <c r="F117" s="247">
        <v>28725</v>
      </c>
      <c r="G117" s="248">
        <v>8.6507857139999995</v>
      </c>
      <c r="H117" s="221">
        <v>-13.627000000000001</v>
      </c>
      <c r="I117" s="69">
        <f t="shared" ref="I117" si="433">G117+H117</f>
        <v>-4.9762142860000012</v>
      </c>
      <c r="J117" s="70"/>
      <c r="K117" s="145">
        <f t="shared" si="293"/>
        <v>-4.9762142860000012</v>
      </c>
      <c r="L117" s="147">
        <f t="shared" si="296"/>
        <v>0</v>
      </c>
      <c r="M117" s="621">
        <v>43538</v>
      </c>
      <c r="N117" s="71">
        <f t="shared" ref="N117:O117" si="434">G117+G118</f>
        <v>13.626971427999999</v>
      </c>
      <c r="O117" s="72">
        <f t="shared" si="434"/>
        <v>-13.627000000000001</v>
      </c>
      <c r="P117" s="71">
        <f t="shared" ref="P117" si="435">N117+O117</f>
        <v>-2.8572000001503284E-5</v>
      </c>
      <c r="Q117" s="640">
        <f t="shared" ref="Q117" si="436">J117+J118</f>
        <v>0</v>
      </c>
      <c r="R117" s="641">
        <f t="shared" ref="R117" si="437">P117-Q117</f>
        <v>-2.8572000001503284E-5</v>
      </c>
      <c r="S117" s="927">
        <f t="shared" ref="S117" si="438">Q117/P117</f>
        <v>0</v>
      </c>
      <c r="T117" s="927">
        <f t="shared" si="357"/>
        <v>1.0000020967241439</v>
      </c>
    </row>
    <row r="118" spans="1:21" ht="15" customHeight="1" thickBot="1">
      <c r="A118" s="49">
        <v>100</v>
      </c>
      <c r="B118" s="118">
        <f t="shared" ref="B118" si="439">+B116+$B$20</f>
        <v>50</v>
      </c>
      <c r="C118" s="245" t="s">
        <v>99</v>
      </c>
      <c r="D118" s="249" t="s">
        <v>95</v>
      </c>
      <c r="E118" s="250" t="s">
        <v>157</v>
      </c>
      <c r="F118" s="250">
        <v>28725</v>
      </c>
      <c r="G118" s="251">
        <v>4.9761857139999996</v>
      </c>
      <c r="H118" s="136"/>
      <c r="I118" s="137">
        <f t="shared" ref="I118" si="440">G118+H118+K117</f>
        <v>-2.8572000001503284E-5</v>
      </c>
      <c r="J118" s="138"/>
      <c r="K118" s="146">
        <f t="shared" si="293"/>
        <v>-2.8572000001503284E-5</v>
      </c>
      <c r="L118" s="148">
        <f t="shared" si="296"/>
        <v>0</v>
      </c>
      <c r="M118" s="621">
        <v>43538</v>
      </c>
      <c r="N118" s="73"/>
      <c r="O118" s="73"/>
      <c r="P118" s="73"/>
      <c r="Q118" s="642"/>
      <c r="R118" s="642"/>
      <c r="S118" s="928"/>
      <c r="T118" s="928"/>
    </row>
    <row r="119" spans="1:21" ht="15" customHeight="1" thickBot="1">
      <c r="A119" s="49">
        <v>101</v>
      </c>
      <c r="B119" s="118">
        <f t="shared" ref="B119" si="441">+B117+$B$19</f>
        <v>51</v>
      </c>
      <c r="C119" s="244" t="s">
        <v>99</v>
      </c>
      <c r="D119" s="246" t="s">
        <v>35</v>
      </c>
      <c r="E119" s="247" t="s">
        <v>158</v>
      </c>
      <c r="F119" s="247">
        <v>961499</v>
      </c>
      <c r="G119" s="248">
        <v>8.6507857139999995</v>
      </c>
      <c r="H119" s="221">
        <v>-13.627000000000001</v>
      </c>
      <c r="I119" s="69">
        <f t="shared" ref="I119" si="442">G119+H119</f>
        <v>-4.9762142860000012</v>
      </c>
      <c r="J119" s="70"/>
      <c r="K119" s="145">
        <f t="shared" si="293"/>
        <v>-4.9762142860000012</v>
      </c>
      <c r="L119" s="147">
        <f t="shared" si="296"/>
        <v>0</v>
      </c>
      <c r="M119" s="621">
        <v>43538</v>
      </c>
      <c r="N119" s="71">
        <f t="shared" ref="N119:O119" si="443">G119+G120</f>
        <v>13.626971427999999</v>
      </c>
      <c r="O119" s="72">
        <f t="shared" si="443"/>
        <v>-13.627000000000001</v>
      </c>
      <c r="P119" s="71">
        <f t="shared" ref="P119" si="444">N119+O119</f>
        <v>-2.8572000001503284E-5</v>
      </c>
      <c r="Q119" s="640">
        <f t="shared" ref="Q119" si="445">J119+J120</f>
        <v>0</v>
      </c>
      <c r="R119" s="641">
        <f t="shared" ref="R119" si="446">P119-Q119</f>
        <v>-2.8572000001503284E-5</v>
      </c>
      <c r="S119" s="927">
        <f t="shared" ref="S119" si="447">Q119/P119</f>
        <v>0</v>
      </c>
      <c r="T119" s="927">
        <f t="shared" si="357"/>
        <v>1.0000020967241439</v>
      </c>
    </row>
    <row r="120" spans="1:21" ht="15" customHeight="1" thickBot="1">
      <c r="A120" s="49">
        <v>102</v>
      </c>
      <c r="B120" s="118">
        <f t="shared" ref="B120" si="448">+B118+$B$20</f>
        <v>51</v>
      </c>
      <c r="C120" s="245" t="s">
        <v>99</v>
      </c>
      <c r="D120" s="249" t="s">
        <v>95</v>
      </c>
      <c r="E120" s="250" t="s">
        <v>158</v>
      </c>
      <c r="F120" s="250">
        <v>961499</v>
      </c>
      <c r="G120" s="251">
        <v>4.9761857139999996</v>
      </c>
      <c r="H120" s="136"/>
      <c r="I120" s="137">
        <f t="shared" ref="I120" si="449">G120+H120+K119</f>
        <v>-2.8572000001503284E-5</v>
      </c>
      <c r="J120" s="138"/>
      <c r="K120" s="146">
        <f t="shared" si="293"/>
        <v>-2.8572000001503284E-5</v>
      </c>
      <c r="L120" s="148">
        <f t="shared" si="296"/>
        <v>0</v>
      </c>
      <c r="M120" s="621">
        <v>43538</v>
      </c>
      <c r="N120" s="73"/>
      <c r="O120" s="73"/>
      <c r="P120" s="73"/>
      <c r="Q120" s="642"/>
      <c r="R120" s="642"/>
      <c r="S120" s="928"/>
      <c r="T120" s="928"/>
    </row>
    <row r="121" spans="1:21" ht="15" customHeight="1" thickBot="1">
      <c r="A121" s="49">
        <v>103</v>
      </c>
      <c r="B121" s="118">
        <f t="shared" ref="B121" si="450">+B119+$B$19</f>
        <v>52</v>
      </c>
      <c r="C121" s="244" t="s">
        <v>99</v>
      </c>
      <c r="D121" s="246" t="s">
        <v>35</v>
      </c>
      <c r="E121" s="247" t="s">
        <v>159</v>
      </c>
      <c r="F121" s="247">
        <v>33886</v>
      </c>
      <c r="G121" s="248">
        <v>8.6507857139999995</v>
      </c>
      <c r="H121" s="221">
        <v>-13.627000000000001</v>
      </c>
      <c r="I121" s="69">
        <f t="shared" ref="I121" si="451">G121+H121</f>
        <v>-4.9762142860000012</v>
      </c>
      <c r="J121" s="70"/>
      <c r="K121" s="145">
        <f t="shared" si="293"/>
        <v>-4.9762142860000012</v>
      </c>
      <c r="L121" s="147">
        <f t="shared" si="296"/>
        <v>0</v>
      </c>
      <c r="M121" s="621">
        <v>43538</v>
      </c>
      <c r="N121" s="71">
        <f t="shared" ref="N121:O121" si="452">G121+G122</f>
        <v>13.626971427999999</v>
      </c>
      <c r="O121" s="72">
        <f t="shared" si="452"/>
        <v>-13.627000000000001</v>
      </c>
      <c r="P121" s="71">
        <f t="shared" ref="P121" si="453">N121+O121</f>
        <v>-2.8572000001503284E-5</v>
      </c>
      <c r="Q121" s="640">
        <f t="shared" ref="Q121" si="454">J121+J122</f>
        <v>0</v>
      </c>
      <c r="R121" s="641">
        <f t="shared" ref="R121" si="455">P121-Q121</f>
        <v>-2.8572000001503284E-5</v>
      </c>
      <c r="S121" s="927">
        <f t="shared" ref="S121" si="456">Q121/P121</f>
        <v>0</v>
      </c>
      <c r="T121" s="927">
        <f t="shared" si="357"/>
        <v>1.0000020967241439</v>
      </c>
    </row>
    <row r="122" spans="1:21" ht="15" customHeight="1" thickBot="1">
      <c r="A122" s="49">
        <v>104</v>
      </c>
      <c r="B122" s="118">
        <f t="shared" ref="B122" si="457">+B120+$B$20</f>
        <v>52</v>
      </c>
      <c r="C122" s="245" t="s">
        <v>99</v>
      </c>
      <c r="D122" s="249" t="s">
        <v>95</v>
      </c>
      <c r="E122" s="250" t="s">
        <v>159</v>
      </c>
      <c r="F122" s="250">
        <v>33886</v>
      </c>
      <c r="G122" s="251">
        <v>4.9761857139999996</v>
      </c>
      <c r="H122" s="136"/>
      <c r="I122" s="137">
        <f t="shared" ref="I122" si="458">G122+H122+K121</f>
        <v>-2.8572000001503284E-5</v>
      </c>
      <c r="J122" s="138"/>
      <c r="K122" s="146">
        <f t="shared" si="293"/>
        <v>-2.8572000001503284E-5</v>
      </c>
      <c r="L122" s="148">
        <f t="shared" si="296"/>
        <v>0</v>
      </c>
      <c r="M122" s="621">
        <v>43538</v>
      </c>
      <c r="N122" s="73"/>
      <c r="O122" s="73"/>
      <c r="P122" s="73"/>
      <c r="Q122" s="642"/>
      <c r="R122" s="642"/>
      <c r="S122" s="928"/>
      <c r="T122" s="928"/>
    </row>
    <row r="123" spans="1:21" ht="15" customHeight="1" thickBot="1">
      <c r="A123" s="49">
        <v>105</v>
      </c>
      <c r="B123" s="118">
        <f t="shared" ref="B123" si="459">+B121+$B$19</f>
        <v>53</v>
      </c>
      <c r="C123" s="244" t="s">
        <v>99</v>
      </c>
      <c r="D123" s="246" t="s">
        <v>35</v>
      </c>
      <c r="E123" s="247" t="s">
        <v>160</v>
      </c>
      <c r="F123" s="247">
        <v>956000</v>
      </c>
      <c r="G123" s="248">
        <v>8.6507857139999995</v>
      </c>
      <c r="H123" s="221">
        <v>-13.627000000000001</v>
      </c>
      <c r="I123" s="69">
        <f t="shared" ref="I123" si="460">G123+H123</f>
        <v>-4.9762142860000012</v>
      </c>
      <c r="J123" s="70"/>
      <c r="K123" s="145">
        <f t="shared" si="293"/>
        <v>-4.9762142860000012</v>
      </c>
      <c r="L123" s="147">
        <f t="shared" si="296"/>
        <v>0</v>
      </c>
      <c r="M123" s="621">
        <v>43538</v>
      </c>
      <c r="N123" s="71">
        <f t="shared" ref="N123:O123" si="461">G123+G124</f>
        <v>13.626971427999999</v>
      </c>
      <c r="O123" s="72">
        <f t="shared" si="461"/>
        <v>-13.627000000000001</v>
      </c>
      <c r="P123" s="71">
        <f t="shared" ref="P123" si="462">N123+O123</f>
        <v>-2.8572000001503284E-5</v>
      </c>
      <c r="Q123" s="640">
        <f t="shared" ref="Q123" si="463">J123+J124</f>
        <v>0</v>
      </c>
      <c r="R123" s="641">
        <f t="shared" ref="R123" si="464">P123-Q123</f>
        <v>-2.8572000001503284E-5</v>
      </c>
      <c r="S123" s="927">
        <f t="shared" ref="S123" si="465">Q123/P123</f>
        <v>0</v>
      </c>
      <c r="T123" s="927">
        <f t="shared" si="357"/>
        <v>1.0000020967241439</v>
      </c>
    </row>
    <row r="124" spans="1:21" ht="15" customHeight="1" thickBot="1">
      <c r="A124" s="49">
        <v>106</v>
      </c>
      <c r="B124" s="118">
        <f t="shared" ref="B124" si="466">+B122+$B$20</f>
        <v>53</v>
      </c>
      <c r="C124" s="245" t="s">
        <v>99</v>
      </c>
      <c r="D124" s="249" t="s">
        <v>95</v>
      </c>
      <c r="E124" s="250" t="s">
        <v>160</v>
      </c>
      <c r="F124" s="250">
        <v>956000</v>
      </c>
      <c r="G124" s="251">
        <v>4.9761857139999996</v>
      </c>
      <c r="H124" s="136"/>
      <c r="I124" s="137">
        <f t="shared" ref="I124" si="467">G124+H124+K123</f>
        <v>-2.8572000001503284E-5</v>
      </c>
      <c r="J124" s="138"/>
      <c r="K124" s="146">
        <f t="shared" si="293"/>
        <v>-2.8572000001503284E-5</v>
      </c>
      <c r="L124" s="148">
        <f t="shared" si="296"/>
        <v>0</v>
      </c>
      <c r="M124" s="621">
        <v>43538</v>
      </c>
      <c r="N124" s="73"/>
      <c r="O124" s="73"/>
      <c r="P124" s="73"/>
      <c r="Q124" s="642"/>
      <c r="R124" s="642"/>
      <c r="S124" s="928"/>
      <c r="T124" s="928"/>
    </row>
    <row r="125" spans="1:21" ht="15" customHeight="1">
      <c r="A125" s="49">
        <v>107</v>
      </c>
      <c r="B125" s="118">
        <f t="shared" ref="B125" si="468">+B123+$B$19</f>
        <v>54</v>
      </c>
      <c r="C125" s="244" t="s">
        <v>99</v>
      </c>
      <c r="D125" s="246" t="s">
        <v>35</v>
      </c>
      <c r="E125" s="247" t="s">
        <v>161</v>
      </c>
      <c r="F125" s="247">
        <v>964009</v>
      </c>
      <c r="G125" s="248">
        <v>8.6507857139999995</v>
      </c>
      <c r="H125" s="225">
        <v>-12.5</v>
      </c>
      <c r="I125" s="69">
        <f t="shared" ref="I125" si="469">G125+H125</f>
        <v>-3.8492142860000005</v>
      </c>
      <c r="J125" s="288">
        <v>0.36399999999999999</v>
      </c>
      <c r="K125" s="289">
        <f t="shared" si="293"/>
        <v>-4.2132142860000004</v>
      </c>
      <c r="L125" s="566">
        <f t="shared" si="296"/>
        <v>-9.4564753467715867E-2</v>
      </c>
      <c r="M125" s="622">
        <v>43629</v>
      </c>
      <c r="N125" s="71">
        <f t="shared" ref="N125:O125" si="470">G125+G126</f>
        <v>13.626971427999999</v>
      </c>
      <c r="O125" s="72">
        <f t="shared" si="470"/>
        <v>-12.5</v>
      </c>
      <c r="P125" s="71">
        <f t="shared" ref="P125" si="471">N125+O125</f>
        <v>1.1269714279999992</v>
      </c>
      <c r="Q125" s="640">
        <f t="shared" ref="Q125" si="472">J125+J126</f>
        <v>0.36399999999999999</v>
      </c>
      <c r="R125" s="641">
        <f t="shared" ref="R125" si="473">P125-Q125</f>
        <v>0.76297142799999917</v>
      </c>
      <c r="S125" s="927">
        <f t="shared" ref="S125" si="474">Q125/P125</f>
        <v>0.32298955497565662</v>
      </c>
      <c r="T125" s="927">
        <f t="shared" si="357"/>
        <v>0.89058673558701174</v>
      </c>
      <c r="U125" s="573"/>
    </row>
    <row r="126" spans="1:21" ht="15" customHeight="1" thickBot="1">
      <c r="A126" s="49">
        <v>108</v>
      </c>
      <c r="B126" s="118">
        <f t="shared" ref="B126" si="475">+B124+$B$20</f>
        <v>54</v>
      </c>
      <c r="C126" s="245" t="s">
        <v>99</v>
      </c>
      <c r="D126" s="249" t="s">
        <v>95</v>
      </c>
      <c r="E126" s="250" t="s">
        <v>161</v>
      </c>
      <c r="F126" s="250">
        <v>964009</v>
      </c>
      <c r="G126" s="251">
        <v>4.9761857139999996</v>
      </c>
      <c r="H126" s="136"/>
      <c r="I126" s="137">
        <f t="shared" ref="I126" si="476">G126+H126+K125</f>
        <v>0.76297142799999929</v>
      </c>
      <c r="J126" s="138"/>
      <c r="K126" s="146">
        <f t="shared" si="293"/>
        <v>0.76297142799999929</v>
      </c>
      <c r="L126" s="148">
        <f t="shared" si="296"/>
        <v>0</v>
      </c>
      <c r="M126" s="630" t="s">
        <v>30</v>
      </c>
      <c r="N126" s="73"/>
      <c r="O126" s="73"/>
      <c r="P126" s="73"/>
      <c r="Q126" s="642"/>
      <c r="R126" s="642"/>
      <c r="S126" s="928"/>
      <c r="T126" s="928"/>
    </row>
    <row r="127" spans="1:21" ht="15" customHeight="1" thickBot="1">
      <c r="A127" s="49">
        <v>109</v>
      </c>
      <c r="B127" s="118">
        <f t="shared" ref="B127" si="477">+B125+$B$19</f>
        <v>55</v>
      </c>
      <c r="C127" s="244" t="s">
        <v>99</v>
      </c>
      <c r="D127" s="246" t="s">
        <v>35</v>
      </c>
      <c r="E127" s="247" t="s">
        <v>162</v>
      </c>
      <c r="F127" s="247">
        <v>964168</v>
      </c>
      <c r="G127" s="248">
        <v>8.6507857139999995</v>
      </c>
      <c r="H127" s="221">
        <v>-13.627000000000001</v>
      </c>
      <c r="I127" s="69">
        <f t="shared" ref="I127" si="478">G127+H127</f>
        <v>-4.9762142860000012</v>
      </c>
      <c r="J127" s="70"/>
      <c r="K127" s="145">
        <f t="shared" si="293"/>
        <v>-4.9762142860000012</v>
      </c>
      <c r="L127" s="147">
        <f t="shared" si="296"/>
        <v>0</v>
      </c>
      <c r="M127" s="621">
        <v>43538</v>
      </c>
      <c r="N127" s="71">
        <f t="shared" ref="N127:O127" si="479">G127+G128</f>
        <v>13.626971427999999</v>
      </c>
      <c r="O127" s="72">
        <f t="shared" si="479"/>
        <v>-13.627000000000001</v>
      </c>
      <c r="P127" s="71">
        <f t="shared" ref="P127" si="480">N127+O127</f>
        <v>-2.8572000001503284E-5</v>
      </c>
      <c r="Q127" s="640">
        <f t="shared" ref="Q127" si="481">J127+J128</f>
        <v>0</v>
      </c>
      <c r="R127" s="641">
        <f t="shared" ref="R127" si="482">P127-Q127</f>
        <v>-2.8572000001503284E-5</v>
      </c>
      <c r="S127" s="927">
        <f t="shared" ref="S127" si="483">Q127/P127</f>
        <v>0</v>
      </c>
      <c r="T127" s="927">
        <f t="shared" ref="T127:T145" si="484">((Q127+O127)/N127)*-1</f>
        <v>1.0000020967241439</v>
      </c>
    </row>
    <row r="128" spans="1:21" ht="15" customHeight="1" thickBot="1">
      <c r="A128" s="49">
        <v>110</v>
      </c>
      <c r="B128" s="118">
        <f t="shared" ref="B128" si="485">+B126+$B$20</f>
        <v>55</v>
      </c>
      <c r="C128" s="245" t="s">
        <v>99</v>
      </c>
      <c r="D128" s="249" t="s">
        <v>95</v>
      </c>
      <c r="E128" s="250" t="s">
        <v>162</v>
      </c>
      <c r="F128" s="250">
        <v>964168</v>
      </c>
      <c r="G128" s="251">
        <v>4.9761857139999996</v>
      </c>
      <c r="H128" s="136"/>
      <c r="I128" s="137">
        <f t="shared" ref="I128" si="486">G128+H128+K127</f>
        <v>-2.8572000001503284E-5</v>
      </c>
      <c r="J128" s="138"/>
      <c r="K128" s="146">
        <f t="shared" si="293"/>
        <v>-2.8572000001503284E-5</v>
      </c>
      <c r="L128" s="148">
        <f t="shared" si="296"/>
        <v>0</v>
      </c>
      <c r="M128" s="621">
        <v>43538</v>
      </c>
      <c r="N128" s="73"/>
      <c r="O128" s="73"/>
      <c r="P128" s="73"/>
      <c r="Q128" s="642"/>
      <c r="R128" s="642"/>
      <c r="S128" s="928"/>
      <c r="T128" s="928"/>
    </row>
    <row r="129" spans="1:21" ht="15" customHeight="1" thickBot="1">
      <c r="A129" s="49">
        <v>111</v>
      </c>
      <c r="B129" s="118">
        <f t="shared" ref="B129" si="487">+B127+$B$19</f>
        <v>56</v>
      </c>
      <c r="C129" s="244" t="s">
        <v>99</v>
      </c>
      <c r="D129" s="246" t="s">
        <v>35</v>
      </c>
      <c r="E129" s="247" t="s">
        <v>163</v>
      </c>
      <c r="F129" s="247">
        <v>960834</v>
      </c>
      <c r="G129" s="248">
        <v>8.6507857139999995</v>
      </c>
      <c r="H129" s="221">
        <v>-13.627000000000001</v>
      </c>
      <c r="I129" s="69">
        <f t="shared" ref="I129" si="488">G129+H129</f>
        <v>-4.9762142860000012</v>
      </c>
      <c r="J129" s="70"/>
      <c r="K129" s="145">
        <f t="shared" si="293"/>
        <v>-4.9762142860000012</v>
      </c>
      <c r="L129" s="147">
        <f t="shared" si="296"/>
        <v>0</v>
      </c>
      <c r="M129" s="621">
        <v>43538</v>
      </c>
      <c r="N129" s="71">
        <f t="shared" ref="N129:O129" si="489">G129+G130</f>
        <v>13.626971427999999</v>
      </c>
      <c r="O129" s="72">
        <f t="shared" si="489"/>
        <v>-13.627000000000001</v>
      </c>
      <c r="P129" s="71">
        <f t="shared" ref="P129" si="490">N129+O129</f>
        <v>-2.8572000001503284E-5</v>
      </c>
      <c r="Q129" s="640">
        <f t="shared" ref="Q129" si="491">J129+J130</f>
        <v>0</v>
      </c>
      <c r="R129" s="641">
        <f t="shared" ref="R129" si="492">P129-Q129</f>
        <v>-2.8572000001503284E-5</v>
      </c>
      <c r="S129" s="927">
        <f t="shared" ref="S129" si="493">Q129/P129</f>
        <v>0</v>
      </c>
      <c r="T129" s="927">
        <f t="shared" si="484"/>
        <v>1.0000020967241439</v>
      </c>
    </row>
    <row r="130" spans="1:21" ht="15" customHeight="1" thickBot="1">
      <c r="A130" s="49">
        <v>112</v>
      </c>
      <c r="B130" s="118">
        <f t="shared" ref="B130" si="494">+B128+$B$20</f>
        <v>56</v>
      </c>
      <c r="C130" s="245" t="s">
        <v>99</v>
      </c>
      <c r="D130" s="249" t="s">
        <v>95</v>
      </c>
      <c r="E130" s="250" t="s">
        <v>163</v>
      </c>
      <c r="F130" s="250">
        <v>960834</v>
      </c>
      <c r="G130" s="251">
        <v>4.9761857139999996</v>
      </c>
      <c r="H130" s="136"/>
      <c r="I130" s="137">
        <f t="shared" ref="I130" si="495">G130+H130+K129</f>
        <v>-2.8572000001503284E-5</v>
      </c>
      <c r="J130" s="138"/>
      <c r="K130" s="146">
        <f t="shared" si="293"/>
        <v>-2.8572000001503284E-5</v>
      </c>
      <c r="L130" s="148">
        <f t="shared" si="296"/>
        <v>0</v>
      </c>
      <c r="M130" s="621">
        <v>43538</v>
      </c>
      <c r="N130" s="73"/>
      <c r="O130" s="73"/>
      <c r="P130" s="73"/>
      <c r="Q130" s="642"/>
      <c r="R130" s="642"/>
      <c r="S130" s="928"/>
      <c r="T130" s="928"/>
    </row>
    <row r="131" spans="1:21" ht="15" customHeight="1">
      <c r="A131" s="49">
        <v>113</v>
      </c>
      <c r="B131" s="118">
        <f t="shared" ref="B131" si="496">+B129+$B$19</f>
        <v>57</v>
      </c>
      <c r="C131" s="244" t="s">
        <v>99</v>
      </c>
      <c r="D131" s="246" t="s">
        <v>35</v>
      </c>
      <c r="E131" s="247" t="s">
        <v>164</v>
      </c>
      <c r="F131" s="247">
        <v>920083</v>
      </c>
      <c r="G131" s="248">
        <v>8.6507857139999995</v>
      </c>
      <c r="H131" s="225">
        <v>-12</v>
      </c>
      <c r="I131" s="69">
        <f t="shared" ref="I131" si="497">G131+H131</f>
        <v>-3.3492142860000005</v>
      </c>
      <c r="J131" s="70"/>
      <c r="K131" s="145">
        <f t="shared" si="293"/>
        <v>-3.3492142860000005</v>
      </c>
      <c r="L131" s="147">
        <f t="shared" si="296"/>
        <v>0</v>
      </c>
      <c r="M131" s="622">
        <v>43629</v>
      </c>
      <c r="N131" s="71">
        <f t="shared" ref="N131:O131" si="498">G131+G132</f>
        <v>13.626971427999999</v>
      </c>
      <c r="O131" s="72">
        <f t="shared" si="498"/>
        <v>-12</v>
      </c>
      <c r="P131" s="71">
        <f t="shared" ref="P131" si="499">N131+O131</f>
        <v>1.6269714279999992</v>
      </c>
      <c r="Q131" s="640">
        <f t="shared" ref="Q131" si="500">J131+J132</f>
        <v>0</v>
      </c>
      <c r="R131" s="641">
        <f t="shared" ref="R131" si="501">P131-Q131</f>
        <v>1.6269714279999992</v>
      </c>
      <c r="S131" s="927">
        <f t="shared" ref="S131" si="502">Q131/P131</f>
        <v>0</v>
      </c>
      <c r="T131" s="927">
        <f t="shared" si="484"/>
        <v>0.88060652826665642</v>
      </c>
      <c r="U131" s="573"/>
    </row>
    <row r="132" spans="1:21" ht="15" customHeight="1" thickBot="1">
      <c r="A132" s="49">
        <v>114</v>
      </c>
      <c r="B132" s="118">
        <f t="shared" ref="B132" si="503">+B130+$B$20</f>
        <v>57</v>
      </c>
      <c r="C132" s="245" t="s">
        <v>99</v>
      </c>
      <c r="D132" s="249" t="s">
        <v>95</v>
      </c>
      <c r="E132" s="250" t="s">
        <v>164</v>
      </c>
      <c r="F132" s="250">
        <v>920083</v>
      </c>
      <c r="G132" s="251">
        <v>4.9761857139999996</v>
      </c>
      <c r="H132" s="136"/>
      <c r="I132" s="137">
        <f t="shared" ref="I132" si="504">G132+H132+K131</f>
        <v>1.6269714279999992</v>
      </c>
      <c r="J132" s="138"/>
      <c r="K132" s="146">
        <f t="shared" si="293"/>
        <v>1.6269714279999992</v>
      </c>
      <c r="L132" s="148">
        <f t="shared" si="296"/>
        <v>0</v>
      </c>
      <c r="M132" s="626" t="s">
        <v>30</v>
      </c>
      <c r="N132" s="73"/>
      <c r="O132" s="73"/>
      <c r="P132" s="73"/>
      <c r="Q132" s="642"/>
      <c r="R132" s="642"/>
      <c r="S132" s="928"/>
      <c r="T132" s="928"/>
    </row>
    <row r="133" spans="1:21" ht="15" customHeight="1">
      <c r="A133" s="49">
        <v>115</v>
      </c>
      <c r="B133" s="118">
        <f t="shared" ref="B133" si="505">+B131+$B$19</f>
        <v>58</v>
      </c>
      <c r="C133" s="244" t="s">
        <v>99</v>
      </c>
      <c r="D133" s="246" t="s">
        <v>35</v>
      </c>
      <c r="E133" s="247" t="s">
        <v>165</v>
      </c>
      <c r="F133" s="247">
        <v>961492</v>
      </c>
      <c r="G133" s="248">
        <v>8.6507857139999995</v>
      </c>
      <c r="H133" s="225">
        <v>-12</v>
      </c>
      <c r="I133" s="69">
        <f t="shared" ref="I133" si="506">G133+H133</f>
        <v>-3.3492142860000005</v>
      </c>
      <c r="J133" s="70"/>
      <c r="K133" s="145">
        <f t="shared" si="293"/>
        <v>-3.3492142860000005</v>
      </c>
      <c r="L133" s="147">
        <f t="shared" si="296"/>
        <v>0</v>
      </c>
      <c r="M133" s="628">
        <v>43629</v>
      </c>
      <c r="N133" s="71">
        <f t="shared" ref="N133:O133" si="507">G133+G134</f>
        <v>13.626971427999999</v>
      </c>
      <c r="O133" s="72">
        <f t="shared" si="507"/>
        <v>-12</v>
      </c>
      <c r="P133" s="71">
        <f t="shared" ref="P133" si="508">N133+O133</f>
        <v>1.6269714279999992</v>
      </c>
      <c r="Q133" s="640">
        <f t="shared" ref="Q133" si="509">J133+J134</f>
        <v>0</v>
      </c>
      <c r="R133" s="641">
        <f t="shared" ref="R133" si="510">P133-Q133</f>
        <v>1.6269714279999992</v>
      </c>
      <c r="S133" s="927">
        <f t="shared" ref="S133" si="511">Q133/P133</f>
        <v>0</v>
      </c>
      <c r="T133" s="927">
        <f t="shared" si="484"/>
        <v>0.88060652826665642</v>
      </c>
      <c r="U133" s="573"/>
    </row>
    <row r="134" spans="1:21" ht="15" customHeight="1" thickBot="1">
      <c r="A134" s="49">
        <v>116</v>
      </c>
      <c r="B134" s="118">
        <f t="shared" ref="B134" si="512">+B132+$B$20</f>
        <v>58</v>
      </c>
      <c r="C134" s="245" t="s">
        <v>99</v>
      </c>
      <c r="D134" s="249" t="s">
        <v>95</v>
      </c>
      <c r="E134" s="250" t="s">
        <v>165</v>
      </c>
      <c r="F134" s="250">
        <v>961492</v>
      </c>
      <c r="G134" s="251">
        <v>4.9761857139999996</v>
      </c>
      <c r="H134" s="136"/>
      <c r="I134" s="137">
        <f t="shared" ref="I134" si="513">G134+H134+K133</f>
        <v>1.6269714279999992</v>
      </c>
      <c r="J134" s="138"/>
      <c r="K134" s="146">
        <f t="shared" si="293"/>
        <v>1.6269714279999992</v>
      </c>
      <c r="L134" s="148">
        <f t="shared" si="296"/>
        <v>0</v>
      </c>
      <c r="M134" s="626" t="s">
        <v>30</v>
      </c>
      <c r="N134" s="73"/>
      <c r="O134" s="73"/>
      <c r="P134" s="73"/>
      <c r="Q134" s="642"/>
      <c r="R134" s="642"/>
      <c r="S134" s="928"/>
      <c r="T134" s="928"/>
    </row>
    <row r="135" spans="1:21" ht="15" customHeight="1" thickBot="1">
      <c r="A135" s="49">
        <v>117</v>
      </c>
      <c r="B135" s="118">
        <f t="shared" ref="B135" si="514">+B133+$B$19</f>
        <v>59</v>
      </c>
      <c r="C135" s="244" t="s">
        <v>99</v>
      </c>
      <c r="D135" s="246" t="s">
        <v>35</v>
      </c>
      <c r="E135" s="247" t="s">
        <v>166</v>
      </c>
      <c r="F135" s="247">
        <v>965473</v>
      </c>
      <c r="G135" s="248">
        <v>8.6507857139999995</v>
      </c>
      <c r="H135" s="221">
        <v>-13.627000000000001</v>
      </c>
      <c r="I135" s="69">
        <f t="shared" ref="I135" si="515">G135+H135</f>
        <v>-4.9762142860000012</v>
      </c>
      <c r="J135" s="70"/>
      <c r="K135" s="145">
        <f t="shared" si="293"/>
        <v>-4.9762142860000012</v>
      </c>
      <c r="L135" s="147">
        <f t="shared" si="296"/>
        <v>0</v>
      </c>
      <c r="M135" s="621">
        <v>43538</v>
      </c>
      <c r="N135" s="71">
        <f t="shared" ref="N135:O135" si="516">G135+G136</f>
        <v>13.626971427999999</v>
      </c>
      <c r="O135" s="72">
        <f t="shared" si="516"/>
        <v>-13.627000000000001</v>
      </c>
      <c r="P135" s="71">
        <f t="shared" ref="P135" si="517">N135+O135</f>
        <v>-2.8572000001503284E-5</v>
      </c>
      <c r="Q135" s="640">
        <f t="shared" ref="Q135" si="518">J135+J136</f>
        <v>0</v>
      </c>
      <c r="R135" s="641">
        <f t="shared" ref="R135" si="519">P135-Q135</f>
        <v>-2.8572000001503284E-5</v>
      </c>
      <c r="S135" s="927">
        <f t="shared" ref="S135" si="520">Q135/P135</f>
        <v>0</v>
      </c>
      <c r="T135" s="927">
        <f t="shared" si="484"/>
        <v>1.0000020967241439</v>
      </c>
    </row>
    <row r="136" spans="1:21" ht="15" customHeight="1" thickBot="1">
      <c r="A136" s="49">
        <v>118</v>
      </c>
      <c r="B136" s="118">
        <f t="shared" ref="B136" si="521">+B134+$B$20</f>
        <v>59</v>
      </c>
      <c r="C136" s="245" t="s">
        <v>99</v>
      </c>
      <c r="D136" s="249" t="s">
        <v>95</v>
      </c>
      <c r="E136" s="250" t="s">
        <v>166</v>
      </c>
      <c r="F136" s="250">
        <v>965473</v>
      </c>
      <c r="G136" s="251">
        <v>4.9761857139999996</v>
      </c>
      <c r="H136" s="136"/>
      <c r="I136" s="137">
        <f t="shared" ref="I136" si="522">G136+H136+K135</f>
        <v>-2.8572000001503284E-5</v>
      </c>
      <c r="J136" s="138"/>
      <c r="K136" s="146">
        <f t="shared" si="293"/>
        <v>-2.8572000001503284E-5</v>
      </c>
      <c r="L136" s="148">
        <f t="shared" si="296"/>
        <v>0</v>
      </c>
      <c r="M136" s="621">
        <v>43538</v>
      </c>
      <c r="N136" s="73"/>
      <c r="O136" s="73"/>
      <c r="P136" s="73"/>
      <c r="Q136" s="642"/>
      <c r="R136" s="642"/>
      <c r="S136" s="928"/>
      <c r="T136" s="928"/>
    </row>
    <row r="137" spans="1:21" ht="15" customHeight="1" thickBot="1">
      <c r="A137" s="49">
        <v>119</v>
      </c>
      <c r="B137" s="118">
        <f t="shared" ref="B137" si="523">+B135+$B$19</f>
        <v>60</v>
      </c>
      <c r="C137" s="244" t="s">
        <v>99</v>
      </c>
      <c r="D137" s="246" t="s">
        <v>35</v>
      </c>
      <c r="E137" s="247" t="s">
        <v>167</v>
      </c>
      <c r="F137" s="247">
        <v>37446</v>
      </c>
      <c r="G137" s="248">
        <v>8.6507857139999995</v>
      </c>
      <c r="H137" s="222">
        <v>-13.627000000000001</v>
      </c>
      <c r="I137" s="69">
        <f t="shared" ref="I137" si="524">G137+H137</f>
        <v>-4.9762142860000012</v>
      </c>
      <c r="J137" s="70"/>
      <c r="K137" s="145">
        <f t="shared" si="293"/>
        <v>-4.9762142860000012</v>
      </c>
      <c r="L137" s="147">
        <f t="shared" si="296"/>
        <v>0</v>
      </c>
      <c r="M137" s="625">
        <v>43510</v>
      </c>
      <c r="N137" s="71">
        <f t="shared" ref="N137:O137" si="525">G137+G138</f>
        <v>13.626971427999999</v>
      </c>
      <c r="O137" s="72">
        <f t="shared" si="525"/>
        <v>-13.627000000000001</v>
      </c>
      <c r="P137" s="71">
        <f t="shared" ref="P137" si="526">N137+O137</f>
        <v>-2.8572000001503284E-5</v>
      </c>
      <c r="Q137" s="640">
        <f t="shared" ref="Q137" si="527">J137+J138</f>
        <v>0</v>
      </c>
      <c r="R137" s="641">
        <f t="shared" ref="R137" si="528">P137-Q137</f>
        <v>-2.8572000001503284E-5</v>
      </c>
      <c r="S137" s="927">
        <f t="shared" ref="S137" si="529">Q137/P137</f>
        <v>0</v>
      </c>
      <c r="T137" s="927">
        <f t="shared" si="484"/>
        <v>1.0000020967241439</v>
      </c>
    </row>
    <row r="138" spans="1:21" ht="15" customHeight="1" thickBot="1">
      <c r="A138" s="49">
        <v>120</v>
      </c>
      <c r="B138" s="118">
        <f t="shared" ref="B138" si="530">+B136+$B$20</f>
        <v>60</v>
      </c>
      <c r="C138" s="245" t="s">
        <v>99</v>
      </c>
      <c r="D138" s="249" t="s">
        <v>95</v>
      </c>
      <c r="E138" s="250" t="s">
        <v>167</v>
      </c>
      <c r="F138" s="250">
        <v>37446</v>
      </c>
      <c r="G138" s="251">
        <v>4.9761857139999996</v>
      </c>
      <c r="H138" s="136"/>
      <c r="I138" s="137">
        <f t="shared" ref="I138" si="531">G138+H138+K137</f>
        <v>-2.8572000001503284E-5</v>
      </c>
      <c r="J138" s="138"/>
      <c r="K138" s="146">
        <f t="shared" si="293"/>
        <v>-2.8572000001503284E-5</v>
      </c>
      <c r="L138" s="148">
        <f t="shared" si="296"/>
        <v>0</v>
      </c>
      <c r="M138" s="625">
        <v>43510</v>
      </c>
      <c r="N138" s="73"/>
      <c r="O138" s="73"/>
      <c r="P138" s="73"/>
      <c r="Q138" s="642"/>
      <c r="R138" s="642"/>
      <c r="S138" s="928"/>
      <c r="T138" s="928"/>
    </row>
    <row r="139" spans="1:21" ht="15" customHeight="1" thickBot="1">
      <c r="A139" s="49">
        <v>121</v>
      </c>
      <c r="B139" s="118">
        <f t="shared" ref="B139" si="532">+B137+$B$19</f>
        <v>61</v>
      </c>
      <c r="C139" s="244" t="s">
        <v>99</v>
      </c>
      <c r="D139" s="246" t="s">
        <v>35</v>
      </c>
      <c r="E139" s="247" t="s">
        <v>168</v>
      </c>
      <c r="F139" s="247">
        <v>964007</v>
      </c>
      <c r="G139" s="248">
        <v>8.6507857139999995</v>
      </c>
      <c r="H139" s="221">
        <v>-13.627000000000001</v>
      </c>
      <c r="I139" s="69">
        <f t="shared" ref="I139" si="533">G139+H139</f>
        <v>-4.9762142860000012</v>
      </c>
      <c r="J139" s="70"/>
      <c r="K139" s="145">
        <f t="shared" si="293"/>
        <v>-4.9762142860000012</v>
      </c>
      <c r="L139" s="147">
        <f t="shared" si="296"/>
        <v>0</v>
      </c>
      <c r="M139" s="621">
        <v>43538</v>
      </c>
      <c r="N139" s="71">
        <f t="shared" ref="N139:O139" si="534">G139+G140</f>
        <v>13.626971427999999</v>
      </c>
      <c r="O139" s="72">
        <f t="shared" si="534"/>
        <v>-13.627000000000001</v>
      </c>
      <c r="P139" s="71">
        <f t="shared" ref="P139" si="535">N139+O139</f>
        <v>-2.8572000001503284E-5</v>
      </c>
      <c r="Q139" s="640">
        <f t="shared" ref="Q139" si="536">J139+J140</f>
        <v>0</v>
      </c>
      <c r="R139" s="641">
        <f t="shared" ref="R139" si="537">P139-Q139</f>
        <v>-2.8572000001503284E-5</v>
      </c>
      <c r="S139" s="927">
        <f t="shared" ref="S139" si="538">Q139/P139</f>
        <v>0</v>
      </c>
      <c r="T139" s="927">
        <f t="shared" si="484"/>
        <v>1.0000020967241439</v>
      </c>
    </row>
    <row r="140" spans="1:21" ht="15" customHeight="1" thickBot="1">
      <c r="A140" s="49">
        <v>122</v>
      </c>
      <c r="B140" s="118">
        <f t="shared" ref="B140" si="539">+B138+$B$20</f>
        <v>61</v>
      </c>
      <c r="C140" s="245" t="s">
        <v>99</v>
      </c>
      <c r="D140" s="249" t="s">
        <v>95</v>
      </c>
      <c r="E140" s="250" t="s">
        <v>168</v>
      </c>
      <c r="F140" s="250">
        <v>964007</v>
      </c>
      <c r="G140" s="251">
        <v>4.9761857139999996</v>
      </c>
      <c r="H140" s="136"/>
      <c r="I140" s="137">
        <f t="shared" ref="I140" si="540">G140+H140+K139</f>
        <v>-2.8572000001503284E-5</v>
      </c>
      <c r="J140" s="138"/>
      <c r="K140" s="146">
        <f t="shared" si="293"/>
        <v>-2.8572000001503284E-5</v>
      </c>
      <c r="L140" s="148">
        <f t="shared" si="296"/>
        <v>0</v>
      </c>
      <c r="M140" s="621">
        <v>43538</v>
      </c>
      <c r="N140" s="73"/>
      <c r="O140" s="73"/>
      <c r="P140" s="73"/>
      <c r="Q140" s="642"/>
      <c r="R140" s="642"/>
      <c r="S140" s="928"/>
      <c r="T140" s="928"/>
    </row>
    <row r="141" spans="1:21" ht="15" customHeight="1" thickBot="1">
      <c r="A141" s="49">
        <v>123</v>
      </c>
      <c r="B141" s="118">
        <f t="shared" ref="B141" si="541">+B139+$B$19</f>
        <v>62</v>
      </c>
      <c r="C141" s="244" t="s">
        <v>99</v>
      </c>
      <c r="D141" s="246" t="s">
        <v>35</v>
      </c>
      <c r="E141" s="247" t="s">
        <v>169</v>
      </c>
      <c r="F141" s="247">
        <v>963406</v>
      </c>
      <c r="G141" s="248">
        <v>8.6507857139999995</v>
      </c>
      <c r="H141" s="221">
        <v>-13.627000000000001</v>
      </c>
      <c r="I141" s="69">
        <f t="shared" ref="I141" si="542">G141+H141</f>
        <v>-4.9762142860000012</v>
      </c>
      <c r="J141" s="70"/>
      <c r="K141" s="145">
        <f t="shared" si="293"/>
        <v>-4.9762142860000012</v>
      </c>
      <c r="L141" s="147">
        <f t="shared" si="296"/>
        <v>0</v>
      </c>
      <c r="M141" s="621">
        <v>43538</v>
      </c>
      <c r="N141" s="71">
        <f t="shared" ref="N141:O141" si="543">G141+G142</f>
        <v>13.626971427999999</v>
      </c>
      <c r="O141" s="72">
        <f t="shared" si="543"/>
        <v>-13.627000000000001</v>
      </c>
      <c r="P141" s="71">
        <f t="shared" ref="P141" si="544">N141+O141</f>
        <v>-2.8572000001503284E-5</v>
      </c>
      <c r="Q141" s="640">
        <f t="shared" ref="Q141" si="545">J141+J142</f>
        <v>0</v>
      </c>
      <c r="R141" s="641">
        <f t="shared" ref="R141" si="546">P141-Q141</f>
        <v>-2.8572000001503284E-5</v>
      </c>
      <c r="S141" s="927">
        <f t="shared" ref="S141" si="547">Q141/P141</f>
        <v>0</v>
      </c>
      <c r="T141" s="927">
        <f t="shared" si="484"/>
        <v>1.0000020967241439</v>
      </c>
    </row>
    <row r="142" spans="1:21" ht="15" customHeight="1" thickBot="1">
      <c r="A142" s="49">
        <v>124</v>
      </c>
      <c r="B142" s="118">
        <f t="shared" ref="B142" si="548">+B140+$B$20</f>
        <v>62</v>
      </c>
      <c r="C142" s="245" t="s">
        <v>99</v>
      </c>
      <c r="D142" s="249" t="s">
        <v>95</v>
      </c>
      <c r="E142" s="250" t="s">
        <v>169</v>
      </c>
      <c r="F142" s="250">
        <v>963406</v>
      </c>
      <c r="G142" s="251">
        <v>4.9761857139999996</v>
      </c>
      <c r="H142" s="136"/>
      <c r="I142" s="137">
        <f t="shared" ref="I142" si="549">G142+H142+K141</f>
        <v>-2.8572000001503284E-5</v>
      </c>
      <c r="J142" s="138"/>
      <c r="K142" s="146">
        <f t="shared" si="293"/>
        <v>-2.8572000001503284E-5</v>
      </c>
      <c r="L142" s="148">
        <f t="shared" si="296"/>
        <v>0</v>
      </c>
      <c r="M142" s="621">
        <v>43538</v>
      </c>
      <c r="N142" s="73"/>
      <c r="O142" s="73"/>
      <c r="P142" s="73"/>
      <c r="Q142" s="642"/>
      <c r="R142" s="642"/>
      <c r="S142" s="928"/>
      <c r="T142" s="928"/>
    </row>
    <row r="143" spans="1:21" ht="15" customHeight="1">
      <c r="A143" s="49">
        <v>125</v>
      </c>
      <c r="B143" s="118">
        <f t="shared" ref="B143" si="550">+B141+$B$19</f>
        <v>63</v>
      </c>
      <c r="C143" s="244" t="s">
        <v>99</v>
      </c>
      <c r="D143" s="246" t="s">
        <v>35</v>
      </c>
      <c r="E143" s="247" t="s">
        <v>170</v>
      </c>
      <c r="F143" s="247">
        <v>918726</v>
      </c>
      <c r="G143" s="248">
        <v>8.6507857139999995</v>
      </c>
      <c r="H143" s="221">
        <f>-13.5</f>
        <v>-13.5</v>
      </c>
      <c r="I143" s="69">
        <f t="shared" ref="I143" si="551">G143+H143</f>
        <v>-4.8492142860000005</v>
      </c>
      <c r="J143" s="70"/>
      <c r="K143" s="145">
        <f t="shared" si="293"/>
        <v>-4.8492142860000005</v>
      </c>
      <c r="L143" s="147">
        <f t="shared" si="296"/>
        <v>0</v>
      </c>
      <c r="M143" s="622">
        <v>43629</v>
      </c>
      <c r="N143" s="71">
        <f t="shared" ref="N143:O143" si="552">G143+G144</f>
        <v>13.626971427999999</v>
      </c>
      <c r="O143" s="72">
        <f t="shared" si="552"/>
        <v>-13.5</v>
      </c>
      <c r="P143" s="71">
        <f t="shared" ref="P143" si="553">N143+O143</f>
        <v>0.12697142799999916</v>
      </c>
      <c r="Q143" s="640">
        <f t="shared" ref="Q143" si="554">J143+J144</f>
        <v>0</v>
      </c>
      <c r="R143" s="641">
        <f t="shared" ref="R143" si="555">P143-Q143</f>
        <v>0.12697142799999916</v>
      </c>
      <c r="S143" s="927">
        <f t="shared" ref="S143" si="556">Q143/P143</f>
        <v>0</v>
      </c>
      <c r="T143" s="927">
        <f t="shared" si="484"/>
        <v>0.99068234429998847</v>
      </c>
      <c r="U143" s="573"/>
    </row>
    <row r="144" spans="1:21" ht="15" customHeight="1" thickBot="1">
      <c r="A144" s="49">
        <v>126</v>
      </c>
      <c r="B144" s="118">
        <f t="shared" ref="B144" si="557">+B142+$B$20</f>
        <v>63</v>
      </c>
      <c r="C144" s="245" t="s">
        <v>99</v>
      </c>
      <c r="D144" s="249" t="s">
        <v>95</v>
      </c>
      <c r="E144" s="250" t="s">
        <v>170</v>
      </c>
      <c r="F144" s="250">
        <v>918726</v>
      </c>
      <c r="G144" s="251">
        <v>4.9761857139999996</v>
      </c>
      <c r="H144" s="136"/>
      <c r="I144" s="137">
        <f t="shared" ref="I144" si="558">G144+H144+K143</f>
        <v>0.12697142799999916</v>
      </c>
      <c r="J144" s="138"/>
      <c r="K144" s="146">
        <f t="shared" si="293"/>
        <v>0.12697142799999916</v>
      </c>
      <c r="L144" s="148">
        <f t="shared" si="296"/>
        <v>0</v>
      </c>
      <c r="M144" s="626" t="s">
        <v>30</v>
      </c>
      <c r="N144" s="73"/>
      <c r="O144" s="73"/>
      <c r="P144" s="73"/>
      <c r="Q144" s="642"/>
      <c r="R144" s="642"/>
      <c r="S144" s="928"/>
      <c r="T144" s="928"/>
    </row>
    <row r="145" spans="1:20" ht="15" customHeight="1" thickBot="1">
      <c r="A145" s="49">
        <v>127</v>
      </c>
      <c r="B145" s="118">
        <f t="shared" ref="B145" si="559">+B143+$B$19</f>
        <v>64</v>
      </c>
      <c r="C145" s="244" t="s">
        <v>99</v>
      </c>
      <c r="D145" s="246" t="s">
        <v>35</v>
      </c>
      <c r="E145" s="247" t="s">
        <v>171</v>
      </c>
      <c r="F145" s="247">
        <v>913408</v>
      </c>
      <c r="G145" s="248">
        <v>8.6507857139999995</v>
      </c>
      <c r="H145" s="221">
        <v>-13.627000000000001</v>
      </c>
      <c r="I145" s="69">
        <f t="shared" ref="I145" si="560">G145+H145</f>
        <v>-4.9762142860000012</v>
      </c>
      <c r="J145" s="70"/>
      <c r="K145" s="145">
        <f t="shared" si="293"/>
        <v>-4.9762142860000012</v>
      </c>
      <c r="L145" s="147">
        <f t="shared" si="296"/>
        <v>0</v>
      </c>
      <c r="M145" s="621">
        <v>43538</v>
      </c>
      <c r="N145" s="71">
        <f t="shared" ref="N145:O145" si="561">G145+G146</f>
        <v>13.626971427999999</v>
      </c>
      <c r="O145" s="72">
        <f t="shared" si="561"/>
        <v>-13.627000000000001</v>
      </c>
      <c r="P145" s="71">
        <f t="shared" ref="P145" si="562">N145+O145</f>
        <v>-2.8572000001503284E-5</v>
      </c>
      <c r="Q145" s="640">
        <f t="shared" ref="Q145" si="563">J145+J146</f>
        <v>0</v>
      </c>
      <c r="R145" s="641">
        <f t="shared" ref="R145" si="564">P145-Q145</f>
        <v>-2.8572000001503284E-5</v>
      </c>
      <c r="S145" s="927">
        <f t="shared" ref="S145" si="565">Q145/P145</f>
        <v>0</v>
      </c>
      <c r="T145" s="927">
        <f t="shared" si="484"/>
        <v>1.0000020967241439</v>
      </c>
    </row>
    <row r="146" spans="1:20" ht="15" customHeight="1" thickBot="1">
      <c r="A146" s="49">
        <v>128</v>
      </c>
      <c r="B146" s="118">
        <f t="shared" ref="B146" si="566">+B144+$B$20</f>
        <v>64</v>
      </c>
      <c r="C146" s="245" t="s">
        <v>99</v>
      </c>
      <c r="D146" s="249" t="s">
        <v>95</v>
      </c>
      <c r="E146" s="250" t="s">
        <v>171</v>
      </c>
      <c r="F146" s="250">
        <v>913408</v>
      </c>
      <c r="G146" s="251">
        <v>4.9761857139999996</v>
      </c>
      <c r="H146" s="136"/>
      <c r="I146" s="137">
        <f t="shared" ref="I146" si="567">G146+H146+K145</f>
        <v>-2.8572000001503284E-5</v>
      </c>
      <c r="J146" s="138"/>
      <c r="K146" s="146">
        <f t="shared" si="293"/>
        <v>-2.8572000001503284E-5</v>
      </c>
      <c r="L146" s="148">
        <f t="shared" si="296"/>
        <v>0</v>
      </c>
      <c r="M146" s="621">
        <v>43538</v>
      </c>
      <c r="N146" s="73"/>
      <c r="O146" s="73"/>
      <c r="P146" s="73"/>
      <c r="Q146" s="642"/>
      <c r="R146" s="642"/>
      <c r="S146" s="928"/>
      <c r="T146" s="928"/>
    </row>
    <row r="147" spans="1:20" ht="15" customHeight="1" thickBot="1">
      <c r="A147" s="49">
        <v>129</v>
      </c>
      <c r="B147" s="118">
        <f t="shared" ref="B147" si="568">+B145+$B$19</f>
        <v>65</v>
      </c>
      <c r="C147" s="244" t="s">
        <v>99</v>
      </c>
      <c r="D147" s="246" t="s">
        <v>35</v>
      </c>
      <c r="E147" s="247" t="s">
        <v>172</v>
      </c>
      <c r="F147" s="247">
        <v>964169</v>
      </c>
      <c r="G147" s="248">
        <v>8.6507857139999995</v>
      </c>
      <c r="H147" s="221">
        <v>-13.627000000000001</v>
      </c>
      <c r="I147" s="69">
        <f t="shared" ref="I147" si="569">G147+H147</f>
        <v>-4.9762142860000012</v>
      </c>
      <c r="J147" s="70"/>
      <c r="K147" s="145">
        <f t="shared" si="293"/>
        <v>-4.9762142860000012</v>
      </c>
      <c r="L147" s="147">
        <f t="shared" si="296"/>
        <v>0</v>
      </c>
      <c r="M147" s="621">
        <v>43538</v>
      </c>
      <c r="N147" s="71">
        <f t="shared" ref="N147:O147" si="570">G147+G148</f>
        <v>13.626971427999999</v>
      </c>
      <c r="O147" s="72">
        <f t="shared" si="570"/>
        <v>-13.627000000000001</v>
      </c>
      <c r="P147" s="71">
        <f t="shared" ref="P147" si="571">N147+O147</f>
        <v>-2.8572000001503284E-5</v>
      </c>
      <c r="Q147" s="640">
        <f t="shared" ref="Q147" si="572">J147+J148</f>
        <v>0</v>
      </c>
      <c r="R147" s="641">
        <f t="shared" ref="R147" si="573">P147-Q147</f>
        <v>-2.8572000001503284E-5</v>
      </c>
      <c r="S147" s="927">
        <f t="shared" ref="S147" si="574">Q147/P147</f>
        <v>0</v>
      </c>
      <c r="T147" s="927">
        <f t="shared" ref="T147:T209" si="575">((Q147+O147)/N147)*-1</f>
        <v>1.0000020967241439</v>
      </c>
    </row>
    <row r="148" spans="1:20" ht="15" customHeight="1" thickBot="1">
      <c r="A148" s="49">
        <v>130</v>
      </c>
      <c r="B148" s="118">
        <f t="shared" ref="B148" si="576">+B146+$B$20</f>
        <v>65</v>
      </c>
      <c r="C148" s="245" t="s">
        <v>99</v>
      </c>
      <c r="D148" s="249" t="s">
        <v>95</v>
      </c>
      <c r="E148" s="250" t="s">
        <v>172</v>
      </c>
      <c r="F148" s="250">
        <v>964169</v>
      </c>
      <c r="G148" s="251">
        <v>4.9761857139999996</v>
      </c>
      <c r="H148" s="136"/>
      <c r="I148" s="137">
        <f t="shared" ref="I148" si="577">G148+H148+K147</f>
        <v>-2.8572000001503284E-5</v>
      </c>
      <c r="J148" s="138"/>
      <c r="K148" s="146">
        <f t="shared" si="293"/>
        <v>-2.8572000001503284E-5</v>
      </c>
      <c r="L148" s="148">
        <f t="shared" si="296"/>
        <v>0</v>
      </c>
      <c r="M148" s="621">
        <v>43538</v>
      </c>
      <c r="N148" s="73"/>
      <c r="O148" s="73"/>
      <c r="P148" s="73"/>
      <c r="Q148" s="642"/>
      <c r="R148" s="642"/>
      <c r="S148" s="928"/>
      <c r="T148" s="928"/>
    </row>
    <row r="149" spans="1:20" ht="15" customHeight="1" thickBot="1">
      <c r="A149" s="49">
        <v>131</v>
      </c>
      <c r="B149" s="118">
        <f t="shared" ref="B149" si="578">+B147+$B$19</f>
        <v>66</v>
      </c>
      <c r="C149" s="244" t="s">
        <v>99</v>
      </c>
      <c r="D149" s="246" t="s">
        <v>35</v>
      </c>
      <c r="E149" s="247" t="s">
        <v>173</v>
      </c>
      <c r="F149" s="247">
        <v>961964</v>
      </c>
      <c r="G149" s="248">
        <v>8.6507857139999995</v>
      </c>
      <c r="H149" s="221">
        <v>-13.627000000000001</v>
      </c>
      <c r="I149" s="69">
        <f t="shared" ref="I149" si="579">G149+H149</f>
        <v>-4.9762142860000012</v>
      </c>
      <c r="J149" s="70"/>
      <c r="K149" s="145">
        <f t="shared" si="293"/>
        <v>-4.9762142860000012</v>
      </c>
      <c r="L149" s="147">
        <f t="shared" si="296"/>
        <v>0</v>
      </c>
      <c r="M149" s="621">
        <v>43538</v>
      </c>
      <c r="N149" s="71">
        <f t="shared" ref="N149:O149" si="580">G149+G150</f>
        <v>13.626971427999999</v>
      </c>
      <c r="O149" s="72">
        <f t="shared" si="580"/>
        <v>-13.627000000000001</v>
      </c>
      <c r="P149" s="71">
        <f t="shared" ref="P149" si="581">N149+O149</f>
        <v>-2.8572000001503284E-5</v>
      </c>
      <c r="Q149" s="640">
        <f t="shared" ref="Q149" si="582">J149+J150</f>
        <v>0</v>
      </c>
      <c r="R149" s="641">
        <f t="shared" ref="R149" si="583">P149-Q149</f>
        <v>-2.8572000001503284E-5</v>
      </c>
      <c r="S149" s="927">
        <f t="shared" ref="S149" si="584">Q149/P149</f>
        <v>0</v>
      </c>
      <c r="T149" s="927">
        <f t="shared" si="575"/>
        <v>1.0000020967241439</v>
      </c>
    </row>
    <row r="150" spans="1:20" ht="15" customHeight="1" thickBot="1">
      <c r="A150" s="49">
        <v>132</v>
      </c>
      <c r="B150" s="118">
        <f t="shared" ref="B150" si="585">+B148+$B$20</f>
        <v>66</v>
      </c>
      <c r="C150" s="245" t="s">
        <v>99</v>
      </c>
      <c r="D150" s="249" t="s">
        <v>95</v>
      </c>
      <c r="E150" s="250" t="s">
        <v>173</v>
      </c>
      <c r="F150" s="250">
        <v>961964</v>
      </c>
      <c r="G150" s="251">
        <v>4.9761857139999996</v>
      </c>
      <c r="H150" s="136"/>
      <c r="I150" s="137">
        <f t="shared" ref="I150" si="586">G150+H150+K149</f>
        <v>-2.8572000001503284E-5</v>
      </c>
      <c r="J150" s="138"/>
      <c r="K150" s="146">
        <f t="shared" ref="K150:K213" si="587">I150-J150</f>
        <v>-2.8572000001503284E-5</v>
      </c>
      <c r="L150" s="148">
        <f t="shared" si="296"/>
        <v>0</v>
      </c>
      <c r="M150" s="621">
        <v>43538</v>
      </c>
      <c r="N150" s="73"/>
      <c r="O150" s="73"/>
      <c r="P150" s="73"/>
      <c r="Q150" s="642"/>
      <c r="R150" s="642"/>
      <c r="S150" s="928"/>
      <c r="T150" s="928"/>
    </row>
    <row r="151" spans="1:20" ht="15" customHeight="1" thickBot="1">
      <c r="A151" s="49">
        <v>133</v>
      </c>
      <c r="B151" s="118">
        <f t="shared" ref="B151" si="588">+B149+$B$19</f>
        <v>67</v>
      </c>
      <c r="C151" s="244" t="s">
        <v>99</v>
      </c>
      <c r="D151" s="246" t="s">
        <v>35</v>
      </c>
      <c r="E151" s="247" t="s">
        <v>174</v>
      </c>
      <c r="F151" s="247">
        <v>920100</v>
      </c>
      <c r="G151" s="248">
        <v>8.6507857139999995</v>
      </c>
      <c r="H151" s="221">
        <v>-13.627000000000001</v>
      </c>
      <c r="I151" s="69">
        <f t="shared" ref="I151" si="589">G151+H151</f>
        <v>-4.9762142860000012</v>
      </c>
      <c r="J151" s="70"/>
      <c r="K151" s="145">
        <f t="shared" si="587"/>
        <v>-4.9762142860000012</v>
      </c>
      <c r="L151" s="147">
        <f t="shared" ref="L151:L214" si="590">J151/I151</f>
        <v>0</v>
      </c>
      <c r="M151" s="621">
        <v>43538</v>
      </c>
      <c r="N151" s="71">
        <f t="shared" ref="N151:O151" si="591">G151+G152</f>
        <v>13.626971427999999</v>
      </c>
      <c r="O151" s="72">
        <f t="shared" si="591"/>
        <v>-13.627000000000001</v>
      </c>
      <c r="P151" s="71">
        <f t="shared" ref="P151" si="592">N151+O151</f>
        <v>-2.8572000001503284E-5</v>
      </c>
      <c r="Q151" s="640">
        <f t="shared" ref="Q151" si="593">J151+J152</f>
        <v>0</v>
      </c>
      <c r="R151" s="641">
        <f t="shared" ref="R151" si="594">P151-Q151</f>
        <v>-2.8572000001503284E-5</v>
      </c>
      <c r="S151" s="927">
        <f t="shared" ref="S151" si="595">Q151/P151</f>
        <v>0</v>
      </c>
      <c r="T151" s="927">
        <f t="shared" si="575"/>
        <v>1.0000020967241439</v>
      </c>
    </row>
    <row r="152" spans="1:20" ht="15" customHeight="1" thickBot="1">
      <c r="A152" s="49">
        <v>134</v>
      </c>
      <c r="B152" s="118">
        <f t="shared" ref="B152" si="596">+B150+$B$20</f>
        <v>67</v>
      </c>
      <c r="C152" s="245" t="s">
        <v>99</v>
      </c>
      <c r="D152" s="249" t="s">
        <v>95</v>
      </c>
      <c r="E152" s="250" t="s">
        <v>174</v>
      </c>
      <c r="F152" s="250">
        <v>920100</v>
      </c>
      <c r="G152" s="251">
        <v>4.9761857139999996</v>
      </c>
      <c r="H152" s="136"/>
      <c r="I152" s="137">
        <f t="shared" ref="I152" si="597">G152+H152+K151</f>
        <v>-2.8572000001503284E-5</v>
      </c>
      <c r="J152" s="138"/>
      <c r="K152" s="146">
        <f t="shared" si="587"/>
        <v>-2.8572000001503284E-5</v>
      </c>
      <c r="L152" s="148">
        <f t="shared" si="590"/>
        <v>0</v>
      </c>
      <c r="M152" s="621">
        <v>43538</v>
      </c>
      <c r="N152" s="73"/>
      <c r="O152" s="73"/>
      <c r="P152" s="73"/>
      <c r="Q152" s="642"/>
      <c r="R152" s="642"/>
      <c r="S152" s="928"/>
      <c r="T152" s="928"/>
    </row>
    <row r="153" spans="1:20" ht="15" customHeight="1" thickBot="1">
      <c r="A153" s="49">
        <v>135</v>
      </c>
      <c r="B153" s="118">
        <f t="shared" ref="B153" si="598">+B151+$B$19</f>
        <v>68</v>
      </c>
      <c r="C153" s="244" t="s">
        <v>99</v>
      </c>
      <c r="D153" s="246" t="s">
        <v>35</v>
      </c>
      <c r="E153" s="247" t="s">
        <v>175</v>
      </c>
      <c r="F153" s="247">
        <v>923210</v>
      </c>
      <c r="G153" s="248">
        <v>8.6507857139999995</v>
      </c>
      <c r="H153" s="221">
        <v>-13.627000000000001</v>
      </c>
      <c r="I153" s="69">
        <f t="shared" ref="I153" si="599">G153+H153</f>
        <v>-4.9762142860000012</v>
      </c>
      <c r="J153" s="70"/>
      <c r="K153" s="145">
        <f t="shared" si="587"/>
        <v>-4.9762142860000012</v>
      </c>
      <c r="L153" s="147">
        <f t="shared" si="590"/>
        <v>0</v>
      </c>
      <c r="M153" s="621">
        <v>43538</v>
      </c>
      <c r="N153" s="71">
        <f t="shared" ref="N153:O153" si="600">G153+G154</f>
        <v>13.626971427999999</v>
      </c>
      <c r="O153" s="72">
        <f t="shared" si="600"/>
        <v>-13.627000000000001</v>
      </c>
      <c r="P153" s="71">
        <f t="shared" ref="P153" si="601">N153+O153</f>
        <v>-2.8572000001503284E-5</v>
      </c>
      <c r="Q153" s="640">
        <f t="shared" ref="Q153" si="602">J153+J154</f>
        <v>0</v>
      </c>
      <c r="R153" s="641">
        <f t="shared" ref="R153" si="603">P153-Q153</f>
        <v>-2.8572000001503284E-5</v>
      </c>
      <c r="S153" s="927">
        <f t="shared" ref="S153" si="604">Q153/P153</f>
        <v>0</v>
      </c>
      <c r="T153" s="927">
        <f t="shared" si="575"/>
        <v>1.0000020967241439</v>
      </c>
    </row>
    <row r="154" spans="1:20" ht="15" customHeight="1" thickBot="1">
      <c r="A154" s="49">
        <v>136</v>
      </c>
      <c r="B154" s="118">
        <f t="shared" ref="B154" si="605">+B152+$B$20</f>
        <v>68</v>
      </c>
      <c r="C154" s="245" t="s">
        <v>99</v>
      </c>
      <c r="D154" s="249" t="s">
        <v>95</v>
      </c>
      <c r="E154" s="250" t="s">
        <v>175</v>
      </c>
      <c r="F154" s="250">
        <v>923210</v>
      </c>
      <c r="G154" s="251">
        <v>4.9761857139999996</v>
      </c>
      <c r="H154" s="136"/>
      <c r="I154" s="137">
        <f t="shared" ref="I154" si="606">G154+H154+K153</f>
        <v>-2.8572000001503284E-5</v>
      </c>
      <c r="J154" s="138"/>
      <c r="K154" s="146">
        <f t="shared" si="587"/>
        <v>-2.8572000001503284E-5</v>
      </c>
      <c r="L154" s="148">
        <f t="shared" si="590"/>
        <v>0</v>
      </c>
      <c r="M154" s="621">
        <v>43538</v>
      </c>
      <c r="N154" s="73"/>
      <c r="O154" s="73"/>
      <c r="P154" s="73"/>
      <c r="Q154" s="642"/>
      <c r="R154" s="642"/>
      <c r="S154" s="928"/>
      <c r="T154" s="928"/>
    </row>
    <row r="155" spans="1:20" ht="15" customHeight="1" thickBot="1">
      <c r="A155" s="49">
        <v>137</v>
      </c>
      <c r="B155" s="118">
        <f t="shared" ref="B155" si="607">+B153+$B$19</f>
        <v>69</v>
      </c>
      <c r="C155" s="244" t="s">
        <v>99</v>
      </c>
      <c r="D155" s="246" t="s">
        <v>35</v>
      </c>
      <c r="E155" s="247" t="s">
        <v>176</v>
      </c>
      <c r="F155" s="247">
        <v>920409</v>
      </c>
      <c r="G155" s="248">
        <v>8.6507857139999995</v>
      </c>
      <c r="H155" s="221">
        <v>-13.627000000000001</v>
      </c>
      <c r="I155" s="69">
        <f t="shared" ref="I155" si="608">G155+H155</f>
        <v>-4.9762142860000012</v>
      </c>
      <c r="J155" s="70"/>
      <c r="K155" s="145">
        <f t="shared" si="587"/>
        <v>-4.9762142860000012</v>
      </c>
      <c r="L155" s="147">
        <f t="shared" si="590"/>
        <v>0</v>
      </c>
      <c r="M155" s="621">
        <v>43538</v>
      </c>
      <c r="N155" s="71">
        <f t="shared" ref="N155:O155" si="609">G155+G156</f>
        <v>13.626971427999999</v>
      </c>
      <c r="O155" s="72">
        <f t="shared" si="609"/>
        <v>-13.627000000000001</v>
      </c>
      <c r="P155" s="71">
        <f t="shared" ref="P155" si="610">N155+O155</f>
        <v>-2.8572000001503284E-5</v>
      </c>
      <c r="Q155" s="640">
        <f t="shared" ref="Q155" si="611">J155+J156</f>
        <v>0</v>
      </c>
      <c r="R155" s="641">
        <f t="shared" ref="R155" si="612">P155-Q155</f>
        <v>-2.8572000001503284E-5</v>
      </c>
      <c r="S155" s="927">
        <f t="shared" ref="S155" si="613">Q155/P155</f>
        <v>0</v>
      </c>
      <c r="T155" s="927">
        <f t="shared" si="575"/>
        <v>1.0000020967241439</v>
      </c>
    </row>
    <row r="156" spans="1:20" ht="15" customHeight="1" thickBot="1">
      <c r="A156" s="49">
        <v>138</v>
      </c>
      <c r="B156" s="118">
        <f t="shared" ref="B156" si="614">+B154+$B$20</f>
        <v>69</v>
      </c>
      <c r="C156" s="245" t="s">
        <v>99</v>
      </c>
      <c r="D156" s="249" t="s">
        <v>95</v>
      </c>
      <c r="E156" s="250" t="s">
        <v>176</v>
      </c>
      <c r="F156" s="250">
        <v>920409</v>
      </c>
      <c r="G156" s="251">
        <v>4.9761857139999996</v>
      </c>
      <c r="H156" s="136"/>
      <c r="I156" s="137">
        <f t="shared" ref="I156" si="615">G156+H156+K155</f>
        <v>-2.8572000001503284E-5</v>
      </c>
      <c r="J156" s="138"/>
      <c r="K156" s="146">
        <f t="shared" si="587"/>
        <v>-2.8572000001503284E-5</v>
      </c>
      <c r="L156" s="148">
        <f t="shared" si="590"/>
        <v>0</v>
      </c>
      <c r="M156" s="621">
        <v>43538</v>
      </c>
      <c r="N156" s="73"/>
      <c r="O156" s="73"/>
      <c r="P156" s="73"/>
      <c r="Q156" s="642"/>
      <c r="R156" s="642"/>
      <c r="S156" s="928"/>
      <c r="T156" s="928"/>
    </row>
    <row r="157" spans="1:20" ht="15" customHeight="1" thickBot="1">
      <c r="A157" s="49">
        <v>139</v>
      </c>
      <c r="B157" s="118">
        <f t="shared" ref="B157" si="616">+B155+$B$19</f>
        <v>70</v>
      </c>
      <c r="C157" s="244" t="s">
        <v>99</v>
      </c>
      <c r="D157" s="246" t="s">
        <v>35</v>
      </c>
      <c r="E157" s="247" t="s">
        <v>177</v>
      </c>
      <c r="F157" s="247">
        <v>954070</v>
      </c>
      <c r="G157" s="248">
        <v>8.6507857139999995</v>
      </c>
      <c r="H157" s="221">
        <v>-13.627000000000001</v>
      </c>
      <c r="I157" s="69">
        <f t="shared" ref="I157" si="617">G157+H157</f>
        <v>-4.9762142860000012</v>
      </c>
      <c r="J157" s="70"/>
      <c r="K157" s="145">
        <f t="shared" si="587"/>
        <v>-4.9762142860000012</v>
      </c>
      <c r="L157" s="147">
        <f t="shared" si="590"/>
        <v>0</v>
      </c>
      <c r="M157" s="621">
        <v>43538</v>
      </c>
      <c r="N157" s="71">
        <f t="shared" ref="N157:O157" si="618">G157+G158</f>
        <v>13.626971427999999</v>
      </c>
      <c r="O157" s="72">
        <f t="shared" si="618"/>
        <v>-13.627000000000001</v>
      </c>
      <c r="P157" s="71">
        <f t="shared" ref="P157" si="619">N157+O157</f>
        <v>-2.8572000001503284E-5</v>
      </c>
      <c r="Q157" s="640">
        <f t="shared" ref="Q157" si="620">J157+J158</f>
        <v>0</v>
      </c>
      <c r="R157" s="641">
        <f t="shared" ref="R157" si="621">P157-Q157</f>
        <v>-2.8572000001503284E-5</v>
      </c>
      <c r="S157" s="927">
        <f t="shared" ref="S157" si="622">Q157/P157</f>
        <v>0</v>
      </c>
      <c r="T157" s="927">
        <f t="shared" si="575"/>
        <v>1.0000020967241439</v>
      </c>
    </row>
    <row r="158" spans="1:20" ht="15" customHeight="1" thickBot="1">
      <c r="A158" s="49">
        <v>140</v>
      </c>
      <c r="B158" s="118">
        <f t="shared" ref="B158" si="623">+B156+$B$20</f>
        <v>70</v>
      </c>
      <c r="C158" s="245" t="s">
        <v>99</v>
      </c>
      <c r="D158" s="249" t="s">
        <v>95</v>
      </c>
      <c r="E158" s="250" t="s">
        <v>177</v>
      </c>
      <c r="F158" s="250">
        <v>954070</v>
      </c>
      <c r="G158" s="251">
        <v>4.9761857139999996</v>
      </c>
      <c r="H158" s="136"/>
      <c r="I158" s="137">
        <f t="shared" ref="I158" si="624">G158+H158+K157</f>
        <v>-2.8572000001503284E-5</v>
      </c>
      <c r="J158" s="138"/>
      <c r="K158" s="146">
        <f t="shared" si="587"/>
        <v>-2.8572000001503284E-5</v>
      </c>
      <c r="L158" s="148">
        <f t="shared" si="590"/>
        <v>0</v>
      </c>
      <c r="M158" s="621">
        <v>43538</v>
      </c>
      <c r="N158" s="73"/>
      <c r="O158" s="73"/>
      <c r="P158" s="73"/>
      <c r="Q158" s="642"/>
      <c r="R158" s="642"/>
      <c r="S158" s="928"/>
      <c r="T158" s="928"/>
    </row>
    <row r="159" spans="1:20" ht="15" customHeight="1" thickBot="1">
      <c r="A159" s="107">
        <v>141</v>
      </c>
      <c r="B159" s="107">
        <f t="shared" ref="B159" si="625">+B157+$B$19</f>
        <v>71</v>
      </c>
      <c r="C159" s="112" t="s">
        <v>101</v>
      </c>
      <c r="D159" s="113" t="s">
        <v>35</v>
      </c>
      <c r="E159" s="114" t="s">
        <v>178</v>
      </c>
      <c r="F159" s="114">
        <v>34087</v>
      </c>
      <c r="G159" s="119">
        <v>8.6507857139999995</v>
      </c>
      <c r="H159" s="221">
        <v>-13.627000000000001</v>
      </c>
      <c r="I159" s="69">
        <f t="shared" ref="I159" si="626">G159+H159</f>
        <v>-4.9762142860000012</v>
      </c>
      <c r="J159" s="70"/>
      <c r="K159" s="145">
        <f t="shared" si="587"/>
        <v>-4.9762142860000012</v>
      </c>
      <c r="L159" s="147">
        <f t="shared" si="590"/>
        <v>0</v>
      </c>
      <c r="M159" s="621">
        <v>43538</v>
      </c>
      <c r="N159" s="71">
        <f t="shared" ref="N159:O159" si="627">G159+G160</f>
        <v>13.626971427999999</v>
      </c>
      <c r="O159" s="72">
        <f t="shared" si="627"/>
        <v>-13.627000000000001</v>
      </c>
      <c r="P159" s="71">
        <f t="shared" ref="P159" si="628">N159+O159</f>
        <v>-2.8572000001503284E-5</v>
      </c>
      <c r="Q159" s="640">
        <f t="shared" ref="Q159" si="629">J159+J160</f>
        <v>0</v>
      </c>
      <c r="R159" s="641">
        <f t="shared" ref="R159" si="630">P159-Q159</f>
        <v>-2.8572000001503284E-5</v>
      </c>
      <c r="S159" s="927">
        <f t="shared" ref="S159" si="631">Q159/P159</f>
        <v>0</v>
      </c>
      <c r="T159" s="927">
        <f t="shared" si="575"/>
        <v>1.0000020967241439</v>
      </c>
    </row>
    <row r="160" spans="1:20" ht="15" customHeight="1" thickBot="1">
      <c r="A160" s="49">
        <v>142</v>
      </c>
      <c r="B160" s="107">
        <f t="shared" ref="B160" si="632">+B158+$B$20</f>
        <v>71</v>
      </c>
      <c r="C160" s="132" t="s">
        <v>101</v>
      </c>
      <c r="D160" s="133" t="s">
        <v>95</v>
      </c>
      <c r="E160" s="134" t="s">
        <v>178</v>
      </c>
      <c r="F160" s="134">
        <v>34087</v>
      </c>
      <c r="G160" s="135">
        <v>4.9761857139999996</v>
      </c>
      <c r="H160" s="136"/>
      <c r="I160" s="137">
        <f t="shared" ref="I160" si="633">G160+H160+K159</f>
        <v>-2.8572000001503284E-5</v>
      </c>
      <c r="J160" s="138"/>
      <c r="K160" s="146">
        <f t="shared" si="587"/>
        <v>-2.8572000001503284E-5</v>
      </c>
      <c r="L160" s="148">
        <f t="shared" si="590"/>
        <v>0</v>
      </c>
      <c r="M160" s="621">
        <v>43538</v>
      </c>
      <c r="N160" s="73"/>
      <c r="O160" s="73"/>
      <c r="P160" s="73"/>
      <c r="Q160" s="642"/>
      <c r="R160" s="642"/>
      <c r="S160" s="928"/>
      <c r="T160" s="928"/>
    </row>
    <row r="161" spans="1:20" ht="15" customHeight="1" thickBot="1">
      <c r="A161" s="49">
        <v>143</v>
      </c>
      <c r="B161" s="107">
        <f t="shared" ref="B161" si="634">+B159+$B$19</f>
        <v>72</v>
      </c>
      <c r="C161" s="112" t="s">
        <v>101</v>
      </c>
      <c r="D161" s="113" t="s">
        <v>35</v>
      </c>
      <c r="E161" s="114" t="s">
        <v>179</v>
      </c>
      <c r="F161" s="114">
        <v>16115</v>
      </c>
      <c r="G161" s="119">
        <v>8.6507857139999995</v>
      </c>
      <c r="H161" s="221">
        <v>-13.627000000000001</v>
      </c>
      <c r="I161" s="69">
        <f t="shared" ref="I161" si="635">G161+H161</f>
        <v>-4.9762142860000012</v>
      </c>
      <c r="J161" s="70"/>
      <c r="K161" s="145">
        <f t="shared" si="587"/>
        <v>-4.9762142860000012</v>
      </c>
      <c r="L161" s="147">
        <f t="shared" si="590"/>
        <v>0</v>
      </c>
      <c r="M161" s="621">
        <v>43538</v>
      </c>
      <c r="N161" s="71">
        <f t="shared" ref="N161:O161" si="636">G161+G162</f>
        <v>13.626971427999999</v>
      </c>
      <c r="O161" s="72">
        <f t="shared" si="636"/>
        <v>-13.627000000000001</v>
      </c>
      <c r="P161" s="71">
        <f t="shared" ref="P161" si="637">N161+O161</f>
        <v>-2.8572000001503284E-5</v>
      </c>
      <c r="Q161" s="640">
        <f t="shared" ref="Q161" si="638">J161+J162</f>
        <v>0</v>
      </c>
      <c r="R161" s="641">
        <f t="shared" ref="R161" si="639">P161-Q161</f>
        <v>-2.8572000001503284E-5</v>
      </c>
      <c r="S161" s="927">
        <f t="shared" ref="S161" si="640">Q161/P161</f>
        <v>0</v>
      </c>
      <c r="T161" s="927">
        <f t="shared" si="575"/>
        <v>1.0000020967241439</v>
      </c>
    </row>
    <row r="162" spans="1:20" ht="15" customHeight="1" thickBot="1">
      <c r="A162" s="49">
        <v>144</v>
      </c>
      <c r="B162" s="107">
        <f t="shared" ref="B162" si="641">+B160+$B$20</f>
        <v>72</v>
      </c>
      <c r="C162" s="132" t="s">
        <v>101</v>
      </c>
      <c r="D162" s="133" t="s">
        <v>95</v>
      </c>
      <c r="E162" s="134" t="s">
        <v>179</v>
      </c>
      <c r="F162" s="134">
        <v>16115</v>
      </c>
      <c r="G162" s="135">
        <v>4.9761857139999996</v>
      </c>
      <c r="H162" s="136"/>
      <c r="I162" s="137">
        <f t="shared" ref="I162" si="642">G162+H162+K161</f>
        <v>-2.8572000001503284E-5</v>
      </c>
      <c r="J162" s="138"/>
      <c r="K162" s="146">
        <f t="shared" si="587"/>
        <v>-2.8572000001503284E-5</v>
      </c>
      <c r="L162" s="148">
        <f t="shared" si="590"/>
        <v>0</v>
      </c>
      <c r="M162" s="621">
        <v>43538</v>
      </c>
      <c r="N162" s="73"/>
      <c r="O162" s="73"/>
      <c r="P162" s="73"/>
      <c r="Q162" s="642"/>
      <c r="R162" s="642"/>
      <c r="S162" s="928"/>
      <c r="T162" s="928"/>
    </row>
    <row r="163" spans="1:20" ht="15" customHeight="1" thickBot="1">
      <c r="A163" s="49">
        <v>145</v>
      </c>
      <c r="B163" s="107">
        <f t="shared" ref="B163" si="643">+B161+$B$19</f>
        <v>73</v>
      </c>
      <c r="C163" s="112" t="s">
        <v>101</v>
      </c>
      <c r="D163" s="113" t="s">
        <v>35</v>
      </c>
      <c r="E163" s="114" t="s">
        <v>180</v>
      </c>
      <c r="F163" s="114">
        <v>15868</v>
      </c>
      <c r="G163" s="119">
        <v>8.6507857139999995</v>
      </c>
      <c r="H163" s="221">
        <v>-13.627000000000001</v>
      </c>
      <c r="I163" s="69">
        <f t="shared" ref="I163" si="644">G163+H163</f>
        <v>-4.9762142860000012</v>
      </c>
      <c r="J163" s="70"/>
      <c r="K163" s="145">
        <f t="shared" si="587"/>
        <v>-4.9762142860000012</v>
      </c>
      <c r="L163" s="147">
        <f t="shared" si="590"/>
        <v>0</v>
      </c>
      <c r="M163" s="621">
        <v>43538</v>
      </c>
      <c r="N163" s="71">
        <f t="shared" ref="N163:O163" si="645">G163+G164</f>
        <v>13.626971427999999</v>
      </c>
      <c r="O163" s="72">
        <f t="shared" si="645"/>
        <v>-13.627000000000001</v>
      </c>
      <c r="P163" s="71">
        <f t="shared" ref="P163" si="646">N163+O163</f>
        <v>-2.8572000001503284E-5</v>
      </c>
      <c r="Q163" s="640">
        <f t="shared" ref="Q163" si="647">J163+J164</f>
        <v>0</v>
      </c>
      <c r="R163" s="641">
        <f t="shared" ref="R163" si="648">P163-Q163</f>
        <v>-2.8572000001503284E-5</v>
      </c>
      <c r="S163" s="927">
        <f t="shared" ref="S163" si="649">Q163/P163</f>
        <v>0</v>
      </c>
      <c r="T163" s="927">
        <f t="shared" si="575"/>
        <v>1.0000020967241439</v>
      </c>
    </row>
    <row r="164" spans="1:20" ht="15" customHeight="1" thickBot="1">
      <c r="A164" s="49">
        <v>146</v>
      </c>
      <c r="B164" s="107">
        <f t="shared" ref="B164" si="650">+B162+$B$20</f>
        <v>73</v>
      </c>
      <c r="C164" s="132" t="s">
        <v>101</v>
      </c>
      <c r="D164" s="133" t="s">
        <v>95</v>
      </c>
      <c r="E164" s="134" t="s">
        <v>180</v>
      </c>
      <c r="F164" s="134">
        <v>15868</v>
      </c>
      <c r="G164" s="135">
        <v>4.9761857139999996</v>
      </c>
      <c r="H164" s="136"/>
      <c r="I164" s="137">
        <f t="shared" ref="I164" si="651">G164+H164+K163</f>
        <v>-2.8572000001503284E-5</v>
      </c>
      <c r="J164" s="138"/>
      <c r="K164" s="146">
        <f t="shared" si="587"/>
        <v>-2.8572000001503284E-5</v>
      </c>
      <c r="L164" s="148">
        <f t="shared" si="590"/>
        <v>0</v>
      </c>
      <c r="M164" s="621">
        <v>43538</v>
      </c>
      <c r="N164" s="73"/>
      <c r="O164" s="73"/>
      <c r="P164" s="73"/>
      <c r="Q164" s="642"/>
      <c r="R164" s="642"/>
      <c r="S164" s="928"/>
      <c r="T164" s="928"/>
    </row>
    <row r="165" spans="1:20" ht="15" customHeight="1" thickBot="1">
      <c r="A165" s="49">
        <v>147</v>
      </c>
      <c r="B165" s="107">
        <f t="shared" ref="B165" si="652">+B163+$B$19</f>
        <v>74</v>
      </c>
      <c r="C165" s="112" t="s">
        <v>101</v>
      </c>
      <c r="D165" s="113" t="s">
        <v>35</v>
      </c>
      <c r="E165" s="114" t="s">
        <v>181</v>
      </c>
      <c r="F165" s="114">
        <v>15932</v>
      </c>
      <c r="G165" s="119">
        <v>8.6507857139999995</v>
      </c>
      <c r="H165" s="221">
        <v>-13.627000000000001</v>
      </c>
      <c r="I165" s="69">
        <f t="shared" ref="I165" si="653">G165+H165</f>
        <v>-4.9762142860000012</v>
      </c>
      <c r="J165" s="70"/>
      <c r="K165" s="145">
        <f t="shared" si="587"/>
        <v>-4.9762142860000012</v>
      </c>
      <c r="L165" s="147">
        <f t="shared" si="590"/>
        <v>0</v>
      </c>
      <c r="M165" s="621">
        <v>43538</v>
      </c>
      <c r="N165" s="71">
        <f t="shared" ref="N165:O165" si="654">G165+G166</f>
        <v>13.626971427999999</v>
      </c>
      <c r="O165" s="72">
        <f t="shared" si="654"/>
        <v>-13.627000000000001</v>
      </c>
      <c r="P165" s="71">
        <f t="shared" ref="P165" si="655">N165+O165</f>
        <v>-2.8572000001503284E-5</v>
      </c>
      <c r="Q165" s="640">
        <f t="shared" ref="Q165" si="656">J165+J166</f>
        <v>0</v>
      </c>
      <c r="R165" s="641">
        <f t="shared" ref="R165" si="657">P165-Q165</f>
        <v>-2.8572000001503284E-5</v>
      </c>
      <c r="S165" s="927">
        <f t="shared" ref="S165" si="658">Q165/P165</f>
        <v>0</v>
      </c>
      <c r="T165" s="927">
        <f t="shared" si="575"/>
        <v>1.0000020967241439</v>
      </c>
    </row>
    <row r="166" spans="1:20" ht="15" customHeight="1" thickBot="1">
      <c r="A166" s="49">
        <v>148</v>
      </c>
      <c r="B166" s="107">
        <f t="shared" ref="B166" si="659">+B164+$B$20</f>
        <v>74</v>
      </c>
      <c r="C166" s="132" t="s">
        <v>101</v>
      </c>
      <c r="D166" s="133" t="s">
        <v>95</v>
      </c>
      <c r="E166" s="134" t="s">
        <v>181</v>
      </c>
      <c r="F166" s="134">
        <v>15932</v>
      </c>
      <c r="G166" s="135">
        <v>4.9761857139999996</v>
      </c>
      <c r="H166" s="136"/>
      <c r="I166" s="137">
        <f t="shared" ref="I166" si="660">G166+H166+K165</f>
        <v>-2.8572000001503284E-5</v>
      </c>
      <c r="J166" s="138"/>
      <c r="K166" s="146">
        <f t="shared" si="587"/>
        <v>-2.8572000001503284E-5</v>
      </c>
      <c r="L166" s="148">
        <f t="shared" si="590"/>
        <v>0</v>
      </c>
      <c r="M166" s="621">
        <v>43538</v>
      </c>
      <c r="N166" s="73"/>
      <c r="O166" s="73"/>
      <c r="P166" s="73"/>
      <c r="Q166" s="642"/>
      <c r="R166" s="642"/>
      <c r="S166" s="928"/>
      <c r="T166" s="928"/>
    </row>
    <row r="167" spans="1:20" ht="15" customHeight="1" thickBot="1">
      <c r="A167" s="49">
        <v>149</v>
      </c>
      <c r="B167" s="107">
        <f t="shared" ref="B167" si="661">+B165+$B$19</f>
        <v>75</v>
      </c>
      <c r="C167" s="112" t="s">
        <v>101</v>
      </c>
      <c r="D167" s="113" t="s">
        <v>35</v>
      </c>
      <c r="E167" s="114" t="s">
        <v>182</v>
      </c>
      <c r="F167" s="114">
        <v>15862</v>
      </c>
      <c r="G167" s="119">
        <v>8.6507857139999995</v>
      </c>
      <c r="H167" s="221">
        <v>-13.627000000000001</v>
      </c>
      <c r="I167" s="69">
        <f t="shared" ref="I167" si="662">G167+H167</f>
        <v>-4.9762142860000012</v>
      </c>
      <c r="J167" s="70"/>
      <c r="K167" s="145">
        <f t="shared" si="587"/>
        <v>-4.9762142860000012</v>
      </c>
      <c r="L167" s="147">
        <f t="shared" si="590"/>
        <v>0</v>
      </c>
      <c r="M167" s="621">
        <v>43538</v>
      </c>
      <c r="N167" s="71">
        <f t="shared" ref="N167:O167" si="663">G167+G168</f>
        <v>13.626971427999999</v>
      </c>
      <c r="O167" s="72">
        <f t="shared" si="663"/>
        <v>-13.627000000000001</v>
      </c>
      <c r="P167" s="71">
        <f t="shared" ref="P167" si="664">N167+O167</f>
        <v>-2.8572000001503284E-5</v>
      </c>
      <c r="Q167" s="640">
        <f t="shared" ref="Q167" si="665">J167+J168</f>
        <v>0</v>
      </c>
      <c r="R167" s="641">
        <f t="shared" ref="R167" si="666">P167-Q167</f>
        <v>-2.8572000001503284E-5</v>
      </c>
      <c r="S167" s="927">
        <f t="shared" ref="S167" si="667">Q167/P167</f>
        <v>0</v>
      </c>
      <c r="T167" s="927">
        <f t="shared" si="575"/>
        <v>1.0000020967241439</v>
      </c>
    </row>
    <row r="168" spans="1:20" ht="15" customHeight="1" thickBot="1">
      <c r="A168" s="49">
        <v>150</v>
      </c>
      <c r="B168" s="107">
        <f t="shared" ref="B168" si="668">+B166+$B$20</f>
        <v>75</v>
      </c>
      <c r="C168" s="132" t="s">
        <v>101</v>
      </c>
      <c r="D168" s="133" t="s">
        <v>95</v>
      </c>
      <c r="E168" s="134" t="s">
        <v>182</v>
      </c>
      <c r="F168" s="134">
        <v>15862</v>
      </c>
      <c r="G168" s="135">
        <v>4.9761857139999996</v>
      </c>
      <c r="H168" s="136"/>
      <c r="I168" s="137">
        <f t="shared" ref="I168" si="669">G168+H168+K167</f>
        <v>-2.8572000001503284E-5</v>
      </c>
      <c r="J168" s="138"/>
      <c r="K168" s="146">
        <f t="shared" si="587"/>
        <v>-2.8572000001503284E-5</v>
      </c>
      <c r="L168" s="148">
        <f t="shared" si="590"/>
        <v>0</v>
      </c>
      <c r="M168" s="621">
        <v>43538</v>
      </c>
      <c r="N168" s="73"/>
      <c r="O168" s="73"/>
      <c r="P168" s="73"/>
      <c r="Q168" s="642"/>
      <c r="R168" s="642"/>
      <c r="S168" s="928"/>
      <c r="T168" s="928"/>
    </row>
    <row r="169" spans="1:20" ht="15" customHeight="1" thickBot="1">
      <c r="A169" s="49">
        <v>151</v>
      </c>
      <c r="B169" s="107">
        <f t="shared" ref="B169" si="670">+B167+$B$19</f>
        <v>76</v>
      </c>
      <c r="C169" s="112" t="s">
        <v>101</v>
      </c>
      <c r="D169" s="113" t="s">
        <v>35</v>
      </c>
      <c r="E169" s="114" t="s">
        <v>183</v>
      </c>
      <c r="F169" s="114">
        <v>962667</v>
      </c>
      <c r="G169" s="119">
        <v>8.6507857139999995</v>
      </c>
      <c r="H169" s="221">
        <v>-13.627000000000001</v>
      </c>
      <c r="I169" s="69">
        <f t="shared" ref="I169" si="671">G169+H169</f>
        <v>-4.9762142860000012</v>
      </c>
      <c r="J169" s="70"/>
      <c r="K169" s="145">
        <f t="shared" si="587"/>
        <v>-4.9762142860000012</v>
      </c>
      <c r="L169" s="147">
        <f t="shared" si="590"/>
        <v>0</v>
      </c>
      <c r="M169" s="621">
        <v>43538</v>
      </c>
      <c r="N169" s="71">
        <f t="shared" ref="N169:O169" si="672">G169+G170</f>
        <v>13.626971427999999</v>
      </c>
      <c r="O169" s="72">
        <f t="shared" si="672"/>
        <v>-13.627000000000001</v>
      </c>
      <c r="P169" s="71">
        <f t="shared" ref="P169" si="673">N169+O169</f>
        <v>-2.8572000001503284E-5</v>
      </c>
      <c r="Q169" s="640">
        <f t="shared" ref="Q169" si="674">J169+J170</f>
        <v>0</v>
      </c>
      <c r="R169" s="641">
        <f t="shared" ref="R169" si="675">P169-Q169</f>
        <v>-2.8572000001503284E-5</v>
      </c>
      <c r="S169" s="927">
        <f t="shared" ref="S169" si="676">Q169/P169</f>
        <v>0</v>
      </c>
      <c r="T169" s="927">
        <f t="shared" si="575"/>
        <v>1.0000020967241439</v>
      </c>
    </row>
    <row r="170" spans="1:20" ht="15" customHeight="1" thickBot="1">
      <c r="A170" s="49">
        <v>152</v>
      </c>
      <c r="B170" s="107">
        <f t="shared" ref="B170" si="677">+B168+$B$20</f>
        <v>76</v>
      </c>
      <c r="C170" s="132" t="s">
        <v>101</v>
      </c>
      <c r="D170" s="133" t="s">
        <v>95</v>
      </c>
      <c r="E170" s="134" t="s">
        <v>183</v>
      </c>
      <c r="F170" s="134">
        <v>962667</v>
      </c>
      <c r="G170" s="135">
        <v>4.9761857139999996</v>
      </c>
      <c r="H170" s="136"/>
      <c r="I170" s="137">
        <f t="shared" ref="I170" si="678">G170+H170+K169</f>
        <v>-2.8572000001503284E-5</v>
      </c>
      <c r="J170" s="138"/>
      <c r="K170" s="146">
        <f t="shared" si="587"/>
        <v>-2.8572000001503284E-5</v>
      </c>
      <c r="L170" s="148">
        <f t="shared" si="590"/>
        <v>0</v>
      </c>
      <c r="M170" s="621">
        <v>43538</v>
      </c>
      <c r="N170" s="73"/>
      <c r="O170" s="73"/>
      <c r="P170" s="73"/>
      <c r="Q170" s="642"/>
      <c r="R170" s="642"/>
      <c r="S170" s="928"/>
      <c r="T170" s="928"/>
    </row>
    <row r="171" spans="1:20" ht="15" customHeight="1" thickBot="1">
      <c r="A171" s="49">
        <v>153</v>
      </c>
      <c r="B171" s="107">
        <f t="shared" ref="B171" si="679">+B169+$B$19</f>
        <v>77</v>
      </c>
      <c r="C171" s="112" t="s">
        <v>101</v>
      </c>
      <c r="D171" s="113" t="s">
        <v>35</v>
      </c>
      <c r="E171" s="114" t="s">
        <v>184</v>
      </c>
      <c r="F171" s="114">
        <v>963489</v>
      </c>
      <c r="G171" s="119">
        <v>8.6507857139999995</v>
      </c>
      <c r="H171" s="221">
        <v>-13.627000000000001</v>
      </c>
      <c r="I171" s="69">
        <f t="shared" ref="I171" si="680">G171+H171</f>
        <v>-4.9762142860000012</v>
      </c>
      <c r="J171" s="70"/>
      <c r="K171" s="145">
        <f t="shared" si="587"/>
        <v>-4.9762142860000012</v>
      </c>
      <c r="L171" s="147">
        <f t="shared" si="590"/>
        <v>0</v>
      </c>
      <c r="M171" s="621">
        <v>43538</v>
      </c>
      <c r="N171" s="71">
        <f t="shared" ref="N171:O171" si="681">G171+G172</f>
        <v>13.626971427999999</v>
      </c>
      <c r="O171" s="72">
        <f t="shared" si="681"/>
        <v>-13.627000000000001</v>
      </c>
      <c r="P171" s="71">
        <f t="shared" ref="P171" si="682">N171+O171</f>
        <v>-2.8572000001503284E-5</v>
      </c>
      <c r="Q171" s="640">
        <f t="shared" ref="Q171" si="683">J171+J172</f>
        <v>0</v>
      </c>
      <c r="R171" s="641">
        <f t="shared" ref="R171" si="684">P171-Q171</f>
        <v>-2.8572000001503284E-5</v>
      </c>
      <c r="S171" s="927">
        <f t="shared" ref="S171" si="685">Q171/P171</f>
        <v>0</v>
      </c>
      <c r="T171" s="927">
        <f t="shared" si="575"/>
        <v>1.0000020967241439</v>
      </c>
    </row>
    <row r="172" spans="1:20" ht="15" customHeight="1" thickBot="1">
      <c r="A172" s="49">
        <v>154</v>
      </c>
      <c r="B172" s="107">
        <f t="shared" ref="B172" si="686">+B170+$B$20</f>
        <v>77</v>
      </c>
      <c r="C172" s="132" t="s">
        <v>101</v>
      </c>
      <c r="D172" s="133" t="s">
        <v>95</v>
      </c>
      <c r="E172" s="134" t="s">
        <v>184</v>
      </c>
      <c r="F172" s="134">
        <v>963489</v>
      </c>
      <c r="G172" s="135">
        <v>4.9761857139999996</v>
      </c>
      <c r="H172" s="136"/>
      <c r="I172" s="137">
        <f t="shared" ref="I172" si="687">G172+H172+K171</f>
        <v>-2.8572000001503284E-5</v>
      </c>
      <c r="J172" s="138"/>
      <c r="K172" s="146">
        <f t="shared" si="587"/>
        <v>-2.8572000001503284E-5</v>
      </c>
      <c r="L172" s="148">
        <f t="shared" si="590"/>
        <v>0</v>
      </c>
      <c r="M172" s="621">
        <v>43538</v>
      </c>
      <c r="N172" s="73"/>
      <c r="O172" s="73"/>
      <c r="P172" s="73"/>
      <c r="Q172" s="642"/>
      <c r="R172" s="642"/>
      <c r="S172" s="928"/>
      <c r="T172" s="928"/>
    </row>
    <row r="173" spans="1:20" ht="15" customHeight="1" thickBot="1">
      <c r="A173" s="49">
        <v>155</v>
      </c>
      <c r="B173" s="107">
        <f t="shared" ref="B173" si="688">+B171+$B$19</f>
        <v>78</v>
      </c>
      <c r="C173" s="112" t="s">
        <v>101</v>
      </c>
      <c r="D173" s="113" t="s">
        <v>35</v>
      </c>
      <c r="E173" s="114" t="s">
        <v>185</v>
      </c>
      <c r="F173" s="114">
        <v>964164</v>
      </c>
      <c r="G173" s="119">
        <v>8.6507857139999995</v>
      </c>
      <c r="H173" s="221">
        <v>-13.627000000000001</v>
      </c>
      <c r="I173" s="69">
        <f t="shared" ref="I173" si="689">G173+H173</f>
        <v>-4.9762142860000012</v>
      </c>
      <c r="J173" s="70"/>
      <c r="K173" s="145">
        <f t="shared" si="587"/>
        <v>-4.9762142860000012</v>
      </c>
      <c r="L173" s="147">
        <f t="shared" si="590"/>
        <v>0</v>
      </c>
      <c r="M173" s="621">
        <v>43538</v>
      </c>
      <c r="N173" s="71">
        <f t="shared" ref="N173:O173" si="690">G173+G174</f>
        <v>13.626971427999999</v>
      </c>
      <c r="O173" s="72">
        <f t="shared" si="690"/>
        <v>-13.627000000000001</v>
      </c>
      <c r="P173" s="71">
        <f t="shared" ref="P173" si="691">N173+O173</f>
        <v>-2.8572000001503284E-5</v>
      </c>
      <c r="Q173" s="640">
        <f t="shared" ref="Q173" si="692">J173+J174</f>
        <v>0</v>
      </c>
      <c r="R173" s="641">
        <f t="shared" ref="R173" si="693">P173-Q173</f>
        <v>-2.8572000001503284E-5</v>
      </c>
      <c r="S173" s="927">
        <f t="shared" ref="S173" si="694">Q173/P173</f>
        <v>0</v>
      </c>
      <c r="T173" s="927">
        <f t="shared" si="575"/>
        <v>1.0000020967241439</v>
      </c>
    </row>
    <row r="174" spans="1:20" ht="15" customHeight="1" thickBot="1">
      <c r="A174" s="49">
        <v>156</v>
      </c>
      <c r="B174" s="107">
        <f t="shared" ref="B174" si="695">+B172+$B$20</f>
        <v>78</v>
      </c>
      <c r="C174" s="132" t="s">
        <v>101</v>
      </c>
      <c r="D174" s="133" t="s">
        <v>95</v>
      </c>
      <c r="E174" s="134" t="s">
        <v>185</v>
      </c>
      <c r="F174" s="134">
        <v>964164</v>
      </c>
      <c r="G174" s="135">
        <v>4.9761857139999996</v>
      </c>
      <c r="H174" s="136"/>
      <c r="I174" s="137">
        <f t="shared" ref="I174" si="696">G174+H174+K173</f>
        <v>-2.8572000001503284E-5</v>
      </c>
      <c r="J174" s="138"/>
      <c r="K174" s="146">
        <f t="shared" si="587"/>
        <v>-2.8572000001503284E-5</v>
      </c>
      <c r="L174" s="148">
        <f t="shared" si="590"/>
        <v>0</v>
      </c>
      <c r="M174" s="621">
        <v>43538</v>
      </c>
      <c r="N174" s="73"/>
      <c r="O174" s="73"/>
      <c r="P174" s="73"/>
      <c r="Q174" s="642"/>
      <c r="R174" s="642"/>
      <c r="S174" s="928"/>
      <c r="T174" s="928"/>
    </row>
    <row r="175" spans="1:20" ht="15" customHeight="1" thickBot="1">
      <c r="A175" s="49">
        <v>157</v>
      </c>
      <c r="B175" s="107">
        <f t="shared" ref="B175" si="697">+B173+$B$19</f>
        <v>79</v>
      </c>
      <c r="C175" s="112" t="s">
        <v>101</v>
      </c>
      <c r="D175" s="113" t="s">
        <v>35</v>
      </c>
      <c r="E175" s="114" t="s">
        <v>186</v>
      </c>
      <c r="F175" s="114">
        <v>964165</v>
      </c>
      <c r="G175" s="119">
        <v>8.6507857139999995</v>
      </c>
      <c r="H175" s="221">
        <v>-13.627000000000001</v>
      </c>
      <c r="I175" s="69">
        <f t="shared" ref="I175" si="698">G175+H175</f>
        <v>-4.9762142860000012</v>
      </c>
      <c r="J175" s="70"/>
      <c r="K175" s="145">
        <f t="shared" si="587"/>
        <v>-4.9762142860000012</v>
      </c>
      <c r="L175" s="147">
        <f t="shared" si="590"/>
        <v>0</v>
      </c>
      <c r="M175" s="621">
        <v>43538</v>
      </c>
      <c r="N175" s="71">
        <f t="shared" ref="N175:O175" si="699">G175+G176</f>
        <v>13.626971427999999</v>
      </c>
      <c r="O175" s="72">
        <f t="shared" si="699"/>
        <v>-13.627000000000001</v>
      </c>
      <c r="P175" s="71">
        <f t="shared" ref="P175" si="700">N175+O175</f>
        <v>-2.8572000001503284E-5</v>
      </c>
      <c r="Q175" s="640">
        <f t="shared" ref="Q175" si="701">J175+J176</f>
        <v>0</v>
      </c>
      <c r="R175" s="641">
        <f t="shared" ref="R175" si="702">P175-Q175</f>
        <v>-2.8572000001503284E-5</v>
      </c>
      <c r="S175" s="927">
        <f t="shared" ref="S175" si="703">Q175/P175</f>
        <v>0</v>
      </c>
      <c r="T175" s="927">
        <f t="shared" si="575"/>
        <v>1.0000020967241439</v>
      </c>
    </row>
    <row r="176" spans="1:20" ht="15" customHeight="1" thickBot="1">
      <c r="A176" s="49">
        <v>158</v>
      </c>
      <c r="B176" s="107">
        <f t="shared" ref="B176" si="704">+B174+$B$20</f>
        <v>79</v>
      </c>
      <c r="C176" s="132" t="s">
        <v>101</v>
      </c>
      <c r="D176" s="133" t="s">
        <v>95</v>
      </c>
      <c r="E176" s="134" t="s">
        <v>186</v>
      </c>
      <c r="F176" s="134">
        <v>964165</v>
      </c>
      <c r="G176" s="135">
        <v>4.9761857139999996</v>
      </c>
      <c r="H176" s="136"/>
      <c r="I176" s="137">
        <f t="shared" ref="I176" si="705">G176+H176+K175</f>
        <v>-2.8572000001503284E-5</v>
      </c>
      <c r="J176" s="138"/>
      <c r="K176" s="146">
        <f t="shared" si="587"/>
        <v>-2.8572000001503284E-5</v>
      </c>
      <c r="L176" s="148">
        <f t="shared" si="590"/>
        <v>0</v>
      </c>
      <c r="M176" s="621">
        <v>43538</v>
      </c>
      <c r="N176" s="73"/>
      <c r="O176" s="73"/>
      <c r="P176" s="73"/>
      <c r="Q176" s="642"/>
      <c r="R176" s="642"/>
      <c r="S176" s="928"/>
      <c r="T176" s="928"/>
    </row>
    <row r="177" spans="1:21" ht="15" customHeight="1" thickBot="1">
      <c r="A177" s="49">
        <v>159</v>
      </c>
      <c r="B177" s="107">
        <f t="shared" ref="B177" si="706">+B175+$B$19</f>
        <v>80</v>
      </c>
      <c r="C177" s="112" t="s">
        <v>101</v>
      </c>
      <c r="D177" s="113" t="s">
        <v>35</v>
      </c>
      <c r="E177" s="114" t="s">
        <v>187</v>
      </c>
      <c r="F177" s="114">
        <v>16158</v>
      </c>
      <c r="G177" s="119">
        <v>8.6507857139999995</v>
      </c>
      <c r="H177" s="221">
        <v>-13.627000000000001</v>
      </c>
      <c r="I177" s="69">
        <f t="shared" ref="I177" si="707">G177+H177</f>
        <v>-4.9762142860000012</v>
      </c>
      <c r="J177" s="70"/>
      <c r="K177" s="145">
        <f t="shared" si="587"/>
        <v>-4.9762142860000012</v>
      </c>
      <c r="L177" s="147">
        <f t="shared" si="590"/>
        <v>0</v>
      </c>
      <c r="M177" s="621">
        <v>43538</v>
      </c>
      <c r="N177" s="71">
        <f t="shared" ref="N177:O177" si="708">G177+G178</f>
        <v>13.626971427999999</v>
      </c>
      <c r="O177" s="72">
        <f t="shared" si="708"/>
        <v>-13.627000000000001</v>
      </c>
      <c r="P177" s="71">
        <f t="shared" ref="P177" si="709">N177+O177</f>
        <v>-2.8572000001503284E-5</v>
      </c>
      <c r="Q177" s="640">
        <f t="shared" ref="Q177" si="710">J177+J178</f>
        <v>0</v>
      </c>
      <c r="R177" s="641">
        <f t="shared" ref="R177" si="711">P177-Q177</f>
        <v>-2.8572000001503284E-5</v>
      </c>
      <c r="S177" s="927">
        <f t="shared" ref="S177" si="712">Q177/P177</f>
        <v>0</v>
      </c>
      <c r="T177" s="927">
        <f t="shared" si="575"/>
        <v>1.0000020967241439</v>
      </c>
    </row>
    <row r="178" spans="1:21" ht="15" customHeight="1" thickBot="1">
      <c r="A178" s="49">
        <v>160</v>
      </c>
      <c r="B178" s="107">
        <f t="shared" ref="B178" si="713">+B176+$B$20</f>
        <v>80</v>
      </c>
      <c r="C178" s="132" t="s">
        <v>101</v>
      </c>
      <c r="D178" s="133" t="s">
        <v>95</v>
      </c>
      <c r="E178" s="134" t="s">
        <v>187</v>
      </c>
      <c r="F178" s="134">
        <v>16158</v>
      </c>
      <c r="G178" s="135">
        <v>4.9761857139999996</v>
      </c>
      <c r="H178" s="136"/>
      <c r="I178" s="137">
        <f t="shared" ref="I178" si="714">G178+H178+K177</f>
        <v>-2.8572000001503284E-5</v>
      </c>
      <c r="J178" s="138"/>
      <c r="K178" s="146">
        <f t="shared" si="587"/>
        <v>-2.8572000001503284E-5</v>
      </c>
      <c r="L178" s="148">
        <f t="shared" si="590"/>
        <v>0</v>
      </c>
      <c r="M178" s="621">
        <v>43538</v>
      </c>
      <c r="N178" s="73"/>
      <c r="O178" s="73"/>
      <c r="P178" s="73"/>
      <c r="Q178" s="642"/>
      <c r="R178" s="642"/>
      <c r="S178" s="928"/>
      <c r="T178" s="928"/>
    </row>
    <row r="179" spans="1:21" ht="15" customHeight="1" thickBot="1">
      <c r="A179" s="49">
        <v>161</v>
      </c>
      <c r="B179" s="107">
        <f t="shared" ref="B179" si="715">+B177+$B$19</f>
        <v>81</v>
      </c>
      <c r="C179" s="112" t="s">
        <v>101</v>
      </c>
      <c r="D179" s="113" t="s">
        <v>35</v>
      </c>
      <c r="E179" s="114" t="s">
        <v>188</v>
      </c>
      <c r="F179" s="114">
        <v>964675</v>
      </c>
      <c r="G179" s="119">
        <v>8.6507857139999995</v>
      </c>
      <c r="H179" s="221">
        <v>-13.627000000000001</v>
      </c>
      <c r="I179" s="69">
        <f t="shared" ref="I179" si="716">G179+H179</f>
        <v>-4.9762142860000012</v>
      </c>
      <c r="J179" s="70"/>
      <c r="K179" s="145">
        <f t="shared" si="587"/>
        <v>-4.9762142860000012</v>
      </c>
      <c r="L179" s="147">
        <f t="shared" si="590"/>
        <v>0</v>
      </c>
      <c r="M179" s="621">
        <v>43538</v>
      </c>
      <c r="N179" s="71">
        <f t="shared" ref="N179:O179" si="717">G179+G180</f>
        <v>13.626971427999999</v>
      </c>
      <c r="O179" s="72">
        <f t="shared" si="717"/>
        <v>-13.627000000000001</v>
      </c>
      <c r="P179" s="71">
        <f t="shared" ref="P179" si="718">N179+O179</f>
        <v>-2.8572000001503284E-5</v>
      </c>
      <c r="Q179" s="640">
        <f t="shared" ref="Q179" si="719">J179+J180</f>
        <v>0</v>
      </c>
      <c r="R179" s="641">
        <f t="shared" ref="R179" si="720">P179-Q179</f>
        <v>-2.8572000001503284E-5</v>
      </c>
      <c r="S179" s="927">
        <f t="shared" ref="S179" si="721">Q179/P179</f>
        <v>0</v>
      </c>
      <c r="T179" s="927">
        <f t="shared" si="575"/>
        <v>1.0000020967241439</v>
      </c>
    </row>
    <row r="180" spans="1:21" ht="15" customHeight="1" thickBot="1">
      <c r="A180" s="49">
        <v>162</v>
      </c>
      <c r="B180" s="107">
        <f t="shared" ref="B180" si="722">+B178+$B$20</f>
        <v>81</v>
      </c>
      <c r="C180" s="132" t="s">
        <v>101</v>
      </c>
      <c r="D180" s="133" t="s">
        <v>95</v>
      </c>
      <c r="E180" s="134" t="s">
        <v>188</v>
      </c>
      <c r="F180" s="134">
        <v>964675</v>
      </c>
      <c r="G180" s="135">
        <v>4.9761857139999996</v>
      </c>
      <c r="H180" s="136"/>
      <c r="I180" s="137">
        <f t="shared" ref="I180" si="723">G180+H180+K179</f>
        <v>-2.8572000001503284E-5</v>
      </c>
      <c r="J180" s="138"/>
      <c r="K180" s="146">
        <f t="shared" si="587"/>
        <v>-2.8572000001503284E-5</v>
      </c>
      <c r="L180" s="148">
        <f t="shared" si="590"/>
        <v>0</v>
      </c>
      <c r="M180" s="621">
        <v>43538</v>
      </c>
      <c r="N180" s="73"/>
      <c r="O180" s="73"/>
      <c r="P180" s="73"/>
      <c r="Q180" s="642"/>
      <c r="R180" s="642"/>
      <c r="S180" s="928"/>
      <c r="T180" s="928"/>
    </row>
    <row r="181" spans="1:21" ht="15" customHeight="1" thickBot="1">
      <c r="A181" s="49">
        <v>163</v>
      </c>
      <c r="B181" s="107">
        <f t="shared" ref="B181" si="724">+B179+$B$19</f>
        <v>82</v>
      </c>
      <c r="C181" s="112" t="s">
        <v>101</v>
      </c>
      <c r="D181" s="113" t="s">
        <v>35</v>
      </c>
      <c r="E181" s="114" t="s">
        <v>189</v>
      </c>
      <c r="F181" s="114">
        <v>967048</v>
      </c>
      <c r="G181" s="119">
        <v>8.6507857139999995</v>
      </c>
      <c r="H181" s="221">
        <v>-13.627000000000001</v>
      </c>
      <c r="I181" s="69">
        <f t="shared" ref="I181" si="725">G181+H181</f>
        <v>-4.9762142860000012</v>
      </c>
      <c r="J181" s="70"/>
      <c r="K181" s="145">
        <f t="shared" si="587"/>
        <v>-4.9762142860000012</v>
      </c>
      <c r="L181" s="147">
        <f t="shared" si="590"/>
        <v>0</v>
      </c>
      <c r="M181" s="621">
        <v>43538</v>
      </c>
      <c r="N181" s="71">
        <f t="shared" ref="N181:O181" si="726">G181+G182</f>
        <v>13.626971427999999</v>
      </c>
      <c r="O181" s="72">
        <f t="shared" si="726"/>
        <v>-13.627000000000001</v>
      </c>
      <c r="P181" s="71">
        <f t="shared" ref="P181" si="727">N181+O181</f>
        <v>-2.8572000001503284E-5</v>
      </c>
      <c r="Q181" s="640">
        <f t="shared" ref="Q181" si="728">J181+J182</f>
        <v>0</v>
      </c>
      <c r="R181" s="641">
        <f t="shared" ref="R181" si="729">P181-Q181</f>
        <v>-2.8572000001503284E-5</v>
      </c>
      <c r="S181" s="927">
        <f t="shared" ref="S181" si="730">Q181/P181</f>
        <v>0</v>
      </c>
      <c r="T181" s="927">
        <f t="shared" si="575"/>
        <v>1.0000020967241439</v>
      </c>
    </row>
    <row r="182" spans="1:21" ht="15" customHeight="1" thickBot="1">
      <c r="A182" s="49">
        <v>164</v>
      </c>
      <c r="B182" s="107">
        <f t="shared" ref="B182" si="731">+B180+$B$20</f>
        <v>82</v>
      </c>
      <c r="C182" s="132" t="s">
        <v>101</v>
      </c>
      <c r="D182" s="133" t="s">
        <v>95</v>
      </c>
      <c r="E182" s="134" t="s">
        <v>189</v>
      </c>
      <c r="F182" s="134">
        <v>967048</v>
      </c>
      <c r="G182" s="135">
        <v>4.9761857139999996</v>
      </c>
      <c r="H182" s="136"/>
      <c r="I182" s="137">
        <f t="shared" ref="I182" si="732">G182+H182+K181</f>
        <v>-2.8572000001503284E-5</v>
      </c>
      <c r="J182" s="138"/>
      <c r="K182" s="146">
        <f t="shared" si="587"/>
        <v>-2.8572000001503284E-5</v>
      </c>
      <c r="L182" s="148">
        <f t="shared" si="590"/>
        <v>0</v>
      </c>
      <c r="M182" s="621">
        <v>43538</v>
      </c>
      <c r="N182" s="73"/>
      <c r="O182" s="73"/>
      <c r="P182" s="73"/>
      <c r="Q182" s="642"/>
      <c r="R182" s="642"/>
      <c r="S182" s="928"/>
      <c r="T182" s="928"/>
    </row>
    <row r="183" spans="1:21" ht="15" customHeight="1" thickBot="1">
      <c r="A183" s="49">
        <v>165</v>
      </c>
      <c r="B183" s="107">
        <f t="shared" ref="B183" si="733">+B181+$B$19</f>
        <v>83</v>
      </c>
      <c r="C183" s="112" t="s">
        <v>101</v>
      </c>
      <c r="D183" s="113" t="s">
        <v>35</v>
      </c>
      <c r="E183" s="114" t="s">
        <v>190</v>
      </c>
      <c r="F183" s="114">
        <v>963693</v>
      </c>
      <c r="G183" s="119">
        <v>8.6507857139999995</v>
      </c>
      <c r="H183" s="221">
        <v>-13.627000000000001</v>
      </c>
      <c r="I183" s="69">
        <f t="shared" ref="I183" si="734">G183+H183</f>
        <v>-4.9762142860000012</v>
      </c>
      <c r="J183" s="70"/>
      <c r="K183" s="145">
        <f t="shared" si="587"/>
        <v>-4.9762142860000012</v>
      </c>
      <c r="L183" s="147">
        <f t="shared" si="590"/>
        <v>0</v>
      </c>
      <c r="M183" s="621">
        <v>43538</v>
      </c>
      <c r="N183" s="71">
        <f t="shared" ref="N183:O183" si="735">G183+G184</f>
        <v>13.626971427999999</v>
      </c>
      <c r="O183" s="72">
        <f t="shared" si="735"/>
        <v>-13.627000000000001</v>
      </c>
      <c r="P183" s="71">
        <f t="shared" ref="P183" si="736">N183+O183</f>
        <v>-2.8572000001503284E-5</v>
      </c>
      <c r="Q183" s="640">
        <f t="shared" ref="Q183" si="737">J183+J184</f>
        <v>0</v>
      </c>
      <c r="R183" s="641">
        <f t="shared" ref="R183" si="738">P183-Q183</f>
        <v>-2.8572000001503284E-5</v>
      </c>
      <c r="S183" s="927">
        <f t="shared" ref="S183" si="739">Q183/P183</f>
        <v>0</v>
      </c>
      <c r="T183" s="927">
        <f t="shared" si="575"/>
        <v>1.0000020967241439</v>
      </c>
    </row>
    <row r="184" spans="1:21" ht="15" customHeight="1" thickBot="1">
      <c r="A184" s="49">
        <v>166</v>
      </c>
      <c r="B184" s="107">
        <f t="shared" ref="B184" si="740">+B182+$B$20</f>
        <v>83</v>
      </c>
      <c r="C184" s="132" t="s">
        <v>101</v>
      </c>
      <c r="D184" s="133" t="s">
        <v>95</v>
      </c>
      <c r="E184" s="134" t="s">
        <v>190</v>
      </c>
      <c r="F184" s="134">
        <v>963693</v>
      </c>
      <c r="G184" s="135">
        <v>4.9761857139999996</v>
      </c>
      <c r="H184" s="136"/>
      <c r="I184" s="137">
        <f t="shared" ref="I184" si="741">G184+H184+K183</f>
        <v>-2.8572000001503284E-5</v>
      </c>
      <c r="J184" s="138"/>
      <c r="K184" s="146">
        <f t="shared" si="587"/>
        <v>-2.8572000001503284E-5</v>
      </c>
      <c r="L184" s="148">
        <f t="shared" si="590"/>
        <v>0</v>
      </c>
      <c r="M184" s="621">
        <v>43538</v>
      </c>
      <c r="N184" s="73"/>
      <c r="O184" s="73"/>
      <c r="P184" s="73"/>
      <c r="Q184" s="642"/>
      <c r="R184" s="642"/>
      <c r="S184" s="928"/>
      <c r="T184" s="928"/>
    </row>
    <row r="185" spans="1:21" ht="15" customHeight="1" thickBot="1">
      <c r="A185" s="49">
        <v>167</v>
      </c>
      <c r="B185" s="107">
        <f t="shared" ref="B185" si="742">+B183+$B$19</f>
        <v>84</v>
      </c>
      <c r="C185" s="112" t="s">
        <v>101</v>
      </c>
      <c r="D185" s="113" t="s">
        <v>35</v>
      </c>
      <c r="E185" s="114" t="s">
        <v>191</v>
      </c>
      <c r="F185" s="114">
        <v>964163</v>
      </c>
      <c r="G185" s="119">
        <v>8.6507857139999995</v>
      </c>
      <c r="H185" s="221">
        <v>-13.627000000000001</v>
      </c>
      <c r="I185" s="69">
        <f t="shared" ref="I185" si="743">G185+H185</f>
        <v>-4.9762142860000012</v>
      </c>
      <c r="J185" s="70"/>
      <c r="K185" s="145">
        <f t="shared" si="587"/>
        <v>-4.9762142860000012</v>
      </c>
      <c r="L185" s="147">
        <f t="shared" si="590"/>
        <v>0</v>
      </c>
      <c r="M185" s="621">
        <v>43538</v>
      </c>
      <c r="N185" s="71">
        <f t="shared" ref="N185:O185" si="744">G185+G186</f>
        <v>13.626971427999999</v>
      </c>
      <c r="O185" s="72">
        <f t="shared" si="744"/>
        <v>-13.627000000000001</v>
      </c>
      <c r="P185" s="71">
        <f t="shared" ref="P185" si="745">N185+O185</f>
        <v>-2.8572000001503284E-5</v>
      </c>
      <c r="Q185" s="640">
        <f t="shared" ref="Q185" si="746">J185+J186</f>
        <v>0</v>
      </c>
      <c r="R185" s="641">
        <f t="shared" ref="R185" si="747">P185-Q185</f>
        <v>-2.8572000001503284E-5</v>
      </c>
      <c r="S185" s="927">
        <f t="shared" ref="S185" si="748">Q185/P185</f>
        <v>0</v>
      </c>
      <c r="T185" s="927">
        <f t="shared" si="575"/>
        <v>1.0000020967241439</v>
      </c>
    </row>
    <row r="186" spans="1:21" ht="15" customHeight="1" thickBot="1">
      <c r="A186" s="49">
        <v>168</v>
      </c>
      <c r="B186" s="107">
        <f t="shared" ref="B186" si="749">+B184+$B$20</f>
        <v>84</v>
      </c>
      <c r="C186" s="132" t="s">
        <v>101</v>
      </c>
      <c r="D186" s="133" t="s">
        <v>95</v>
      </c>
      <c r="E186" s="134" t="s">
        <v>191</v>
      </c>
      <c r="F186" s="134">
        <v>964163</v>
      </c>
      <c r="G186" s="135">
        <v>4.9761857139999996</v>
      </c>
      <c r="H186" s="136"/>
      <c r="I186" s="137">
        <f t="shared" ref="I186" si="750">G186+H186+K185</f>
        <v>-2.8572000001503284E-5</v>
      </c>
      <c r="J186" s="138"/>
      <c r="K186" s="146">
        <f t="shared" si="587"/>
        <v>-2.8572000001503284E-5</v>
      </c>
      <c r="L186" s="148">
        <f t="shared" si="590"/>
        <v>0</v>
      </c>
      <c r="M186" s="621">
        <v>43538</v>
      </c>
      <c r="N186" s="73"/>
      <c r="O186" s="73"/>
      <c r="P186" s="73"/>
      <c r="Q186" s="642"/>
      <c r="R186" s="642"/>
      <c r="S186" s="928"/>
      <c r="T186" s="928"/>
    </row>
    <row r="187" spans="1:21" ht="15" customHeight="1" thickBot="1">
      <c r="A187" s="49">
        <v>169</v>
      </c>
      <c r="B187" s="107">
        <f t="shared" ref="B187" si="751">+B185+$B$19</f>
        <v>85</v>
      </c>
      <c r="C187" s="112" t="s">
        <v>101</v>
      </c>
      <c r="D187" s="113" t="s">
        <v>35</v>
      </c>
      <c r="E187" s="114" t="s">
        <v>192</v>
      </c>
      <c r="F187" s="114">
        <v>961057</v>
      </c>
      <c r="G187" s="119">
        <v>8.6507857139999995</v>
      </c>
      <c r="H187" s="221">
        <v>-13.627000000000001</v>
      </c>
      <c r="I187" s="69">
        <f t="shared" ref="I187" si="752">G187+H187</f>
        <v>-4.9762142860000012</v>
      </c>
      <c r="J187" s="70"/>
      <c r="K187" s="145">
        <f t="shared" si="587"/>
        <v>-4.9762142860000012</v>
      </c>
      <c r="L187" s="147">
        <f t="shared" si="590"/>
        <v>0</v>
      </c>
      <c r="M187" s="621">
        <v>43538</v>
      </c>
      <c r="N187" s="71">
        <f t="shared" ref="N187:O187" si="753">G187+G188</f>
        <v>13.626971427999999</v>
      </c>
      <c r="O187" s="72">
        <f t="shared" si="753"/>
        <v>-13.627000000000001</v>
      </c>
      <c r="P187" s="71">
        <f t="shared" ref="P187" si="754">N187+O187</f>
        <v>-2.8572000001503284E-5</v>
      </c>
      <c r="Q187" s="640">
        <f t="shared" ref="Q187" si="755">J187+J188</f>
        <v>0</v>
      </c>
      <c r="R187" s="641">
        <f t="shared" ref="R187" si="756">P187-Q187</f>
        <v>-2.8572000001503284E-5</v>
      </c>
      <c r="S187" s="927">
        <f t="shared" ref="S187" si="757">Q187/P187</f>
        <v>0</v>
      </c>
      <c r="T187" s="927">
        <f t="shared" si="575"/>
        <v>1.0000020967241439</v>
      </c>
    </row>
    <row r="188" spans="1:21" ht="15" customHeight="1" thickBot="1">
      <c r="A188" s="49">
        <v>170</v>
      </c>
      <c r="B188" s="107">
        <f t="shared" ref="B188" si="758">+B186+$B$20</f>
        <v>85</v>
      </c>
      <c r="C188" s="132" t="s">
        <v>101</v>
      </c>
      <c r="D188" s="133" t="s">
        <v>95</v>
      </c>
      <c r="E188" s="134" t="s">
        <v>192</v>
      </c>
      <c r="F188" s="134">
        <v>961057</v>
      </c>
      <c r="G188" s="135">
        <v>4.9761857139999996</v>
      </c>
      <c r="H188" s="136"/>
      <c r="I188" s="137">
        <f t="shared" ref="I188" si="759">G188+H188+K187</f>
        <v>-2.8572000001503284E-5</v>
      </c>
      <c r="J188" s="138"/>
      <c r="K188" s="146">
        <f t="shared" si="587"/>
        <v>-2.8572000001503284E-5</v>
      </c>
      <c r="L188" s="148">
        <f t="shared" si="590"/>
        <v>0</v>
      </c>
      <c r="M188" s="621">
        <v>43538</v>
      </c>
      <c r="N188" s="73"/>
      <c r="O188" s="73"/>
      <c r="P188" s="73"/>
      <c r="Q188" s="642"/>
      <c r="R188" s="642"/>
      <c r="S188" s="928"/>
      <c r="T188" s="928"/>
    </row>
    <row r="189" spans="1:21" ht="15" customHeight="1">
      <c r="A189" s="49">
        <v>171</v>
      </c>
      <c r="B189" s="107">
        <f t="shared" ref="B189" si="760">+B187+$B$19</f>
        <v>86</v>
      </c>
      <c r="C189" s="112" t="s">
        <v>101</v>
      </c>
      <c r="D189" s="113" t="s">
        <v>35</v>
      </c>
      <c r="E189" s="114" t="s">
        <v>193</v>
      </c>
      <c r="F189" s="114">
        <v>963230</v>
      </c>
      <c r="G189" s="119">
        <v>8.6507857139999995</v>
      </c>
      <c r="H189" s="261">
        <f>-13.597</f>
        <v>-13.597</v>
      </c>
      <c r="I189" s="69">
        <f t="shared" ref="I189" si="761">G189+H189</f>
        <v>-4.946214286</v>
      </c>
      <c r="J189" s="70"/>
      <c r="K189" s="145">
        <f t="shared" si="587"/>
        <v>-4.946214286</v>
      </c>
      <c r="L189" s="147">
        <f t="shared" si="590"/>
        <v>0</v>
      </c>
      <c r="M189" s="622">
        <v>43629</v>
      </c>
      <c r="N189" s="71">
        <f t="shared" ref="N189:O189" si="762">G189+G190</f>
        <v>13.626971427999999</v>
      </c>
      <c r="O189" s="72">
        <f t="shared" si="762"/>
        <v>-13.597</v>
      </c>
      <c r="P189" s="71">
        <f t="shared" ref="P189" si="763">N189+O189</f>
        <v>2.9971427999999634E-2</v>
      </c>
      <c r="Q189" s="640">
        <f t="shared" ref="Q189" si="764">J189+J190</f>
        <v>0</v>
      </c>
      <c r="R189" s="641">
        <f t="shared" ref="R189" si="765">P189-Q189</f>
        <v>2.9971427999999634E-2</v>
      </c>
      <c r="S189" s="927">
        <f t="shared" ref="S189" si="766">Q189/P189</f>
        <v>0</v>
      </c>
      <c r="T189" s="927">
        <f t="shared" si="575"/>
        <v>0.99780058040347719</v>
      </c>
      <c r="U189" s="573"/>
    </row>
    <row r="190" spans="1:21" ht="15" customHeight="1" thickBot="1">
      <c r="A190" s="49">
        <v>172</v>
      </c>
      <c r="B190" s="107">
        <f t="shared" ref="B190" si="767">+B188+$B$20</f>
        <v>86</v>
      </c>
      <c r="C190" s="132" t="s">
        <v>101</v>
      </c>
      <c r="D190" s="133" t="s">
        <v>95</v>
      </c>
      <c r="E190" s="134" t="s">
        <v>193</v>
      </c>
      <c r="F190" s="134">
        <v>963230</v>
      </c>
      <c r="G190" s="135">
        <v>4.9761857139999996</v>
      </c>
      <c r="H190" s="136"/>
      <c r="I190" s="137">
        <f t="shared" ref="I190" si="768">G190+H190+K189</f>
        <v>2.9971427999999634E-2</v>
      </c>
      <c r="J190" s="138"/>
      <c r="K190" s="146">
        <f t="shared" si="587"/>
        <v>2.9971427999999634E-2</v>
      </c>
      <c r="L190" s="148">
        <f t="shared" si="590"/>
        <v>0</v>
      </c>
      <c r="M190" s="630" t="s">
        <v>30</v>
      </c>
      <c r="N190" s="73"/>
      <c r="O190" s="73"/>
      <c r="P190" s="73"/>
      <c r="Q190" s="642"/>
      <c r="R190" s="642"/>
      <c r="S190" s="928"/>
      <c r="T190" s="928"/>
    </row>
    <row r="191" spans="1:21" ht="15" customHeight="1" thickBot="1">
      <c r="A191" s="49">
        <v>173</v>
      </c>
      <c r="B191" s="107">
        <f t="shared" ref="B191" si="769">+B189+$B$19</f>
        <v>87</v>
      </c>
      <c r="C191" s="112" t="s">
        <v>101</v>
      </c>
      <c r="D191" s="113" t="s">
        <v>35</v>
      </c>
      <c r="E191" s="114" t="s">
        <v>194</v>
      </c>
      <c r="F191" s="114">
        <v>966891</v>
      </c>
      <c r="G191" s="119">
        <v>8.6507857139999995</v>
      </c>
      <c r="H191" s="221">
        <v>-13.627000000000001</v>
      </c>
      <c r="I191" s="69">
        <f t="shared" ref="I191" si="770">G191+H191</f>
        <v>-4.9762142860000012</v>
      </c>
      <c r="J191" s="70"/>
      <c r="K191" s="145">
        <f t="shared" si="587"/>
        <v>-4.9762142860000012</v>
      </c>
      <c r="L191" s="147">
        <f t="shared" si="590"/>
        <v>0</v>
      </c>
      <c r="M191" s="621">
        <v>43538</v>
      </c>
      <c r="N191" s="71">
        <f t="shared" ref="N191:O191" si="771">G191+G192</f>
        <v>13.626971427999999</v>
      </c>
      <c r="O191" s="72">
        <f t="shared" si="771"/>
        <v>-13.627000000000001</v>
      </c>
      <c r="P191" s="71">
        <f t="shared" ref="P191" si="772">N191+O191</f>
        <v>-2.8572000001503284E-5</v>
      </c>
      <c r="Q191" s="640">
        <f t="shared" ref="Q191" si="773">J191+J192</f>
        <v>0</v>
      </c>
      <c r="R191" s="641">
        <f t="shared" ref="R191" si="774">P191-Q191</f>
        <v>-2.8572000001503284E-5</v>
      </c>
      <c r="S191" s="927">
        <f t="shared" ref="S191" si="775">Q191/P191</f>
        <v>0</v>
      </c>
      <c r="T191" s="927">
        <f t="shared" si="575"/>
        <v>1.0000020967241439</v>
      </c>
    </row>
    <row r="192" spans="1:21" ht="15" customHeight="1" thickBot="1">
      <c r="A192" s="49">
        <v>174</v>
      </c>
      <c r="B192" s="107">
        <f t="shared" ref="B192" si="776">+B190+$B$20</f>
        <v>87</v>
      </c>
      <c r="C192" s="132" t="s">
        <v>101</v>
      </c>
      <c r="D192" s="133" t="s">
        <v>95</v>
      </c>
      <c r="E192" s="134" t="s">
        <v>194</v>
      </c>
      <c r="F192" s="134">
        <v>966891</v>
      </c>
      <c r="G192" s="135">
        <v>4.9761857139999996</v>
      </c>
      <c r="H192" s="136"/>
      <c r="I192" s="137">
        <f t="shared" ref="I192" si="777">G192+H192+K191</f>
        <v>-2.8572000001503284E-5</v>
      </c>
      <c r="J192" s="138"/>
      <c r="K192" s="146">
        <f t="shared" si="587"/>
        <v>-2.8572000001503284E-5</v>
      </c>
      <c r="L192" s="148">
        <f t="shared" si="590"/>
        <v>0</v>
      </c>
      <c r="M192" s="621">
        <v>43538</v>
      </c>
      <c r="N192" s="73"/>
      <c r="O192" s="73"/>
      <c r="P192" s="73"/>
      <c r="Q192" s="642"/>
      <c r="R192" s="642"/>
      <c r="S192" s="928"/>
      <c r="T192" s="928"/>
    </row>
    <row r="193" spans="1:20" ht="15" customHeight="1" thickBot="1">
      <c r="A193" s="49">
        <v>175</v>
      </c>
      <c r="B193" s="107">
        <f t="shared" ref="B193" si="778">+B191+$B$19</f>
        <v>88</v>
      </c>
      <c r="C193" s="112" t="s">
        <v>101</v>
      </c>
      <c r="D193" s="113" t="s">
        <v>35</v>
      </c>
      <c r="E193" s="114" t="s">
        <v>195</v>
      </c>
      <c r="F193" s="114">
        <v>903768</v>
      </c>
      <c r="G193" s="119">
        <v>8.6507857139999995</v>
      </c>
      <c r="H193" s="260">
        <f>-13.627</f>
        <v>-13.627000000000001</v>
      </c>
      <c r="I193" s="69">
        <f t="shared" ref="I193" si="779">G193+H193</f>
        <v>-4.9762142860000012</v>
      </c>
      <c r="J193" s="70"/>
      <c r="K193" s="145">
        <f t="shared" si="587"/>
        <v>-4.9762142860000012</v>
      </c>
      <c r="L193" s="147">
        <f t="shared" si="590"/>
        <v>0</v>
      </c>
      <c r="M193" s="629">
        <v>43538</v>
      </c>
      <c r="N193" s="71">
        <f t="shared" ref="N193:O193" si="780">G193+G194</f>
        <v>13.626971427999999</v>
      </c>
      <c r="O193" s="72">
        <f t="shared" si="780"/>
        <v>-13.627000000000001</v>
      </c>
      <c r="P193" s="71">
        <f t="shared" ref="P193" si="781">N193+O193</f>
        <v>-2.8572000001503284E-5</v>
      </c>
      <c r="Q193" s="640">
        <f t="shared" ref="Q193" si="782">J193+J194</f>
        <v>0</v>
      </c>
      <c r="R193" s="641">
        <f t="shared" ref="R193" si="783">P193-Q193</f>
        <v>-2.8572000001503284E-5</v>
      </c>
      <c r="S193" s="927">
        <f t="shared" ref="S193" si="784">Q193/P193</f>
        <v>0</v>
      </c>
      <c r="T193" s="927">
        <f t="shared" si="575"/>
        <v>1.0000020967241439</v>
      </c>
    </row>
    <row r="194" spans="1:20" ht="15" customHeight="1" thickBot="1">
      <c r="A194" s="49">
        <v>176</v>
      </c>
      <c r="B194" s="107">
        <f t="shared" ref="B194" si="785">+B192+$B$20</f>
        <v>88</v>
      </c>
      <c r="C194" s="132" t="s">
        <v>101</v>
      </c>
      <c r="D194" s="133" t="s">
        <v>95</v>
      </c>
      <c r="E194" s="134" t="s">
        <v>195</v>
      </c>
      <c r="F194" s="134">
        <v>903768</v>
      </c>
      <c r="G194" s="135">
        <v>4.9761857139999996</v>
      </c>
      <c r="H194" s="136"/>
      <c r="I194" s="137">
        <f t="shared" ref="I194" si="786">G194+H194+K193</f>
        <v>-2.8572000001503284E-5</v>
      </c>
      <c r="J194" s="138"/>
      <c r="K194" s="146">
        <f t="shared" si="587"/>
        <v>-2.8572000001503284E-5</v>
      </c>
      <c r="L194" s="148">
        <f t="shared" si="590"/>
        <v>0</v>
      </c>
      <c r="M194" s="629">
        <v>43538</v>
      </c>
      <c r="N194" s="73"/>
      <c r="O194" s="73"/>
      <c r="P194" s="73"/>
      <c r="Q194" s="642"/>
      <c r="R194" s="642"/>
      <c r="S194" s="928"/>
      <c r="T194" s="928"/>
    </row>
    <row r="195" spans="1:20" ht="15" customHeight="1" thickBot="1">
      <c r="A195" s="49">
        <v>177</v>
      </c>
      <c r="B195" s="107">
        <f t="shared" ref="B195" si="787">+B193+$B$19</f>
        <v>89</v>
      </c>
      <c r="C195" s="112" t="s">
        <v>101</v>
      </c>
      <c r="D195" s="113" t="s">
        <v>35</v>
      </c>
      <c r="E195" s="114" t="s">
        <v>196</v>
      </c>
      <c r="F195" s="114">
        <v>961370</v>
      </c>
      <c r="G195" s="119">
        <v>8.6507857139999995</v>
      </c>
      <c r="H195" s="221">
        <f>-13.627</f>
        <v>-13.627000000000001</v>
      </c>
      <c r="I195" s="69">
        <f t="shared" ref="I195" si="788">G195+H195</f>
        <v>-4.9762142860000012</v>
      </c>
      <c r="J195" s="70"/>
      <c r="K195" s="145">
        <f t="shared" si="587"/>
        <v>-4.9762142860000012</v>
      </c>
      <c r="L195" s="147">
        <f t="shared" si="590"/>
        <v>0</v>
      </c>
      <c r="M195" s="629">
        <v>43538</v>
      </c>
      <c r="N195" s="71">
        <f t="shared" ref="N195:O195" si="789">G195+G196</f>
        <v>13.626971427999999</v>
      </c>
      <c r="O195" s="72">
        <f t="shared" si="789"/>
        <v>-13.627000000000001</v>
      </c>
      <c r="P195" s="71">
        <f t="shared" ref="P195" si="790">N195+O195</f>
        <v>-2.8572000001503284E-5</v>
      </c>
      <c r="Q195" s="640">
        <f t="shared" ref="Q195" si="791">J195+J196</f>
        <v>0</v>
      </c>
      <c r="R195" s="641">
        <f t="shared" ref="R195" si="792">P195-Q195</f>
        <v>-2.8572000001503284E-5</v>
      </c>
      <c r="S195" s="927">
        <f t="shared" ref="S195" si="793">Q195/P195</f>
        <v>0</v>
      </c>
      <c r="T195" s="927">
        <f t="shared" si="575"/>
        <v>1.0000020967241439</v>
      </c>
    </row>
    <row r="196" spans="1:20" ht="15" customHeight="1" thickBot="1">
      <c r="A196" s="49">
        <v>178</v>
      </c>
      <c r="B196" s="107">
        <f t="shared" ref="B196" si="794">+B194+$B$20</f>
        <v>89</v>
      </c>
      <c r="C196" s="132" t="s">
        <v>101</v>
      </c>
      <c r="D196" s="133" t="s">
        <v>95</v>
      </c>
      <c r="E196" s="134" t="s">
        <v>196</v>
      </c>
      <c r="F196" s="134">
        <v>961370</v>
      </c>
      <c r="G196" s="135">
        <v>4.9761857139999996</v>
      </c>
      <c r="H196" s="136"/>
      <c r="I196" s="137">
        <f t="shared" ref="I196" si="795">G196+H196+K195</f>
        <v>-2.8572000001503284E-5</v>
      </c>
      <c r="J196" s="138"/>
      <c r="K196" s="146">
        <f t="shared" si="587"/>
        <v>-2.8572000001503284E-5</v>
      </c>
      <c r="L196" s="148">
        <f t="shared" si="590"/>
        <v>0</v>
      </c>
      <c r="M196" s="629">
        <v>43538</v>
      </c>
      <c r="N196" s="73"/>
      <c r="O196" s="73"/>
      <c r="P196" s="73"/>
      <c r="Q196" s="642"/>
      <c r="R196" s="642"/>
      <c r="S196" s="928"/>
      <c r="T196" s="928"/>
    </row>
    <row r="197" spans="1:20" ht="15" customHeight="1" thickBot="1">
      <c r="A197" s="49">
        <v>179</v>
      </c>
      <c r="B197" s="107">
        <f t="shared" ref="B197" si="796">+B195+$B$19</f>
        <v>90</v>
      </c>
      <c r="C197" s="112" t="s">
        <v>101</v>
      </c>
      <c r="D197" s="113" t="s">
        <v>35</v>
      </c>
      <c r="E197" s="114" t="s">
        <v>197</v>
      </c>
      <c r="F197" s="114">
        <v>960671</v>
      </c>
      <c r="G197" s="119">
        <v>8.6507857139999995</v>
      </c>
      <c r="H197" s="221">
        <v>-13.627000000000001</v>
      </c>
      <c r="I197" s="69">
        <f t="shared" ref="I197" si="797">G197+H197</f>
        <v>-4.9762142860000012</v>
      </c>
      <c r="J197" s="70"/>
      <c r="K197" s="145">
        <f t="shared" si="587"/>
        <v>-4.9762142860000012</v>
      </c>
      <c r="L197" s="147">
        <f t="shared" si="590"/>
        <v>0</v>
      </c>
      <c r="M197" s="621">
        <v>43538</v>
      </c>
      <c r="N197" s="71">
        <f t="shared" ref="N197:O197" si="798">G197+G198</f>
        <v>13.626971427999999</v>
      </c>
      <c r="O197" s="72">
        <f t="shared" si="798"/>
        <v>-13.627000000000001</v>
      </c>
      <c r="P197" s="71">
        <f t="shared" ref="P197" si="799">N197+O197</f>
        <v>-2.8572000001503284E-5</v>
      </c>
      <c r="Q197" s="640">
        <f t="shared" ref="Q197" si="800">J197+J198</f>
        <v>0</v>
      </c>
      <c r="R197" s="641">
        <f t="shared" ref="R197" si="801">P197-Q197</f>
        <v>-2.8572000001503284E-5</v>
      </c>
      <c r="S197" s="927">
        <f t="shared" ref="S197" si="802">Q197/P197</f>
        <v>0</v>
      </c>
      <c r="T197" s="927">
        <f t="shared" si="575"/>
        <v>1.0000020967241439</v>
      </c>
    </row>
    <row r="198" spans="1:20" ht="15" customHeight="1" thickBot="1">
      <c r="A198" s="49">
        <v>180</v>
      </c>
      <c r="B198" s="107">
        <f t="shared" ref="B198" si="803">+B196+$B$20</f>
        <v>90</v>
      </c>
      <c r="C198" s="132" t="s">
        <v>101</v>
      </c>
      <c r="D198" s="133" t="s">
        <v>95</v>
      </c>
      <c r="E198" s="134" t="s">
        <v>197</v>
      </c>
      <c r="F198" s="134">
        <v>960671</v>
      </c>
      <c r="G198" s="135">
        <v>4.9761857139999996</v>
      </c>
      <c r="H198" s="136"/>
      <c r="I198" s="137">
        <f t="shared" ref="I198" si="804">G198+H198+K197</f>
        <v>-2.8572000001503284E-5</v>
      </c>
      <c r="J198" s="138"/>
      <c r="K198" s="146">
        <f t="shared" si="587"/>
        <v>-2.8572000001503284E-5</v>
      </c>
      <c r="L198" s="148">
        <f t="shared" si="590"/>
        <v>0</v>
      </c>
      <c r="M198" s="621">
        <v>43538</v>
      </c>
      <c r="N198" s="73"/>
      <c r="O198" s="73"/>
      <c r="P198" s="73"/>
      <c r="Q198" s="642"/>
      <c r="R198" s="642"/>
      <c r="S198" s="928"/>
      <c r="T198" s="928"/>
    </row>
    <row r="199" spans="1:20" ht="15" customHeight="1" thickBot="1">
      <c r="A199" s="49">
        <v>181</v>
      </c>
      <c r="B199" s="107">
        <f t="shared" ref="B199" si="805">+B197+$B$19</f>
        <v>91</v>
      </c>
      <c r="C199" s="112" t="s">
        <v>101</v>
      </c>
      <c r="D199" s="113" t="s">
        <v>35</v>
      </c>
      <c r="E199" s="114" t="s">
        <v>198</v>
      </c>
      <c r="F199" s="114">
        <v>90876</v>
      </c>
      <c r="G199" s="119">
        <v>8.6507857139999995</v>
      </c>
      <c r="H199" s="221">
        <v>-13.627000000000001</v>
      </c>
      <c r="I199" s="69">
        <f t="shared" ref="I199" si="806">G199+H199</f>
        <v>-4.9762142860000012</v>
      </c>
      <c r="J199" s="70"/>
      <c r="K199" s="145">
        <f t="shared" si="587"/>
        <v>-4.9762142860000012</v>
      </c>
      <c r="L199" s="147">
        <f t="shared" si="590"/>
        <v>0</v>
      </c>
      <c r="M199" s="621">
        <v>43538</v>
      </c>
      <c r="N199" s="71">
        <f t="shared" ref="N199:O199" si="807">G199+G200</f>
        <v>13.626971427999999</v>
      </c>
      <c r="O199" s="72">
        <f t="shared" si="807"/>
        <v>-13.627000000000001</v>
      </c>
      <c r="P199" s="71">
        <f t="shared" ref="P199" si="808">N199+O199</f>
        <v>-2.8572000001503284E-5</v>
      </c>
      <c r="Q199" s="640">
        <f t="shared" ref="Q199" si="809">J199+J200</f>
        <v>0</v>
      </c>
      <c r="R199" s="641">
        <f t="shared" ref="R199" si="810">P199-Q199</f>
        <v>-2.8572000001503284E-5</v>
      </c>
      <c r="S199" s="927">
        <f t="shared" ref="S199" si="811">Q199/P199</f>
        <v>0</v>
      </c>
      <c r="T199" s="927">
        <f t="shared" si="575"/>
        <v>1.0000020967241439</v>
      </c>
    </row>
    <row r="200" spans="1:20" ht="15" customHeight="1" thickBot="1">
      <c r="A200" s="49">
        <v>182</v>
      </c>
      <c r="B200" s="107">
        <f t="shared" ref="B200" si="812">+B198+$B$20</f>
        <v>91</v>
      </c>
      <c r="C200" s="132" t="s">
        <v>101</v>
      </c>
      <c r="D200" s="133" t="s">
        <v>95</v>
      </c>
      <c r="E200" s="134" t="s">
        <v>198</v>
      </c>
      <c r="F200" s="134">
        <v>90876</v>
      </c>
      <c r="G200" s="135">
        <v>4.9761857139999996</v>
      </c>
      <c r="H200" s="136"/>
      <c r="I200" s="137">
        <f t="shared" ref="I200" si="813">G200+H200+K199</f>
        <v>-2.8572000001503284E-5</v>
      </c>
      <c r="J200" s="138"/>
      <c r="K200" s="146">
        <f t="shared" si="587"/>
        <v>-2.8572000001503284E-5</v>
      </c>
      <c r="L200" s="148">
        <f t="shared" si="590"/>
        <v>0</v>
      </c>
      <c r="M200" s="621">
        <v>43538</v>
      </c>
      <c r="N200" s="73"/>
      <c r="O200" s="73"/>
      <c r="P200" s="73"/>
      <c r="Q200" s="642"/>
      <c r="R200" s="642"/>
      <c r="S200" s="928"/>
      <c r="T200" s="928"/>
    </row>
    <row r="201" spans="1:20" ht="15" customHeight="1" thickBot="1">
      <c r="A201" s="49">
        <v>183</v>
      </c>
      <c r="B201" s="107">
        <f t="shared" ref="B201" si="814">+B199+$B$19</f>
        <v>92</v>
      </c>
      <c r="C201" s="112" t="s">
        <v>101</v>
      </c>
      <c r="D201" s="113" t="s">
        <v>35</v>
      </c>
      <c r="E201" s="114" t="s">
        <v>199</v>
      </c>
      <c r="F201" s="114">
        <v>926458</v>
      </c>
      <c r="G201" s="119">
        <v>8.6507857139999995</v>
      </c>
      <c r="H201" s="260">
        <f>-13.627</f>
        <v>-13.627000000000001</v>
      </c>
      <c r="I201" s="69">
        <f t="shared" ref="I201" si="815">G201+H201</f>
        <v>-4.9762142860000012</v>
      </c>
      <c r="J201" s="70"/>
      <c r="K201" s="145">
        <f t="shared" si="587"/>
        <v>-4.9762142860000012</v>
      </c>
      <c r="L201" s="147">
        <f t="shared" si="590"/>
        <v>0</v>
      </c>
      <c r="M201" s="629">
        <v>43538</v>
      </c>
      <c r="N201" s="71">
        <f t="shared" ref="N201:O201" si="816">G201+G202</f>
        <v>13.626971427999999</v>
      </c>
      <c r="O201" s="72">
        <f t="shared" si="816"/>
        <v>-13.627000000000001</v>
      </c>
      <c r="P201" s="71">
        <f t="shared" ref="P201" si="817">N201+O201</f>
        <v>-2.8572000001503284E-5</v>
      </c>
      <c r="Q201" s="640">
        <f t="shared" ref="Q201" si="818">J201+J202</f>
        <v>0</v>
      </c>
      <c r="R201" s="641">
        <f t="shared" ref="R201" si="819">P201-Q201</f>
        <v>-2.8572000001503284E-5</v>
      </c>
      <c r="S201" s="927">
        <f t="shared" ref="S201" si="820">Q201/P201</f>
        <v>0</v>
      </c>
      <c r="T201" s="927">
        <f t="shared" si="575"/>
        <v>1.0000020967241439</v>
      </c>
    </row>
    <row r="202" spans="1:20" ht="15" customHeight="1" thickBot="1">
      <c r="A202" s="49">
        <v>184</v>
      </c>
      <c r="B202" s="107">
        <f t="shared" ref="B202" si="821">+B200+$B$20</f>
        <v>92</v>
      </c>
      <c r="C202" s="132" t="s">
        <v>101</v>
      </c>
      <c r="D202" s="133" t="s">
        <v>95</v>
      </c>
      <c r="E202" s="134" t="s">
        <v>199</v>
      </c>
      <c r="F202" s="134">
        <v>926458</v>
      </c>
      <c r="G202" s="135">
        <v>4.9761857139999996</v>
      </c>
      <c r="H202" s="136"/>
      <c r="I202" s="137">
        <f t="shared" ref="I202" si="822">G202+H202+K201</f>
        <v>-2.8572000001503284E-5</v>
      </c>
      <c r="J202" s="138"/>
      <c r="K202" s="146">
        <f t="shared" si="587"/>
        <v>-2.8572000001503284E-5</v>
      </c>
      <c r="L202" s="148">
        <f t="shared" si="590"/>
        <v>0</v>
      </c>
      <c r="M202" s="629">
        <v>43538</v>
      </c>
      <c r="N202" s="73"/>
      <c r="O202" s="73"/>
      <c r="P202" s="73"/>
      <c r="Q202" s="642"/>
      <c r="R202" s="642"/>
      <c r="S202" s="928"/>
      <c r="T202" s="928"/>
    </row>
    <row r="203" spans="1:20" ht="15" customHeight="1" thickBot="1">
      <c r="A203" s="49">
        <v>185</v>
      </c>
      <c r="B203" s="107">
        <f t="shared" ref="B203" si="823">+B201+$B$19</f>
        <v>93</v>
      </c>
      <c r="C203" s="112" t="s">
        <v>101</v>
      </c>
      <c r="D203" s="113" t="s">
        <v>35</v>
      </c>
      <c r="E203" s="114" t="s">
        <v>200</v>
      </c>
      <c r="F203" s="114">
        <v>950318</v>
      </c>
      <c r="G203" s="119">
        <v>8.6507857139999995</v>
      </c>
      <c r="H203" s="260">
        <f>-13.627</f>
        <v>-13.627000000000001</v>
      </c>
      <c r="I203" s="69">
        <f t="shared" ref="I203" si="824">G203+H203</f>
        <v>-4.9762142860000012</v>
      </c>
      <c r="J203" s="70"/>
      <c r="K203" s="145">
        <f t="shared" si="587"/>
        <v>-4.9762142860000012</v>
      </c>
      <c r="L203" s="147">
        <f t="shared" si="590"/>
        <v>0</v>
      </c>
      <c r="M203" s="629">
        <v>43538</v>
      </c>
      <c r="N203" s="71">
        <f t="shared" ref="N203:O203" si="825">G203+G204</f>
        <v>13.626971427999999</v>
      </c>
      <c r="O203" s="72">
        <f t="shared" si="825"/>
        <v>-13.627000000000001</v>
      </c>
      <c r="P203" s="71">
        <f t="shared" ref="P203" si="826">N203+O203</f>
        <v>-2.8572000001503284E-5</v>
      </c>
      <c r="Q203" s="640">
        <f t="shared" ref="Q203" si="827">J203+J204</f>
        <v>0</v>
      </c>
      <c r="R203" s="641">
        <f t="shared" ref="R203" si="828">P203-Q203</f>
        <v>-2.8572000001503284E-5</v>
      </c>
      <c r="S203" s="927">
        <f t="shared" ref="S203" si="829">Q203/P203</f>
        <v>0</v>
      </c>
      <c r="T203" s="927">
        <f t="shared" si="575"/>
        <v>1.0000020967241439</v>
      </c>
    </row>
    <row r="204" spans="1:20" ht="15" customHeight="1" thickBot="1">
      <c r="A204" s="49">
        <v>186</v>
      </c>
      <c r="B204" s="107">
        <f t="shared" ref="B204" si="830">+B202+$B$20</f>
        <v>93</v>
      </c>
      <c r="C204" s="132" t="s">
        <v>101</v>
      </c>
      <c r="D204" s="133" t="s">
        <v>95</v>
      </c>
      <c r="E204" s="134" t="s">
        <v>200</v>
      </c>
      <c r="F204" s="134">
        <v>950318</v>
      </c>
      <c r="G204" s="135">
        <v>4.9761857139999996</v>
      </c>
      <c r="H204" s="136"/>
      <c r="I204" s="137">
        <f t="shared" ref="I204" si="831">G204+H204+K203</f>
        <v>-2.8572000001503284E-5</v>
      </c>
      <c r="J204" s="138"/>
      <c r="K204" s="146">
        <f t="shared" si="587"/>
        <v>-2.8572000001503284E-5</v>
      </c>
      <c r="L204" s="148">
        <f t="shared" si="590"/>
        <v>0</v>
      </c>
      <c r="M204" s="629">
        <v>43538</v>
      </c>
      <c r="N204" s="73"/>
      <c r="O204" s="73"/>
      <c r="P204" s="73"/>
      <c r="Q204" s="642"/>
      <c r="R204" s="642"/>
      <c r="S204" s="928"/>
      <c r="T204" s="928"/>
    </row>
    <row r="205" spans="1:20" ht="15" customHeight="1" thickBot="1">
      <c r="A205" s="49">
        <v>187</v>
      </c>
      <c r="B205" s="107">
        <f t="shared" ref="B205" si="832">+B203+$B$19</f>
        <v>94</v>
      </c>
      <c r="C205" s="112" t="s">
        <v>101</v>
      </c>
      <c r="D205" s="113" t="s">
        <v>35</v>
      </c>
      <c r="E205" s="114" t="s">
        <v>151</v>
      </c>
      <c r="F205" s="114">
        <v>918732</v>
      </c>
      <c r="G205" s="119">
        <v>8.6507857139999995</v>
      </c>
      <c r="H205" s="221">
        <v>-13.627000000000001</v>
      </c>
      <c r="I205" s="69">
        <f t="shared" ref="I205" si="833">G205+H205</f>
        <v>-4.9762142860000012</v>
      </c>
      <c r="J205" s="70"/>
      <c r="K205" s="145">
        <f t="shared" si="587"/>
        <v>-4.9762142860000012</v>
      </c>
      <c r="L205" s="147">
        <f t="shared" si="590"/>
        <v>0</v>
      </c>
      <c r="M205" s="621">
        <v>43538</v>
      </c>
      <c r="N205" s="71">
        <f t="shared" ref="N205:O205" si="834">G205+G206</f>
        <v>13.626971427999999</v>
      </c>
      <c r="O205" s="72">
        <f t="shared" si="834"/>
        <v>-13.627000000000001</v>
      </c>
      <c r="P205" s="71">
        <f t="shared" ref="P205" si="835">N205+O205</f>
        <v>-2.8572000001503284E-5</v>
      </c>
      <c r="Q205" s="640">
        <f t="shared" ref="Q205" si="836">J205+J206</f>
        <v>0</v>
      </c>
      <c r="R205" s="641">
        <f t="shared" ref="R205" si="837">P205-Q205</f>
        <v>-2.8572000001503284E-5</v>
      </c>
      <c r="S205" s="927">
        <f t="shared" ref="S205" si="838">Q205/P205</f>
        <v>0</v>
      </c>
      <c r="T205" s="927">
        <f t="shared" si="575"/>
        <v>1.0000020967241439</v>
      </c>
    </row>
    <row r="206" spans="1:20" ht="15" customHeight="1" thickBot="1">
      <c r="A206" s="49">
        <v>188</v>
      </c>
      <c r="B206" s="107">
        <f t="shared" ref="B206" si="839">+B204+$B$20</f>
        <v>94</v>
      </c>
      <c r="C206" s="132" t="s">
        <v>101</v>
      </c>
      <c r="D206" s="133" t="s">
        <v>95</v>
      </c>
      <c r="E206" s="134" t="s">
        <v>151</v>
      </c>
      <c r="F206" s="134">
        <v>918732</v>
      </c>
      <c r="G206" s="135">
        <v>4.9761857139999996</v>
      </c>
      <c r="H206" s="136"/>
      <c r="I206" s="137">
        <f t="shared" ref="I206" si="840">G206+H206+K205</f>
        <v>-2.8572000001503284E-5</v>
      </c>
      <c r="J206" s="138"/>
      <c r="K206" s="146">
        <f t="shared" si="587"/>
        <v>-2.8572000001503284E-5</v>
      </c>
      <c r="L206" s="148">
        <f t="shared" si="590"/>
        <v>0</v>
      </c>
      <c r="M206" s="621">
        <v>43538</v>
      </c>
      <c r="N206" s="73"/>
      <c r="O206" s="73"/>
      <c r="P206" s="73"/>
      <c r="Q206" s="642"/>
      <c r="R206" s="642"/>
      <c r="S206" s="928"/>
      <c r="T206" s="928"/>
    </row>
    <row r="207" spans="1:20" ht="15" customHeight="1" thickBot="1">
      <c r="A207" s="49">
        <v>189</v>
      </c>
      <c r="B207" s="107">
        <f t="shared" ref="B207" si="841">+B205+$B$19</f>
        <v>95</v>
      </c>
      <c r="C207" s="112" t="s">
        <v>101</v>
      </c>
      <c r="D207" s="113" t="s">
        <v>35</v>
      </c>
      <c r="E207" s="114" t="s">
        <v>201</v>
      </c>
      <c r="F207" s="114">
        <v>954192</v>
      </c>
      <c r="G207" s="119">
        <v>8.6507857139999995</v>
      </c>
      <c r="H207" s="221">
        <v>-13.627000000000001</v>
      </c>
      <c r="I207" s="69">
        <f t="shared" ref="I207" si="842">G207+H207</f>
        <v>-4.9762142860000012</v>
      </c>
      <c r="J207" s="70"/>
      <c r="K207" s="145">
        <f t="shared" si="587"/>
        <v>-4.9762142860000012</v>
      </c>
      <c r="L207" s="147">
        <f t="shared" si="590"/>
        <v>0</v>
      </c>
      <c r="M207" s="621">
        <v>43538</v>
      </c>
      <c r="N207" s="71">
        <f t="shared" ref="N207:O207" si="843">G207+G208</f>
        <v>13.626971427999999</v>
      </c>
      <c r="O207" s="72">
        <f t="shared" si="843"/>
        <v>-13.627000000000001</v>
      </c>
      <c r="P207" s="71">
        <f t="shared" ref="P207" si="844">N207+O207</f>
        <v>-2.8572000001503284E-5</v>
      </c>
      <c r="Q207" s="640">
        <f t="shared" ref="Q207" si="845">J207+J208</f>
        <v>0</v>
      </c>
      <c r="R207" s="641">
        <f t="shared" ref="R207" si="846">P207-Q207</f>
        <v>-2.8572000001503284E-5</v>
      </c>
      <c r="S207" s="927">
        <f t="shared" ref="S207" si="847">Q207/P207</f>
        <v>0</v>
      </c>
      <c r="T207" s="927">
        <f t="shared" si="575"/>
        <v>1.0000020967241439</v>
      </c>
    </row>
    <row r="208" spans="1:20" ht="15" customHeight="1" thickBot="1">
      <c r="A208" s="49">
        <v>190</v>
      </c>
      <c r="B208" s="107">
        <f t="shared" ref="B208" si="848">+B206+$B$20</f>
        <v>95</v>
      </c>
      <c r="C208" s="132" t="s">
        <v>101</v>
      </c>
      <c r="D208" s="133" t="s">
        <v>95</v>
      </c>
      <c r="E208" s="134" t="s">
        <v>201</v>
      </c>
      <c r="F208" s="134">
        <v>954192</v>
      </c>
      <c r="G208" s="135">
        <v>4.9761857139999996</v>
      </c>
      <c r="H208" s="136"/>
      <c r="I208" s="137">
        <f t="shared" ref="I208" si="849">G208+H208+K207</f>
        <v>-2.8572000001503284E-5</v>
      </c>
      <c r="J208" s="138"/>
      <c r="K208" s="146">
        <f t="shared" si="587"/>
        <v>-2.8572000001503284E-5</v>
      </c>
      <c r="L208" s="148">
        <f t="shared" si="590"/>
        <v>0</v>
      </c>
      <c r="M208" s="621">
        <v>43538</v>
      </c>
      <c r="N208" s="73"/>
      <c r="O208" s="73"/>
      <c r="P208" s="73"/>
      <c r="Q208" s="642"/>
      <c r="R208" s="642"/>
      <c r="S208" s="928"/>
      <c r="T208" s="928"/>
    </row>
    <row r="209" spans="1:21" ht="15" customHeight="1" thickBot="1">
      <c r="A209" s="49">
        <v>191</v>
      </c>
      <c r="B209" s="107">
        <f t="shared" ref="B209" si="850">+B207+$B$19</f>
        <v>96</v>
      </c>
      <c r="C209" s="112" t="s">
        <v>101</v>
      </c>
      <c r="D209" s="113" t="s">
        <v>35</v>
      </c>
      <c r="E209" s="114" t="s">
        <v>202</v>
      </c>
      <c r="F209" s="114">
        <v>903901</v>
      </c>
      <c r="G209" s="119">
        <v>8.6507857139999995</v>
      </c>
      <c r="H209" s="221">
        <v>-13.627000000000001</v>
      </c>
      <c r="I209" s="69">
        <f t="shared" ref="I209" si="851">G209+H209</f>
        <v>-4.9762142860000012</v>
      </c>
      <c r="J209" s="70"/>
      <c r="K209" s="145">
        <f t="shared" si="587"/>
        <v>-4.9762142860000012</v>
      </c>
      <c r="L209" s="147">
        <f t="shared" si="590"/>
        <v>0</v>
      </c>
      <c r="M209" s="621">
        <v>43538</v>
      </c>
      <c r="N209" s="71">
        <f t="shared" ref="N209:O209" si="852">G209+G210</f>
        <v>13.626971427999999</v>
      </c>
      <c r="O209" s="72">
        <f t="shared" si="852"/>
        <v>-13.627000000000001</v>
      </c>
      <c r="P209" s="71">
        <f t="shared" ref="P209" si="853">N209+O209</f>
        <v>-2.8572000001503284E-5</v>
      </c>
      <c r="Q209" s="640">
        <f t="shared" ref="Q209" si="854">J209+J210</f>
        <v>0</v>
      </c>
      <c r="R209" s="641">
        <f t="shared" ref="R209" si="855">P209-Q209</f>
        <v>-2.8572000001503284E-5</v>
      </c>
      <c r="S209" s="927">
        <f t="shared" ref="S209" si="856">Q209/P209</f>
        <v>0</v>
      </c>
      <c r="T209" s="927">
        <f t="shared" si="575"/>
        <v>1.0000020967241439</v>
      </c>
    </row>
    <row r="210" spans="1:21" ht="15" customHeight="1" thickBot="1">
      <c r="A210" s="49">
        <v>192</v>
      </c>
      <c r="B210" s="107">
        <f t="shared" ref="B210" si="857">+B208+$B$20</f>
        <v>96</v>
      </c>
      <c r="C210" s="132" t="s">
        <v>101</v>
      </c>
      <c r="D210" s="133" t="s">
        <v>95</v>
      </c>
      <c r="E210" s="134" t="s">
        <v>202</v>
      </c>
      <c r="F210" s="134">
        <v>903901</v>
      </c>
      <c r="G210" s="135">
        <v>4.9761857139999996</v>
      </c>
      <c r="H210" s="136"/>
      <c r="I210" s="137">
        <f t="shared" ref="I210" si="858">G210+H210+K209</f>
        <v>-2.8572000001503284E-5</v>
      </c>
      <c r="J210" s="138"/>
      <c r="K210" s="146">
        <f t="shared" si="587"/>
        <v>-2.8572000001503284E-5</v>
      </c>
      <c r="L210" s="148">
        <f t="shared" si="590"/>
        <v>0</v>
      </c>
      <c r="M210" s="621">
        <v>43538</v>
      </c>
      <c r="N210" s="73"/>
      <c r="O210" s="73"/>
      <c r="P210" s="73"/>
      <c r="Q210" s="642"/>
      <c r="R210" s="642"/>
      <c r="S210" s="928"/>
      <c r="T210" s="928"/>
    </row>
    <row r="211" spans="1:21" ht="15" customHeight="1" thickBot="1">
      <c r="A211" s="49">
        <v>193</v>
      </c>
      <c r="B211" s="107">
        <f t="shared" ref="B211" si="859">+B209+$B$19</f>
        <v>97</v>
      </c>
      <c r="C211" s="112" t="s">
        <v>101</v>
      </c>
      <c r="D211" s="113" t="s">
        <v>35</v>
      </c>
      <c r="E211" s="114" t="s">
        <v>203</v>
      </c>
      <c r="F211" s="114">
        <v>961535</v>
      </c>
      <c r="G211" s="119">
        <v>8.6507857139999995</v>
      </c>
      <c r="H211" s="221">
        <v>-13.627000000000001</v>
      </c>
      <c r="I211" s="69">
        <f t="shared" ref="I211" si="860">G211+H211</f>
        <v>-4.9762142860000012</v>
      </c>
      <c r="J211" s="70"/>
      <c r="K211" s="145">
        <f t="shared" si="587"/>
        <v>-4.9762142860000012</v>
      </c>
      <c r="L211" s="147">
        <f t="shared" si="590"/>
        <v>0</v>
      </c>
      <c r="M211" s="621">
        <v>43538</v>
      </c>
      <c r="N211" s="71">
        <f t="shared" ref="N211:O211" si="861">G211+G212</f>
        <v>13.626971427999999</v>
      </c>
      <c r="O211" s="72">
        <f t="shared" si="861"/>
        <v>-13.627000000000001</v>
      </c>
      <c r="P211" s="71">
        <f t="shared" ref="P211" si="862">N211+O211</f>
        <v>-2.8572000001503284E-5</v>
      </c>
      <c r="Q211" s="640">
        <f t="shared" ref="Q211" si="863">J211+J212</f>
        <v>0</v>
      </c>
      <c r="R211" s="641">
        <f t="shared" ref="R211" si="864">P211-Q211</f>
        <v>-2.8572000001503284E-5</v>
      </c>
      <c r="S211" s="927">
        <f t="shared" ref="S211" si="865">Q211/P211</f>
        <v>0</v>
      </c>
      <c r="T211" s="927">
        <f t="shared" ref="T211:T213" si="866">((Q211+O211)/N211)*-1</f>
        <v>1.0000020967241439</v>
      </c>
    </row>
    <row r="212" spans="1:21" ht="15" customHeight="1" thickBot="1">
      <c r="A212" s="49">
        <v>194</v>
      </c>
      <c r="B212" s="107">
        <f t="shared" ref="B212" si="867">+B210+$B$20</f>
        <v>97</v>
      </c>
      <c r="C212" s="132" t="s">
        <v>101</v>
      </c>
      <c r="D212" s="133" t="s">
        <v>95</v>
      </c>
      <c r="E212" s="134" t="s">
        <v>203</v>
      </c>
      <c r="F212" s="134">
        <v>961535</v>
      </c>
      <c r="G212" s="135">
        <v>4.9761857139999996</v>
      </c>
      <c r="H212" s="136"/>
      <c r="I212" s="137">
        <f t="shared" ref="I212" si="868">G212+H212+K211</f>
        <v>-2.8572000001503284E-5</v>
      </c>
      <c r="J212" s="138"/>
      <c r="K212" s="146">
        <f t="shared" si="587"/>
        <v>-2.8572000001503284E-5</v>
      </c>
      <c r="L212" s="148">
        <f t="shared" si="590"/>
        <v>0</v>
      </c>
      <c r="M212" s="621">
        <v>43538</v>
      </c>
      <c r="N212" s="73"/>
      <c r="O212" s="73"/>
      <c r="P212" s="73"/>
      <c r="Q212" s="642"/>
      <c r="R212" s="642"/>
      <c r="S212" s="928"/>
      <c r="T212" s="928"/>
    </row>
    <row r="213" spans="1:21" ht="15" customHeight="1">
      <c r="A213" s="49">
        <v>195</v>
      </c>
      <c r="B213" s="107">
        <f t="shared" ref="B213" si="869">+B211+$B$19</f>
        <v>98</v>
      </c>
      <c r="C213" s="112" t="s">
        <v>101</v>
      </c>
      <c r="D213" s="113" t="s">
        <v>35</v>
      </c>
      <c r="E213" s="114" t="s">
        <v>204</v>
      </c>
      <c r="F213" s="114">
        <v>961104</v>
      </c>
      <c r="G213" s="119">
        <v>8.6507857139999995</v>
      </c>
      <c r="H213" s="261">
        <f>-11.627</f>
        <v>-11.627000000000001</v>
      </c>
      <c r="I213" s="69">
        <f t="shared" ref="I213" si="870">G213+H213</f>
        <v>-2.9762142860000012</v>
      </c>
      <c r="J213" s="70"/>
      <c r="K213" s="145">
        <f t="shared" si="587"/>
        <v>-2.9762142860000012</v>
      </c>
      <c r="L213" s="147">
        <f t="shared" si="590"/>
        <v>0</v>
      </c>
      <c r="M213" s="622">
        <v>43629</v>
      </c>
      <c r="N213" s="71">
        <f t="shared" ref="N213:O213" si="871">G213+G214</f>
        <v>13.626971427999999</v>
      </c>
      <c r="O213" s="72">
        <f t="shared" si="871"/>
        <v>-11.627000000000001</v>
      </c>
      <c r="P213" s="71">
        <f t="shared" ref="P213" si="872">N213+O213</f>
        <v>1.9999714279999985</v>
      </c>
      <c r="Q213" s="640">
        <f t="shared" ref="Q213" si="873">J213+J214</f>
        <v>0</v>
      </c>
      <c r="R213" s="641">
        <f t="shared" ref="R213" si="874">P213-Q213</f>
        <v>1.9999714279999985</v>
      </c>
      <c r="S213" s="927">
        <f t="shared" ref="S213" si="875">Q213/P213</f>
        <v>0</v>
      </c>
      <c r="T213" s="927">
        <f t="shared" si="866"/>
        <v>0.8532343420130345</v>
      </c>
      <c r="U213" s="573"/>
    </row>
    <row r="214" spans="1:21" ht="15" customHeight="1" thickBot="1">
      <c r="A214" s="49">
        <v>196</v>
      </c>
      <c r="B214" s="107">
        <f t="shared" ref="B214" si="876">+B212+$B$20</f>
        <v>98</v>
      </c>
      <c r="C214" s="132" t="s">
        <v>101</v>
      </c>
      <c r="D214" s="133" t="s">
        <v>95</v>
      </c>
      <c r="E214" s="134" t="s">
        <v>204</v>
      </c>
      <c r="F214" s="134">
        <v>961104</v>
      </c>
      <c r="G214" s="135">
        <v>4.9761857139999996</v>
      </c>
      <c r="H214" s="136"/>
      <c r="I214" s="137">
        <f t="shared" ref="I214" si="877">G214+H214+K213</f>
        <v>1.9999714279999985</v>
      </c>
      <c r="J214" s="138"/>
      <c r="K214" s="146">
        <f t="shared" ref="K214:K272" si="878">I214-J214</f>
        <v>1.9999714279999985</v>
      </c>
      <c r="L214" s="148">
        <f t="shared" si="590"/>
        <v>0</v>
      </c>
      <c r="M214" s="624" t="s">
        <v>30</v>
      </c>
      <c r="N214" s="73"/>
      <c r="O214" s="73"/>
      <c r="P214" s="73"/>
      <c r="Q214" s="642"/>
      <c r="R214" s="642"/>
      <c r="S214" s="928"/>
      <c r="T214" s="928"/>
    </row>
    <row r="215" spans="1:21" ht="15" customHeight="1" thickBot="1">
      <c r="A215" s="49">
        <v>197</v>
      </c>
      <c r="B215" s="107">
        <f t="shared" ref="B215" si="879">+B213+$B$19</f>
        <v>99</v>
      </c>
      <c r="C215" s="112" t="s">
        <v>101</v>
      </c>
      <c r="D215" s="113" t="s">
        <v>35</v>
      </c>
      <c r="E215" s="114" t="s">
        <v>205</v>
      </c>
      <c r="F215" s="114">
        <v>918660</v>
      </c>
      <c r="G215" s="119">
        <v>8.6507857139999995</v>
      </c>
      <c r="H215" s="221">
        <v>-13.627000000000001</v>
      </c>
      <c r="I215" s="69">
        <f t="shared" ref="I215" si="880">G215+H215</f>
        <v>-4.9762142860000012</v>
      </c>
      <c r="J215" s="70"/>
      <c r="K215" s="145">
        <f t="shared" si="878"/>
        <v>-4.9762142860000012</v>
      </c>
      <c r="L215" s="147">
        <f t="shared" ref="L215:L272" si="881">J215/I215</f>
        <v>0</v>
      </c>
      <c r="M215" s="621">
        <v>43538</v>
      </c>
      <c r="N215" s="71">
        <f t="shared" ref="N215:O215" si="882">G215+G216</f>
        <v>13.626971427999999</v>
      </c>
      <c r="O215" s="72">
        <f t="shared" si="882"/>
        <v>-13.627000000000001</v>
      </c>
      <c r="P215" s="71">
        <f t="shared" ref="P215" si="883">N215+O215</f>
        <v>-2.8572000001503284E-5</v>
      </c>
      <c r="Q215" s="640">
        <f t="shared" ref="Q215" si="884">J215+J216</f>
        <v>0</v>
      </c>
      <c r="R215" s="641">
        <f t="shared" ref="R215" si="885">P215-Q215</f>
        <v>-2.8572000001503284E-5</v>
      </c>
      <c r="S215" s="927">
        <f t="shared" ref="S215" si="886">Q215/P215</f>
        <v>0</v>
      </c>
      <c r="T215" s="927">
        <f t="shared" ref="T215:T269" si="887">((Q215+O215)/N215)*-1</f>
        <v>1.0000020967241439</v>
      </c>
    </row>
    <row r="216" spans="1:21" ht="15" customHeight="1" thickBot="1">
      <c r="A216" s="49">
        <v>198</v>
      </c>
      <c r="B216" s="107">
        <f t="shared" ref="B216" si="888">+B214+$B$20</f>
        <v>99</v>
      </c>
      <c r="C216" s="132" t="s">
        <v>101</v>
      </c>
      <c r="D216" s="133" t="s">
        <v>95</v>
      </c>
      <c r="E216" s="134" t="s">
        <v>205</v>
      </c>
      <c r="F216" s="134">
        <v>918660</v>
      </c>
      <c r="G216" s="135">
        <v>4.9761857139999996</v>
      </c>
      <c r="H216" s="136"/>
      <c r="I216" s="137">
        <f t="shared" ref="I216" si="889">G216+H216+K215</f>
        <v>-2.8572000001503284E-5</v>
      </c>
      <c r="J216" s="138"/>
      <c r="K216" s="146">
        <f t="shared" si="878"/>
        <v>-2.8572000001503284E-5</v>
      </c>
      <c r="L216" s="148">
        <f t="shared" si="881"/>
        <v>0</v>
      </c>
      <c r="M216" s="621">
        <v>43538</v>
      </c>
      <c r="N216" s="73"/>
      <c r="O216" s="73"/>
      <c r="P216" s="73"/>
      <c r="Q216" s="642"/>
      <c r="R216" s="642"/>
      <c r="S216" s="928"/>
      <c r="T216" s="928"/>
    </row>
    <row r="217" spans="1:21" ht="15" customHeight="1">
      <c r="A217" s="49">
        <v>199</v>
      </c>
      <c r="B217" s="107">
        <f t="shared" ref="B217" si="890">+B215+$B$19</f>
        <v>100</v>
      </c>
      <c r="C217" s="112" t="s">
        <v>101</v>
      </c>
      <c r="D217" s="113" t="s">
        <v>35</v>
      </c>
      <c r="E217" s="114" t="s">
        <v>206</v>
      </c>
      <c r="F217" s="114">
        <v>15714</v>
      </c>
      <c r="G217" s="119">
        <v>8.6507857139999995</v>
      </c>
      <c r="H217" s="261">
        <f>-11.627</f>
        <v>-11.627000000000001</v>
      </c>
      <c r="I217" s="69">
        <f t="shared" ref="I217" si="891">G217+H217</f>
        <v>-2.9762142860000012</v>
      </c>
      <c r="J217" s="70"/>
      <c r="K217" s="145">
        <f t="shared" si="878"/>
        <v>-2.9762142860000012</v>
      </c>
      <c r="L217" s="147">
        <f t="shared" si="881"/>
        <v>0</v>
      </c>
      <c r="M217" s="622">
        <v>43629</v>
      </c>
      <c r="N217" s="71">
        <f t="shared" ref="N217:O217" si="892">G217+G218</f>
        <v>13.626971427999999</v>
      </c>
      <c r="O217" s="72">
        <f t="shared" si="892"/>
        <v>-11.627000000000001</v>
      </c>
      <c r="P217" s="71">
        <f t="shared" ref="P217" si="893">N217+O217</f>
        <v>1.9999714279999985</v>
      </c>
      <c r="Q217" s="640">
        <f t="shared" ref="Q217" si="894">J217+J218</f>
        <v>0</v>
      </c>
      <c r="R217" s="641">
        <f t="shared" ref="R217" si="895">P217-Q217</f>
        <v>1.9999714279999985</v>
      </c>
      <c r="S217" s="927">
        <f t="shared" ref="S217" si="896">Q217/P217</f>
        <v>0</v>
      </c>
      <c r="T217" s="927">
        <f t="shared" si="887"/>
        <v>0.8532343420130345</v>
      </c>
      <c r="U217" s="573"/>
    </row>
    <row r="218" spans="1:21" ht="15" customHeight="1" thickBot="1">
      <c r="A218" s="49">
        <v>200</v>
      </c>
      <c r="B218" s="107">
        <f t="shared" ref="B218" si="897">+B216+$B$20</f>
        <v>100</v>
      </c>
      <c r="C218" s="132" t="s">
        <v>101</v>
      </c>
      <c r="D218" s="133" t="s">
        <v>95</v>
      </c>
      <c r="E218" s="134" t="s">
        <v>206</v>
      </c>
      <c r="F218" s="134">
        <v>15714</v>
      </c>
      <c r="G218" s="135">
        <v>4.9761857139999996</v>
      </c>
      <c r="H218" s="136"/>
      <c r="I218" s="137">
        <f t="shared" ref="I218" si="898">G218+H218+K217</f>
        <v>1.9999714279999985</v>
      </c>
      <c r="J218" s="138"/>
      <c r="K218" s="146">
        <f t="shared" si="878"/>
        <v>1.9999714279999985</v>
      </c>
      <c r="L218" s="148">
        <f t="shared" si="881"/>
        <v>0</v>
      </c>
      <c r="M218" s="624" t="s">
        <v>30</v>
      </c>
      <c r="N218" s="73"/>
      <c r="O218" s="73"/>
      <c r="P218" s="73"/>
      <c r="Q218" s="642"/>
      <c r="R218" s="642"/>
      <c r="S218" s="928"/>
      <c r="T218" s="928"/>
    </row>
    <row r="219" spans="1:21" ht="15" customHeight="1" thickBot="1">
      <c r="A219" s="49">
        <v>201</v>
      </c>
      <c r="B219" s="107">
        <f t="shared" ref="B219" si="899">+B217+$B$19</f>
        <v>101</v>
      </c>
      <c r="C219" s="112" t="s">
        <v>101</v>
      </c>
      <c r="D219" s="113" t="s">
        <v>35</v>
      </c>
      <c r="E219" s="114" t="s">
        <v>207</v>
      </c>
      <c r="F219" s="114">
        <v>963667</v>
      </c>
      <c r="G219" s="119">
        <v>8.6507857139999995</v>
      </c>
      <c r="H219" s="221">
        <v>-13.627000000000001</v>
      </c>
      <c r="I219" s="69">
        <f t="shared" ref="I219" si="900">G219+H219</f>
        <v>-4.9762142860000012</v>
      </c>
      <c r="J219" s="70"/>
      <c r="K219" s="145">
        <f t="shared" si="878"/>
        <v>-4.9762142860000012</v>
      </c>
      <c r="L219" s="147">
        <f t="shared" si="881"/>
        <v>0</v>
      </c>
      <c r="M219" s="621">
        <v>43538</v>
      </c>
      <c r="N219" s="71">
        <f t="shared" ref="N219:O219" si="901">G219+G220</f>
        <v>13.626971427999999</v>
      </c>
      <c r="O219" s="72">
        <f t="shared" si="901"/>
        <v>-13.627000000000001</v>
      </c>
      <c r="P219" s="71">
        <f t="shared" ref="P219" si="902">N219+O219</f>
        <v>-2.8572000001503284E-5</v>
      </c>
      <c r="Q219" s="640">
        <f t="shared" ref="Q219" si="903">J219+J220</f>
        <v>0</v>
      </c>
      <c r="R219" s="641">
        <f t="shared" ref="R219" si="904">P219-Q219</f>
        <v>-2.8572000001503284E-5</v>
      </c>
      <c r="S219" s="927">
        <f t="shared" ref="S219" si="905">Q219/P219</f>
        <v>0</v>
      </c>
      <c r="T219" s="927">
        <f t="shared" si="887"/>
        <v>1.0000020967241439</v>
      </c>
    </row>
    <row r="220" spans="1:21" ht="15" customHeight="1" thickBot="1">
      <c r="A220" s="49">
        <v>202</v>
      </c>
      <c r="B220" s="107">
        <f t="shared" ref="B220" si="906">+B218+$B$20</f>
        <v>101</v>
      </c>
      <c r="C220" s="132" t="s">
        <v>101</v>
      </c>
      <c r="D220" s="133" t="s">
        <v>95</v>
      </c>
      <c r="E220" s="134" t="s">
        <v>207</v>
      </c>
      <c r="F220" s="134">
        <v>963667</v>
      </c>
      <c r="G220" s="135">
        <v>4.9761857139999996</v>
      </c>
      <c r="H220" s="136"/>
      <c r="I220" s="137">
        <f t="shared" ref="I220" si="907">G220+H220+K219</f>
        <v>-2.8572000001503284E-5</v>
      </c>
      <c r="J220" s="138"/>
      <c r="K220" s="146">
        <f t="shared" si="878"/>
        <v>-2.8572000001503284E-5</v>
      </c>
      <c r="L220" s="148">
        <f t="shared" si="881"/>
        <v>0</v>
      </c>
      <c r="M220" s="621">
        <v>43538</v>
      </c>
      <c r="N220" s="73"/>
      <c r="O220" s="73"/>
      <c r="P220" s="73"/>
      <c r="Q220" s="642"/>
      <c r="R220" s="642"/>
      <c r="S220" s="928"/>
      <c r="T220" s="928"/>
    </row>
    <row r="221" spans="1:21" ht="15" customHeight="1">
      <c r="A221" s="49">
        <v>203</v>
      </c>
      <c r="B221" s="107">
        <f t="shared" ref="B221" si="908">+B219+$B$19</f>
        <v>102</v>
      </c>
      <c r="C221" s="112" t="s">
        <v>101</v>
      </c>
      <c r="D221" s="113" t="s">
        <v>35</v>
      </c>
      <c r="E221" s="114" t="s">
        <v>208</v>
      </c>
      <c r="F221" s="114">
        <v>926661</v>
      </c>
      <c r="G221" s="119">
        <v>8.6507857139999995</v>
      </c>
      <c r="H221" s="221">
        <f>-13.5</f>
        <v>-13.5</v>
      </c>
      <c r="I221" s="69">
        <f t="shared" ref="I221" si="909">G221+H221</f>
        <v>-4.8492142860000005</v>
      </c>
      <c r="J221" s="70"/>
      <c r="K221" s="145">
        <f t="shared" si="878"/>
        <v>-4.8492142860000005</v>
      </c>
      <c r="L221" s="147">
        <f t="shared" si="881"/>
        <v>0</v>
      </c>
      <c r="M221" s="622">
        <v>43629</v>
      </c>
      <c r="N221" s="71">
        <f t="shared" ref="N221:O221" si="910">G221+G222</f>
        <v>13.626971427999999</v>
      </c>
      <c r="O221" s="72">
        <f t="shared" si="910"/>
        <v>-13.5</v>
      </c>
      <c r="P221" s="71">
        <f t="shared" ref="P221" si="911">N221+O221</f>
        <v>0.12697142799999916</v>
      </c>
      <c r="Q221" s="640">
        <f t="shared" ref="Q221" si="912">J221+J222</f>
        <v>0</v>
      </c>
      <c r="R221" s="641">
        <f t="shared" ref="R221" si="913">P221-Q221</f>
        <v>0.12697142799999916</v>
      </c>
      <c r="S221" s="927">
        <f t="shared" ref="S221" si="914">Q221/P221</f>
        <v>0</v>
      </c>
      <c r="T221" s="927">
        <f t="shared" si="887"/>
        <v>0.99068234429998847</v>
      </c>
      <c r="U221" s="573"/>
    </row>
    <row r="222" spans="1:21" ht="15" customHeight="1" thickBot="1">
      <c r="A222" s="49">
        <v>204</v>
      </c>
      <c r="B222" s="107">
        <f t="shared" ref="B222" si="915">+B220+$B$20</f>
        <v>102</v>
      </c>
      <c r="C222" s="132" t="s">
        <v>101</v>
      </c>
      <c r="D222" s="133" t="s">
        <v>95</v>
      </c>
      <c r="E222" s="134" t="s">
        <v>208</v>
      </c>
      <c r="F222" s="134">
        <v>926661</v>
      </c>
      <c r="G222" s="135">
        <v>4.9761857139999996</v>
      </c>
      <c r="H222" s="136"/>
      <c r="I222" s="137">
        <f t="shared" ref="I222" si="916">G222+H222+K221</f>
        <v>0.12697142799999916</v>
      </c>
      <c r="J222" s="138"/>
      <c r="K222" s="146">
        <f t="shared" si="878"/>
        <v>0.12697142799999916</v>
      </c>
      <c r="L222" s="148">
        <f t="shared" si="881"/>
        <v>0</v>
      </c>
      <c r="M222" s="631" t="s">
        <v>30</v>
      </c>
      <c r="N222" s="73"/>
      <c r="O222" s="73"/>
      <c r="P222" s="73"/>
      <c r="Q222" s="642"/>
      <c r="R222" s="642"/>
      <c r="S222" s="928"/>
      <c r="T222" s="928"/>
    </row>
    <row r="223" spans="1:21" ht="15" customHeight="1" thickBot="1">
      <c r="A223" s="49">
        <v>205</v>
      </c>
      <c r="B223" s="107">
        <f t="shared" ref="B223" si="917">+B221+$B$19</f>
        <v>103</v>
      </c>
      <c r="C223" s="112" t="s">
        <v>101</v>
      </c>
      <c r="D223" s="113" t="s">
        <v>35</v>
      </c>
      <c r="E223" s="114" t="s">
        <v>209</v>
      </c>
      <c r="F223" s="114">
        <v>966277</v>
      </c>
      <c r="G223" s="119">
        <v>8.6507857139999995</v>
      </c>
      <c r="H223" s="221">
        <v>-13.627000000000001</v>
      </c>
      <c r="I223" s="69">
        <f t="shared" ref="I223" si="918">G223+H223</f>
        <v>-4.9762142860000012</v>
      </c>
      <c r="J223" s="70"/>
      <c r="K223" s="145">
        <f t="shared" si="878"/>
        <v>-4.9762142860000012</v>
      </c>
      <c r="L223" s="147">
        <f t="shared" si="881"/>
        <v>0</v>
      </c>
      <c r="M223" s="621">
        <v>43538</v>
      </c>
      <c r="N223" s="71">
        <f t="shared" ref="N223:O223" si="919">G223+G224</f>
        <v>13.626971427999999</v>
      </c>
      <c r="O223" s="72">
        <f t="shared" si="919"/>
        <v>-13.627000000000001</v>
      </c>
      <c r="P223" s="71">
        <f t="shared" ref="P223" si="920">N223+O223</f>
        <v>-2.8572000001503284E-5</v>
      </c>
      <c r="Q223" s="640">
        <f t="shared" ref="Q223" si="921">J223+J224</f>
        <v>0</v>
      </c>
      <c r="R223" s="641">
        <f t="shared" ref="R223" si="922">P223-Q223</f>
        <v>-2.8572000001503284E-5</v>
      </c>
      <c r="S223" s="927">
        <f t="shared" ref="S223" si="923">Q223/P223</f>
        <v>0</v>
      </c>
      <c r="T223" s="927">
        <f t="shared" si="887"/>
        <v>1.0000020967241439</v>
      </c>
    </row>
    <row r="224" spans="1:21" ht="15" customHeight="1" thickBot="1">
      <c r="A224" s="49">
        <v>206</v>
      </c>
      <c r="B224" s="107">
        <f t="shared" ref="B224" si="924">+B222+$B$20</f>
        <v>103</v>
      </c>
      <c r="C224" s="132" t="s">
        <v>101</v>
      </c>
      <c r="D224" s="133" t="s">
        <v>95</v>
      </c>
      <c r="E224" s="134" t="s">
        <v>209</v>
      </c>
      <c r="F224" s="134">
        <v>966277</v>
      </c>
      <c r="G224" s="135">
        <v>4.9761857139999996</v>
      </c>
      <c r="H224" s="136"/>
      <c r="I224" s="137">
        <f t="shared" ref="I224" si="925">G224+H224+K223</f>
        <v>-2.8572000001503284E-5</v>
      </c>
      <c r="J224" s="138"/>
      <c r="K224" s="146">
        <f t="shared" si="878"/>
        <v>-2.8572000001503284E-5</v>
      </c>
      <c r="L224" s="148">
        <f t="shared" si="881"/>
        <v>0</v>
      </c>
      <c r="M224" s="621">
        <v>43538</v>
      </c>
      <c r="N224" s="73"/>
      <c r="O224" s="73"/>
      <c r="P224" s="73"/>
      <c r="Q224" s="642"/>
      <c r="R224" s="642"/>
      <c r="S224" s="928"/>
      <c r="T224" s="928"/>
    </row>
    <row r="225" spans="1:21" ht="15" customHeight="1">
      <c r="A225" s="49">
        <v>207</v>
      </c>
      <c r="B225" s="107">
        <f t="shared" ref="B225" si="926">+B223+$B$19</f>
        <v>104</v>
      </c>
      <c r="C225" s="112" t="s">
        <v>101</v>
      </c>
      <c r="D225" s="113" t="s">
        <v>35</v>
      </c>
      <c r="E225" s="499" t="s">
        <v>210</v>
      </c>
      <c r="F225" s="114">
        <v>961111</v>
      </c>
      <c r="G225" s="119">
        <v>8.6507857139999995</v>
      </c>
      <c r="H225" s="500">
        <v>-12.5</v>
      </c>
      <c r="I225" s="69">
        <f t="shared" ref="I225" si="927">G225+H225</f>
        <v>-3.8492142860000005</v>
      </c>
      <c r="J225" s="288">
        <v>0.83</v>
      </c>
      <c r="K225" s="145">
        <f t="shared" si="878"/>
        <v>-4.6792142860000006</v>
      </c>
      <c r="L225" s="147">
        <f t="shared" si="881"/>
        <v>-0.21562842136869276</v>
      </c>
      <c r="M225" s="622">
        <v>43629</v>
      </c>
      <c r="N225" s="71">
        <f t="shared" ref="N225:O225" si="928">G225+G226</f>
        <v>13.626971427999999</v>
      </c>
      <c r="O225" s="72">
        <f t="shared" si="928"/>
        <v>-12.5</v>
      </c>
      <c r="P225" s="71">
        <f t="shared" ref="P225" si="929">N225+O225</f>
        <v>1.1269714279999992</v>
      </c>
      <c r="Q225" s="640">
        <f t="shared" ref="Q225" si="930">J225+J226</f>
        <v>0.83</v>
      </c>
      <c r="R225" s="641">
        <f t="shared" ref="R225" si="931">P225-Q225</f>
        <v>0.2969714279999992</v>
      </c>
      <c r="S225" s="927">
        <f t="shared" ref="S225" si="932">Q225/P225</f>
        <v>0.73648717205987635</v>
      </c>
      <c r="T225" s="927">
        <f>((Q225+O225)/N225)*1</f>
        <v>-0.85638984873932333</v>
      </c>
      <c r="U225" s="573"/>
    </row>
    <row r="226" spans="1:21" ht="15" customHeight="1" thickBot="1">
      <c r="A226" s="49">
        <v>208</v>
      </c>
      <c r="B226" s="107">
        <f t="shared" ref="B226" si="933">+B224+$B$20</f>
        <v>104</v>
      </c>
      <c r="C226" s="132" t="s">
        <v>101</v>
      </c>
      <c r="D226" s="133" t="s">
        <v>95</v>
      </c>
      <c r="E226" s="134" t="s">
        <v>210</v>
      </c>
      <c r="F226" s="134">
        <v>961111</v>
      </c>
      <c r="G226" s="135">
        <v>4.9761857139999996</v>
      </c>
      <c r="H226" s="136"/>
      <c r="I226" s="137">
        <f t="shared" ref="I226" si="934">G226+H226+K225</f>
        <v>0.29697142799999909</v>
      </c>
      <c r="J226" s="138"/>
      <c r="K226" s="146">
        <f t="shared" si="878"/>
        <v>0.29697142799999909</v>
      </c>
      <c r="L226" s="148">
        <f t="shared" si="881"/>
        <v>0</v>
      </c>
      <c r="M226" s="631" t="s">
        <v>30</v>
      </c>
      <c r="N226" s="73"/>
      <c r="O226" s="73"/>
      <c r="P226" s="73"/>
      <c r="Q226" s="642"/>
      <c r="R226" s="642"/>
      <c r="S226" s="928"/>
      <c r="T226" s="928"/>
    </row>
    <row r="227" spans="1:21" ht="15" customHeight="1" thickBot="1">
      <c r="A227" s="49">
        <v>209</v>
      </c>
      <c r="B227" s="107">
        <f t="shared" ref="B227" si="935">+B225+$B$19</f>
        <v>105</v>
      </c>
      <c r="C227" s="112" t="s">
        <v>101</v>
      </c>
      <c r="D227" s="113" t="s">
        <v>35</v>
      </c>
      <c r="E227" s="114" t="s">
        <v>211</v>
      </c>
      <c r="F227" s="114">
        <v>964393</v>
      </c>
      <c r="G227" s="119">
        <v>8.6507857139999995</v>
      </c>
      <c r="H227" s="221">
        <v>-13.627000000000001</v>
      </c>
      <c r="I227" s="69">
        <f t="shared" ref="I227" si="936">G227+H227</f>
        <v>-4.9762142860000012</v>
      </c>
      <c r="J227" s="70"/>
      <c r="K227" s="145">
        <f t="shared" si="878"/>
        <v>-4.9762142860000012</v>
      </c>
      <c r="L227" s="147">
        <f t="shared" si="881"/>
        <v>0</v>
      </c>
      <c r="M227" s="621">
        <v>43538</v>
      </c>
      <c r="N227" s="71">
        <f t="shared" ref="N227:O227" si="937">G227+G228</f>
        <v>13.626971427999999</v>
      </c>
      <c r="O227" s="72">
        <f t="shared" si="937"/>
        <v>-13.627000000000001</v>
      </c>
      <c r="P227" s="71">
        <f t="shared" ref="P227" si="938">N227+O227</f>
        <v>-2.8572000001503284E-5</v>
      </c>
      <c r="Q227" s="640">
        <f t="shared" ref="Q227" si="939">J227+J228</f>
        <v>0</v>
      </c>
      <c r="R227" s="641">
        <f t="shared" ref="R227" si="940">P227-Q227</f>
        <v>-2.8572000001503284E-5</v>
      </c>
      <c r="S227" s="927">
        <f t="shared" ref="S227" si="941">Q227/P227</f>
        <v>0</v>
      </c>
      <c r="T227" s="927">
        <f t="shared" si="887"/>
        <v>1.0000020967241439</v>
      </c>
    </row>
    <row r="228" spans="1:21" ht="15" customHeight="1" thickBot="1">
      <c r="A228" s="49">
        <v>210</v>
      </c>
      <c r="B228" s="107">
        <f t="shared" ref="B228" si="942">+B226+$B$20</f>
        <v>105</v>
      </c>
      <c r="C228" s="132" t="s">
        <v>101</v>
      </c>
      <c r="D228" s="133" t="s">
        <v>95</v>
      </c>
      <c r="E228" s="134" t="s">
        <v>211</v>
      </c>
      <c r="F228" s="134">
        <v>964393</v>
      </c>
      <c r="G228" s="135">
        <v>4.9761857139999996</v>
      </c>
      <c r="H228" s="136"/>
      <c r="I228" s="137">
        <f t="shared" ref="I228" si="943">G228+H228+K227</f>
        <v>-2.8572000001503284E-5</v>
      </c>
      <c r="J228" s="138"/>
      <c r="K228" s="146">
        <f t="shared" si="878"/>
        <v>-2.8572000001503284E-5</v>
      </c>
      <c r="L228" s="148">
        <f t="shared" si="881"/>
        <v>0</v>
      </c>
      <c r="M228" s="621">
        <v>43538</v>
      </c>
      <c r="N228" s="73"/>
      <c r="O228" s="73"/>
      <c r="P228" s="73"/>
      <c r="Q228" s="642"/>
      <c r="R228" s="642"/>
      <c r="S228" s="928"/>
      <c r="T228" s="928"/>
    </row>
    <row r="229" spans="1:21" ht="15" customHeight="1" thickBot="1">
      <c r="A229" s="49">
        <v>211</v>
      </c>
      <c r="B229" s="107">
        <f t="shared" ref="B229" si="944">+B227+$B$19</f>
        <v>106</v>
      </c>
      <c r="C229" s="112" t="s">
        <v>101</v>
      </c>
      <c r="D229" s="113" t="s">
        <v>35</v>
      </c>
      <c r="E229" s="114" t="s">
        <v>212</v>
      </c>
      <c r="F229" s="114">
        <v>965956</v>
      </c>
      <c r="G229" s="119">
        <v>8.6507857139999995</v>
      </c>
      <c r="H229" s="225">
        <f>-13.627</f>
        <v>-13.627000000000001</v>
      </c>
      <c r="I229" s="69">
        <f t="shared" ref="I229" si="945">G229+H229</f>
        <v>-4.9762142860000012</v>
      </c>
      <c r="J229" s="70"/>
      <c r="K229" s="145">
        <f t="shared" si="878"/>
        <v>-4.9762142860000012</v>
      </c>
      <c r="L229" s="147">
        <f t="shared" si="881"/>
        <v>0</v>
      </c>
      <c r="M229" s="629">
        <v>43538</v>
      </c>
      <c r="N229" s="71">
        <f t="shared" ref="N229:O229" si="946">G229+G230</f>
        <v>13.626971427999999</v>
      </c>
      <c r="O229" s="72">
        <f t="shared" si="946"/>
        <v>-13.627000000000001</v>
      </c>
      <c r="P229" s="71">
        <f t="shared" ref="P229" si="947">N229+O229</f>
        <v>-2.8572000001503284E-5</v>
      </c>
      <c r="Q229" s="640">
        <f t="shared" ref="Q229" si="948">J229+J230</f>
        <v>0</v>
      </c>
      <c r="R229" s="641">
        <f t="shared" ref="R229" si="949">P229-Q229</f>
        <v>-2.8572000001503284E-5</v>
      </c>
      <c r="S229" s="927">
        <f t="shared" ref="S229" si="950">Q229/P229</f>
        <v>0</v>
      </c>
      <c r="T229" s="927">
        <f t="shared" si="887"/>
        <v>1.0000020967241439</v>
      </c>
    </row>
    <row r="230" spans="1:21" ht="15" customHeight="1" thickBot="1">
      <c r="A230" s="49">
        <v>212</v>
      </c>
      <c r="B230" s="107">
        <f t="shared" ref="B230" si="951">+B228+$B$20</f>
        <v>106</v>
      </c>
      <c r="C230" s="132" t="s">
        <v>101</v>
      </c>
      <c r="D230" s="133" t="s">
        <v>95</v>
      </c>
      <c r="E230" s="134" t="s">
        <v>212</v>
      </c>
      <c r="F230" s="134">
        <v>965956</v>
      </c>
      <c r="G230" s="135">
        <v>4.9761857139999996</v>
      </c>
      <c r="H230" s="136"/>
      <c r="I230" s="137">
        <f t="shared" ref="I230" si="952">G230+H230+K229</f>
        <v>-2.8572000001503284E-5</v>
      </c>
      <c r="J230" s="138"/>
      <c r="K230" s="146">
        <f t="shared" si="878"/>
        <v>-2.8572000001503284E-5</v>
      </c>
      <c r="L230" s="148">
        <f t="shared" si="881"/>
        <v>0</v>
      </c>
      <c r="M230" s="629">
        <v>43538</v>
      </c>
      <c r="N230" s="73"/>
      <c r="O230" s="73"/>
      <c r="P230" s="73"/>
      <c r="Q230" s="642"/>
      <c r="R230" s="642"/>
      <c r="S230" s="928"/>
      <c r="T230" s="928"/>
    </row>
    <row r="231" spans="1:21" ht="15" customHeight="1">
      <c r="A231" s="49">
        <v>213</v>
      </c>
      <c r="B231" s="107">
        <f t="shared" ref="B231" si="953">+B229+$B$19</f>
        <v>107</v>
      </c>
      <c r="C231" s="112" t="s">
        <v>101</v>
      </c>
      <c r="D231" s="113" t="s">
        <v>35</v>
      </c>
      <c r="E231" s="114" t="s">
        <v>213</v>
      </c>
      <c r="F231" s="114">
        <v>924069</v>
      </c>
      <c r="G231" s="119">
        <v>8.6507857139999995</v>
      </c>
      <c r="H231" s="261">
        <f>-13.377</f>
        <v>-13.377000000000001</v>
      </c>
      <c r="I231" s="69">
        <f t="shared" ref="I231" si="954">G231+H231</f>
        <v>-4.7262142860000012</v>
      </c>
      <c r="J231" s="70"/>
      <c r="K231" s="145">
        <f t="shared" si="878"/>
        <v>-4.7262142860000012</v>
      </c>
      <c r="L231" s="147">
        <f t="shared" si="881"/>
        <v>0</v>
      </c>
      <c r="M231" s="622">
        <v>43629</v>
      </c>
      <c r="N231" s="71">
        <f t="shared" ref="N231:O231" si="955">G231+G232</f>
        <v>13.626971427999999</v>
      </c>
      <c r="O231" s="72">
        <f t="shared" si="955"/>
        <v>-13.377000000000001</v>
      </c>
      <c r="P231" s="71">
        <f t="shared" ref="P231" si="956">N231+O231</f>
        <v>0.2499714279999985</v>
      </c>
      <c r="Q231" s="640">
        <f t="shared" ref="Q231" si="957">J231+J232</f>
        <v>0</v>
      </c>
      <c r="R231" s="641">
        <f t="shared" ref="R231" si="958">P231-Q231</f>
        <v>0.2499714279999985</v>
      </c>
      <c r="S231" s="927">
        <f t="shared" ref="S231" si="959">Q231/P231</f>
        <v>0</v>
      </c>
      <c r="T231" s="927">
        <f t="shared" si="887"/>
        <v>0.98165612738525521</v>
      </c>
      <c r="U231" s="573"/>
    </row>
    <row r="232" spans="1:21" ht="15" customHeight="1" thickBot="1">
      <c r="A232" s="49">
        <v>214</v>
      </c>
      <c r="B232" s="107">
        <f t="shared" ref="B232" si="960">+B230+$B$20</f>
        <v>107</v>
      </c>
      <c r="C232" s="132" t="s">
        <v>101</v>
      </c>
      <c r="D232" s="133" t="s">
        <v>95</v>
      </c>
      <c r="E232" s="134" t="s">
        <v>213</v>
      </c>
      <c r="F232" s="134">
        <v>924069</v>
      </c>
      <c r="G232" s="135">
        <v>4.9761857139999996</v>
      </c>
      <c r="H232" s="136"/>
      <c r="I232" s="137">
        <f t="shared" ref="I232" si="961">G232+H232+K231</f>
        <v>0.2499714279999985</v>
      </c>
      <c r="J232" s="138"/>
      <c r="K232" s="146">
        <f t="shared" si="878"/>
        <v>0.2499714279999985</v>
      </c>
      <c r="L232" s="148">
        <f t="shared" si="881"/>
        <v>0</v>
      </c>
      <c r="M232" s="631" t="s">
        <v>30</v>
      </c>
      <c r="N232" s="73"/>
      <c r="O232" s="73"/>
      <c r="P232" s="73"/>
      <c r="Q232" s="642"/>
      <c r="R232" s="642"/>
      <c r="S232" s="928"/>
      <c r="T232" s="928"/>
    </row>
    <row r="233" spans="1:21" ht="15" customHeight="1" thickBot="1">
      <c r="A233" s="49">
        <v>215</v>
      </c>
      <c r="B233" s="107">
        <f t="shared" ref="B233" si="962">+B231+$B$19</f>
        <v>108</v>
      </c>
      <c r="C233" s="112" t="s">
        <v>101</v>
      </c>
      <c r="D233" s="113" t="s">
        <v>35</v>
      </c>
      <c r="E233" s="114" t="s">
        <v>214</v>
      </c>
      <c r="F233" s="114">
        <v>961509</v>
      </c>
      <c r="G233" s="119">
        <v>8.6507857139999995</v>
      </c>
      <c r="H233" s="261">
        <f>-13.627</f>
        <v>-13.627000000000001</v>
      </c>
      <c r="I233" s="69">
        <f t="shared" ref="I233" si="963">G233+H233</f>
        <v>-4.9762142860000012</v>
      </c>
      <c r="J233" s="70"/>
      <c r="K233" s="145">
        <f t="shared" si="878"/>
        <v>-4.9762142860000012</v>
      </c>
      <c r="L233" s="147">
        <f t="shared" si="881"/>
        <v>0</v>
      </c>
      <c r="M233" s="629">
        <v>43538</v>
      </c>
      <c r="N233" s="71">
        <f t="shared" ref="N233:O233" si="964">G233+G234</f>
        <v>13.626971427999999</v>
      </c>
      <c r="O233" s="72">
        <f t="shared" si="964"/>
        <v>-13.627000000000001</v>
      </c>
      <c r="P233" s="71">
        <f t="shared" ref="P233" si="965">N233+O233</f>
        <v>-2.8572000001503284E-5</v>
      </c>
      <c r="Q233" s="640">
        <f t="shared" ref="Q233" si="966">J233+J234</f>
        <v>0</v>
      </c>
      <c r="R233" s="641">
        <f t="shared" ref="R233" si="967">P233-Q233</f>
        <v>-2.8572000001503284E-5</v>
      </c>
      <c r="S233" s="927">
        <f t="shared" ref="S233" si="968">Q233/P233</f>
        <v>0</v>
      </c>
      <c r="T233" s="927">
        <f t="shared" si="887"/>
        <v>1.0000020967241439</v>
      </c>
    </row>
    <row r="234" spans="1:21" ht="15" customHeight="1" thickBot="1">
      <c r="A234" s="49">
        <v>216</v>
      </c>
      <c r="B234" s="107">
        <f t="shared" ref="B234" si="969">+B232+$B$20</f>
        <v>108</v>
      </c>
      <c r="C234" s="132" t="s">
        <v>101</v>
      </c>
      <c r="D234" s="133" t="s">
        <v>95</v>
      </c>
      <c r="E234" s="134" t="s">
        <v>214</v>
      </c>
      <c r="F234" s="134">
        <v>961509</v>
      </c>
      <c r="G234" s="135">
        <v>4.9761857139999996</v>
      </c>
      <c r="H234" s="136"/>
      <c r="I234" s="137">
        <f t="shared" ref="I234" si="970">G234+H234+K233</f>
        <v>-2.8572000001503284E-5</v>
      </c>
      <c r="J234" s="138"/>
      <c r="K234" s="146">
        <f t="shared" si="878"/>
        <v>-2.8572000001503284E-5</v>
      </c>
      <c r="L234" s="148">
        <f t="shared" si="881"/>
        <v>0</v>
      </c>
      <c r="M234" s="629">
        <v>43538</v>
      </c>
      <c r="N234" s="73"/>
      <c r="O234" s="73"/>
      <c r="P234" s="73"/>
      <c r="Q234" s="642"/>
      <c r="R234" s="642"/>
      <c r="S234" s="928"/>
      <c r="T234" s="928"/>
    </row>
    <row r="235" spans="1:21" ht="15" customHeight="1" thickBot="1">
      <c r="A235" s="49">
        <v>217</v>
      </c>
      <c r="B235" s="107">
        <f t="shared" ref="B235" si="971">+B233+$B$19</f>
        <v>109</v>
      </c>
      <c r="C235" s="112" t="s">
        <v>101</v>
      </c>
      <c r="D235" s="113" t="s">
        <v>35</v>
      </c>
      <c r="E235" s="114" t="s">
        <v>215</v>
      </c>
      <c r="F235" s="114">
        <v>965507</v>
      </c>
      <c r="G235" s="119">
        <v>8.6507857139999995</v>
      </c>
      <c r="H235" s="261">
        <f>-13.627</f>
        <v>-13.627000000000001</v>
      </c>
      <c r="I235" s="69">
        <f t="shared" ref="I235" si="972">G235+H235</f>
        <v>-4.9762142860000012</v>
      </c>
      <c r="J235" s="70"/>
      <c r="K235" s="145">
        <f t="shared" si="878"/>
        <v>-4.9762142860000012</v>
      </c>
      <c r="L235" s="147">
        <f t="shared" si="881"/>
        <v>0</v>
      </c>
      <c r="M235" s="629">
        <v>43538</v>
      </c>
      <c r="N235" s="71">
        <f t="shared" ref="N235:O235" si="973">G235+G236</f>
        <v>13.626971427999999</v>
      </c>
      <c r="O235" s="72">
        <f t="shared" si="973"/>
        <v>-13.627000000000001</v>
      </c>
      <c r="P235" s="71">
        <f t="shared" ref="P235" si="974">N235+O235</f>
        <v>-2.8572000001503284E-5</v>
      </c>
      <c r="Q235" s="640">
        <f t="shared" ref="Q235" si="975">J235+J236</f>
        <v>0</v>
      </c>
      <c r="R235" s="641">
        <f t="shared" ref="R235" si="976">P235-Q235</f>
        <v>-2.8572000001503284E-5</v>
      </c>
      <c r="S235" s="927">
        <f t="shared" ref="S235" si="977">Q235/P235</f>
        <v>0</v>
      </c>
      <c r="T235" s="927">
        <f t="shared" si="887"/>
        <v>1.0000020967241439</v>
      </c>
    </row>
    <row r="236" spans="1:21" ht="15" customHeight="1" thickBot="1">
      <c r="A236" s="49">
        <v>218</v>
      </c>
      <c r="B236" s="107">
        <f t="shared" ref="B236" si="978">+B234+$B$20</f>
        <v>109</v>
      </c>
      <c r="C236" s="132" t="s">
        <v>101</v>
      </c>
      <c r="D236" s="133" t="s">
        <v>95</v>
      </c>
      <c r="E236" s="134" t="s">
        <v>215</v>
      </c>
      <c r="F236" s="134">
        <v>965507</v>
      </c>
      <c r="G236" s="135">
        <v>4.9761857139999996</v>
      </c>
      <c r="H236" s="136"/>
      <c r="I236" s="137">
        <f t="shared" ref="I236" si="979">G236+H236+K235</f>
        <v>-2.8572000001503284E-5</v>
      </c>
      <c r="J236" s="138"/>
      <c r="K236" s="146">
        <f t="shared" si="878"/>
        <v>-2.8572000001503284E-5</v>
      </c>
      <c r="L236" s="148">
        <f t="shared" si="881"/>
        <v>0</v>
      </c>
      <c r="M236" s="629">
        <v>43538</v>
      </c>
      <c r="N236" s="73"/>
      <c r="O236" s="73"/>
      <c r="P236" s="73"/>
      <c r="Q236" s="642"/>
      <c r="R236" s="642"/>
      <c r="S236" s="928"/>
      <c r="T236" s="928"/>
    </row>
    <row r="237" spans="1:21" ht="15" customHeight="1" thickBot="1">
      <c r="A237" s="49">
        <v>219</v>
      </c>
      <c r="B237" s="107">
        <f t="shared" ref="B237" si="980">+B235+$B$19</f>
        <v>110</v>
      </c>
      <c r="C237" s="112" t="s">
        <v>101</v>
      </c>
      <c r="D237" s="113" t="s">
        <v>35</v>
      </c>
      <c r="E237" s="114" t="s">
        <v>216</v>
      </c>
      <c r="F237" s="114">
        <v>965508</v>
      </c>
      <c r="G237" s="119">
        <v>8.6507857139999995</v>
      </c>
      <c r="H237" s="261">
        <f>-13.627</f>
        <v>-13.627000000000001</v>
      </c>
      <c r="I237" s="69">
        <f t="shared" ref="I237" si="981">G237+H237</f>
        <v>-4.9762142860000012</v>
      </c>
      <c r="J237" s="70"/>
      <c r="K237" s="145">
        <f t="shared" si="878"/>
        <v>-4.9762142860000012</v>
      </c>
      <c r="L237" s="147">
        <f t="shared" si="881"/>
        <v>0</v>
      </c>
      <c r="M237" s="629">
        <v>43538</v>
      </c>
      <c r="N237" s="71">
        <f t="shared" ref="N237:O237" si="982">G237+G238</f>
        <v>13.626971427999999</v>
      </c>
      <c r="O237" s="72">
        <f t="shared" si="982"/>
        <v>-13.627000000000001</v>
      </c>
      <c r="P237" s="71">
        <f t="shared" ref="P237" si="983">N237+O237</f>
        <v>-2.8572000001503284E-5</v>
      </c>
      <c r="Q237" s="640">
        <f t="shared" ref="Q237" si="984">J237+J238</f>
        <v>0</v>
      </c>
      <c r="R237" s="641">
        <f t="shared" ref="R237" si="985">P237-Q237</f>
        <v>-2.8572000001503284E-5</v>
      </c>
      <c r="S237" s="927">
        <f t="shared" ref="S237" si="986">Q237/P237</f>
        <v>0</v>
      </c>
      <c r="T237" s="927">
        <f t="shared" si="887"/>
        <v>1.0000020967241439</v>
      </c>
    </row>
    <row r="238" spans="1:21" ht="15" customHeight="1" thickBot="1">
      <c r="A238" s="49">
        <v>220</v>
      </c>
      <c r="B238" s="107">
        <f t="shared" ref="B238" si="987">+B236+$B$20</f>
        <v>110</v>
      </c>
      <c r="C238" s="132" t="s">
        <v>101</v>
      </c>
      <c r="D238" s="133" t="s">
        <v>95</v>
      </c>
      <c r="E238" s="134" t="s">
        <v>216</v>
      </c>
      <c r="F238" s="134">
        <v>965508</v>
      </c>
      <c r="G238" s="135">
        <v>4.9761857139999996</v>
      </c>
      <c r="H238" s="136"/>
      <c r="I238" s="137">
        <f t="shared" ref="I238" si="988">G238+H238+K237</f>
        <v>-2.8572000001503284E-5</v>
      </c>
      <c r="J238" s="138"/>
      <c r="K238" s="146">
        <f t="shared" si="878"/>
        <v>-2.8572000001503284E-5</v>
      </c>
      <c r="L238" s="148">
        <f t="shared" si="881"/>
        <v>0</v>
      </c>
      <c r="M238" s="629">
        <v>43538</v>
      </c>
      <c r="N238" s="73"/>
      <c r="O238" s="73"/>
      <c r="P238" s="73"/>
      <c r="Q238" s="642"/>
      <c r="R238" s="642"/>
      <c r="S238" s="928"/>
      <c r="T238" s="928"/>
    </row>
    <row r="239" spans="1:21" ht="15" customHeight="1" thickBot="1">
      <c r="A239" s="49">
        <v>221</v>
      </c>
      <c r="B239" s="107">
        <f t="shared" ref="B239" si="989">+B237+$B$19</f>
        <v>111</v>
      </c>
      <c r="C239" s="112" t="s">
        <v>101</v>
      </c>
      <c r="D239" s="113" t="s">
        <v>35</v>
      </c>
      <c r="E239" s="114" t="s">
        <v>217</v>
      </c>
      <c r="F239" s="114">
        <v>922445</v>
      </c>
      <c r="G239" s="119">
        <v>8.6507857139999995</v>
      </c>
      <c r="H239" s="261">
        <f>-13.627</f>
        <v>-13.627000000000001</v>
      </c>
      <c r="I239" s="69">
        <f t="shared" ref="I239" si="990">G239+H239</f>
        <v>-4.9762142860000012</v>
      </c>
      <c r="J239" s="70"/>
      <c r="K239" s="145">
        <f t="shared" si="878"/>
        <v>-4.9762142860000012</v>
      </c>
      <c r="L239" s="147">
        <f t="shared" si="881"/>
        <v>0</v>
      </c>
      <c r="M239" s="629">
        <v>43538</v>
      </c>
      <c r="N239" s="71">
        <f t="shared" ref="N239:O239" si="991">G239+G240</f>
        <v>13.626971427999999</v>
      </c>
      <c r="O239" s="72">
        <f t="shared" si="991"/>
        <v>-13.627000000000001</v>
      </c>
      <c r="P239" s="71">
        <f t="shared" ref="P239" si="992">N239+O239</f>
        <v>-2.8572000001503284E-5</v>
      </c>
      <c r="Q239" s="640">
        <f t="shared" ref="Q239" si="993">J239+J240</f>
        <v>0</v>
      </c>
      <c r="R239" s="641">
        <f t="shared" ref="R239" si="994">P239-Q239</f>
        <v>-2.8572000001503284E-5</v>
      </c>
      <c r="S239" s="927">
        <f t="shared" ref="S239" si="995">Q239/P239</f>
        <v>0</v>
      </c>
      <c r="T239" s="927">
        <f t="shared" si="887"/>
        <v>1.0000020967241439</v>
      </c>
    </row>
    <row r="240" spans="1:21" ht="15" customHeight="1" thickBot="1">
      <c r="A240" s="49">
        <v>222</v>
      </c>
      <c r="B240" s="107">
        <f t="shared" ref="B240" si="996">+B238+$B$20</f>
        <v>111</v>
      </c>
      <c r="C240" s="132" t="s">
        <v>101</v>
      </c>
      <c r="D240" s="133" t="s">
        <v>95</v>
      </c>
      <c r="E240" s="134" t="s">
        <v>217</v>
      </c>
      <c r="F240" s="134">
        <v>922445</v>
      </c>
      <c r="G240" s="135">
        <v>4.9761857139999996</v>
      </c>
      <c r="H240" s="136"/>
      <c r="I240" s="137">
        <f t="shared" ref="I240" si="997">G240+H240+K239</f>
        <v>-2.8572000001503284E-5</v>
      </c>
      <c r="J240" s="138"/>
      <c r="K240" s="146">
        <f t="shared" si="878"/>
        <v>-2.8572000001503284E-5</v>
      </c>
      <c r="L240" s="148">
        <f t="shared" si="881"/>
        <v>0</v>
      </c>
      <c r="M240" s="629">
        <v>43538</v>
      </c>
      <c r="N240" s="73"/>
      <c r="O240" s="73"/>
      <c r="P240" s="73"/>
      <c r="Q240" s="642"/>
      <c r="R240" s="642"/>
      <c r="S240" s="928"/>
      <c r="T240" s="928"/>
    </row>
    <row r="241" spans="1:21" ht="15" customHeight="1">
      <c r="A241" s="49">
        <v>223</v>
      </c>
      <c r="B241" s="107">
        <f t="shared" ref="B241" si="998">+B239+$B$19</f>
        <v>112</v>
      </c>
      <c r="C241" s="112" t="s">
        <v>101</v>
      </c>
      <c r="D241" s="113" t="s">
        <v>35</v>
      </c>
      <c r="E241" s="114" t="s">
        <v>218</v>
      </c>
      <c r="F241" s="114">
        <v>967340</v>
      </c>
      <c r="G241" s="119">
        <v>8.6507857139999995</v>
      </c>
      <c r="H241" s="261">
        <f>-13.377</f>
        <v>-13.377000000000001</v>
      </c>
      <c r="I241" s="69">
        <f t="shared" ref="I241" si="999">G241+H241</f>
        <v>-4.7262142860000012</v>
      </c>
      <c r="J241" s="288">
        <v>4.4400000000000002E-2</v>
      </c>
      <c r="K241" s="145">
        <f t="shared" si="878"/>
        <v>-4.7706142860000016</v>
      </c>
      <c r="L241" s="147">
        <f t="shared" si="881"/>
        <v>-9.394411110711114E-3</v>
      </c>
      <c r="M241" s="622">
        <v>43629</v>
      </c>
      <c r="N241" s="71">
        <f t="shared" ref="N241:O241" si="1000">G241+G242</f>
        <v>13.626971427999999</v>
      </c>
      <c r="O241" s="72">
        <f t="shared" si="1000"/>
        <v>-13.377000000000001</v>
      </c>
      <c r="P241" s="71">
        <f t="shared" ref="P241" si="1001">N241+O241</f>
        <v>0.2499714279999985</v>
      </c>
      <c r="Q241" s="640">
        <f t="shared" ref="Q241" si="1002">J241+J242</f>
        <v>4.4400000000000002E-2</v>
      </c>
      <c r="R241" s="641">
        <f t="shared" ref="R241" si="1003">P241-Q241</f>
        <v>0.2055714279999985</v>
      </c>
      <c r="S241" s="927">
        <f t="shared" ref="S241" si="1004">Q241/P241</f>
        <v>0.17762029986883249</v>
      </c>
      <c r="T241" s="927">
        <f t="shared" si="887"/>
        <v>0.97839788323066867</v>
      </c>
      <c r="U241" s="573"/>
    </row>
    <row r="242" spans="1:21" ht="15" customHeight="1" thickBot="1">
      <c r="A242" s="49">
        <v>224</v>
      </c>
      <c r="B242" s="107">
        <f t="shared" ref="B242" si="1005">+B240+$B$20</f>
        <v>112</v>
      </c>
      <c r="C242" s="132" t="s">
        <v>101</v>
      </c>
      <c r="D242" s="133" t="s">
        <v>95</v>
      </c>
      <c r="E242" s="134" t="s">
        <v>218</v>
      </c>
      <c r="F242" s="134">
        <v>967340</v>
      </c>
      <c r="G242" s="135">
        <v>4.9761857139999996</v>
      </c>
      <c r="H242" s="136"/>
      <c r="I242" s="137">
        <f t="shared" ref="I242" si="1006">G242+H242+K241</f>
        <v>0.20557142799999806</v>
      </c>
      <c r="J242" s="138"/>
      <c r="K242" s="146">
        <f t="shared" si="878"/>
        <v>0.20557142799999806</v>
      </c>
      <c r="L242" s="148">
        <f t="shared" si="881"/>
        <v>0</v>
      </c>
      <c r="M242" s="631" t="s">
        <v>30</v>
      </c>
      <c r="N242" s="73"/>
      <c r="O242" s="73"/>
      <c r="P242" s="73"/>
      <c r="Q242" s="642"/>
      <c r="R242" s="642"/>
      <c r="S242" s="928"/>
      <c r="T242" s="928"/>
    </row>
    <row r="243" spans="1:21" ht="15" customHeight="1">
      <c r="A243" s="49">
        <v>225</v>
      </c>
      <c r="B243" s="107">
        <f t="shared" ref="B243" si="1007">+B241+$B$19</f>
        <v>113</v>
      </c>
      <c r="C243" s="112" t="s">
        <v>101</v>
      </c>
      <c r="D243" s="113" t="s">
        <v>35</v>
      </c>
      <c r="E243" s="114" t="s">
        <v>219</v>
      </c>
      <c r="F243" s="114">
        <v>903694</v>
      </c>
      <c r="G243" s="119">
        <v>8.6507857139999995</v>
      </c>
      <c r="H243" s="261">
        <f>-13.5</f>
        <v>-13.5</v>
      </c>
      <c r="I243" s="69">
        <f t="shared" ref="I243" si="1008">G243+H243</f>
        <v>-4.8492142860000005</v>
      </c>
      <c r="J243" s="70"/>
      <c r="K243" s="145">
        <f t="shared" si="878"/>
        <v>-4.8492142860000005</v>
      </c>
      <c r="L243" s="147">
        <f t="shared" si="881"/>
        <v>0</v>
      </c>
      <c r="M243" s="622">
        <v>43629</v>
      </c>
      <c r="N243" s="71">
        <f t="shared" ref="N243:O243" si="1009">G243+G244</f>
        <v>13.626971427999999</v>
      </c>
      <c r="O243" s="72">
        <f t="shared" si="1009"/>
        <v>-13.5</v>
      </c>
      <c r="P243" s="71">
        <f t="shared" ref="P243" si="1010">N243+O243</f>
        <v>0.12697142799999916</v>
      </c>
      <c r="Q243" s="640">
        <f t="shared" ref="Q243" si="1011">J243+J244</f>
        <v>0</v>
      </c>
      <c r="R243" s="641">
        <f t="shared" ref="R243" si="1012">P243-Q243</f>
        <v>0.12697142799999916</v>
      </c>
      <c r="S243" s="927">
        <f t="shared" ref="S243" si="1013">Q243/P243</f>
        <v>0</v>
      </c>
      <c r="T243" s="927">
        <f t="shared" si="887"/>
        <v>0.99068234429998847</v>
      </c>
      <c r="U243" s="573"/>
    </row>
    <row r="244" spans="1:21" ht="15" customHeight="1" thickBot="1">
      <c r="A244" s="49">
        <v>226</v>
      </c>
      <c r="B244" s="107">
        <f t="shared" ref="B244" si="1014">+B242+$B$20</f>
        <v>113</v>
      </c>
      <c r="C244" s="132" t="s">
        <v>101</v>
      </c>
      <c r="D244" s="133" t="s">
        <v>95</v>
      </c>
      <c r="E244" s="134" t="s">
        <v>219</v>
      </c>
      <c r="F244" s="134">
        <v>903694</v>
      </c>
      <c r="G244" s="135">
        <v>4.9761857139999996</v>
      </c>
      <c r="H244" s="136"/>
      <c r="I244" s="137">
        <f t="shared" ref="I244" si="1015">G244+H244+K243</f>
        <v>0.12697142799999916</v>
      </c>
      <c r="J244" s="138"/>
      <c r="K244" s="146">
        <f t="shared" si="878"/>
        <v>0.12697142799999916</v>
      </c>
      <c r="L244" s="148">
        <f t="shared" si="881"/>
        <v>0</v>
      </c>
      <c r="M244" s="631" t="s">
        <v>30</v>
      </c>
      <c r="N244" s="73"/>
      <c r="O244" s="73"/>
      <c r="P244" s="73"/>
      <c r="Q244" s="642"/>
      <c r="R244" s="642"/>
      <c r="S244" s="928"/>
      <c r="T244" s="928"/>
    </row>
    <row r="245" spans="1:21" ht="15" customHeight="1" thickBot="1">
      <c r="A245" s="49">
        <v>227</v>
      </c>
      <c r="B245" s="107">
        <f t="shared" ref="B245" si="1016">+B243+$B$19</f>
        <v>114</v>
      </c>
      <c r="C245" s="112" t="s">
        <v>101</v>
      </c>
      <c r="D245" s="113" t="s">
        <v>35</v>
      </c>
      <c r="E245" s="114" t="s">
        <v>220</v>
      </c>
      <c r="F245" s="114">
        <v>926653</v>
      </c>
      <c r="G245" s="119">
        <v>8.6507857139999995</v>
      </c>
      <c r="H245" s="221">
        <v>-13.627000000000001</v>
      </c>
      <c r="I245" s="69">
        <f t="shared" ref="I245" si="1017">G245+H245</f>
        <v>-4.9762142860000012</v>
      </c>
      <c r="J245" s="70"/>
      <c r="K245" s="145">
        <f t="shared" si="878"/>
        <v>-4.9762142860000012</v>
      </c>
      <c r="L245" s="147">
        <f t="shared" si="881"/>
        <v>0</v>
      </c>
      <c r="M245" s="621">
        <v>43538</v>
      </c>
      <c r="N245" s="71">
        <f t="shared" ref="N245:O245" si="1018">G245+G246</f>
        <v>13.626971427999999</v>
      </c>
      <c r="O245" s="72">
        <f t="shared" si="1018"/>
        <v>-13.627000000000001</v>
      </c>
      <c r="P245" s="71">
        <f t="shared" ref="P245" si="1019">N245+O245</f>
        <v>-2.8572000001503284E-5</v>
      </c>
      <c r="Q245" s="640">
        <f t="shared" ref="Q245" si="1020">J245+J246</f>
        <v>0</v>
      </c>
      <c r="R245" s="641">
        <f t="shared" ref="R245" si="1021">P245-Q245</f>
        <v>-2.8572000001503284E-5</v>
      </c>
      <c r="S245" s="927">
        <f t="shared" ref="S245" si="1022">Q245/P245</f>
        <v>0</v>
      </c>
      <c r="T245" s="927">
        <f t="shared" si="887"/>
        <v>1.0000020967241439</v>
      </c>
    </row>
    <row r="246" spans="1:21" ht="15" customHeight="1" thickBot="1">
      <c r="A246" s="49">
        <v>228</v>
      </c>
      <c r="B246" s="107">
        <f t="shared" ref="B246" si="1023">+B244+$B$20</f>
        <v>114</v>
      </c>
      <c r="C246" s="132" t="s">
        <v>101</v>
      </c>
      <c r="D246" s="133" t="s">
        <v>95</v>
      </c>
      <c r="E246" s="134" t="s">
        <v>220</v>
      </c>
      <c r="F246" s="134">
        <v>926653</v>
      </c>
      <c r="G246" s="135">
        <v>4.9761857139999996</v>
      </c>
      <c r="H246" s="136"/>
      <c r="I246" s="137">
        <f t="shared" ref="I246" si="1024">G246+H246+K245</f>
        <v>-2.8572000001503284E-5</v>
      </c>
      <c r="J246" s="138"/>
      <c r="K246" s="146">
        <f t="shared" si="878"/>
        <v>-2.8572000001503284E-5</v>
      </c>
      <c r="L246" s="148">
        <f t="shared" si="881"/>
        <v>0</v>
      </c>
      <c r="M246" s="621">
        <v>43538</v>
      </c>
      <c r="N246" s="73"/>
      <c r="O246" s="73"/>
      <c r="P246" s="73"/>
      <c r="Q246" s="642"/>
      <c r="R246" s="642"/>
      <c r="S246" s="928"/>
      <c r="T246" s="928"/>
    </row>
    <row r="247" spans="1:21" ht="15" customHeight="1" thickBot="1">
      <c r="A247" s="49">
        <v>229</v>
      </c>
      <c r="B247" s="107">
        <f t="shared" ref="B247" si="1025">+B245+$B$19</f>
        <v>115</v>
      </c>
      <c r="C247" s="112" t="s">
        <v>101</v>
      </c>
      <c r="D247" s="113" t="s">
        <v>35</v>
      </c>
      <c r="E247" s="114" t="s">
        <v>221</v>
      </c>
      <c r="F247" s="114">
        <v>952559</v>
      </c>
      <c r="G247" s="119">
        <v>8.6507857139999995</v>
      </c>
      <c r="H247" s="221">
        <v>-13.627000000000001</v>
      </c>
      <c r="I247" s="69">
        <f t="shared" ref="I247" si="1026">G247+H247</f>
        <v>-4.9762142860000012</v>
      </c>
      <c r="J247" s="70"/>
      <c r="K247" s="145">
        <f t="shared" si="878"/>
        <v>-4.9762142860000012</v>
      </c>
      <c r="L247" s="147">
        <f t="shared" si="881"/>
        <v>0</v>
      </c>
      <c r="M247" s="621">
        <v>43538</v>
      </c>
      <c r="N247" s="71">
        <f t="shared" ref="N247:O247" si="1027">G247+G248</f>
        <v>13.626971427999999</v>
      </c>
      <c r="O247" s="72">
        <f t="shared" si="1027"/>
        <v>-13.627000000000001</v>
      </c>
      <c r="P247" s="71">
        <f t="shared" ref="P247" si="1028">N247+O247</f>
        <v>-2.8572000001503284E-5</v>
      </c>
      <c r="Q247" s="640">
        <f t="shared" ref="Q247" si="1029">J247+J248</f>
        <v>0</v>
      </c>
      <c r="R247" s="641">
        <f t="shared" ref="R247" si="1030">P247-Q247</f>
        <v>-2.8572000001503284E-5</v>
      </c>
      <c r="S247" s="927">
        <f t="shared" ref="S247" si="1031">Q247/P247</f>
        <v>0</v>
      </c>
      <c r="T247" s="927">
        <f t="shared" si="887"/>
        <v>1.0000020967241439</v>
      </c>
    </row>
    <row r="248" spans="1:21" ht="15" customHeight="1" thickBot="1">
      <c r="A248" s="49">
        <v>230</v>
      </c>
      <c r="B248" s="107">
        <f t="shared" ref="B248" si="1032">+B246+$B$20</f>
        <v>115</v>
      </c>
      <c r="C248" s="132" t="s">
        <v>101</v>
      </c>
      <c r="D248" s="133" t="s">
        <v>95</v>
      </c>
      <c r="E248" s="134" t="s">
        <v>221</v>
      </c>
      <c r="F248" s="134">
        <v>952559</v>
      </c>
      <c r="G248" s="135">
        <v>4.9761857139999996</v>
      </c>
      <c r="H248" s="136"/>
      <c r="I248" s="137">
        <f t="shared" ref="I248" si="1033">G248+H248+K247</f>
        <v>-2.8572000001503284E-5</v>
      </c>
      <c r="J248" s="138"/>
      <c r="K248" s="146">
        <f t="shared" si="878"/>
        <v>-2.8572000001503284E-5</v>
      </c>
      <c r="L248" s="148">
        <f t="shared" si="881"/>
        <v>0</v>
      </c>
      <c r="M248" s="621">
        <v>43538</v>
      </c>
      <c r="N248" s="73"/>
      <c r="O248" s="73"/>
      <c r="P248" s="73"/>
      <c r="Q248" s="642"/>
      <c r="R248" s="642"/>
      <c r="S248" s="928"/>
      <c r="T248" s="928"/>
    </row>
    <row r="249" spans="1:21" ht="15" customHeight="1" thickBot="1">
      <c r="A249" s="49">
        <v>231</v>
      </c>
      <c r="B249" s="107">
        <f t="shared" ref="B249" si="1034">+B247+$B$19</f>
        <v>116</v>
      </c>
      <c r="C249" s="112" t="s">
        <v>101</v>
      </c>
      <c r="D249" s="113" t="s">
        <v>35</v>
      </c>
      <c r="E249" s="114" t="s">
        <v>222</v>
      </c>
      <c r="F249" s="114">
        <v>954115</v>
      </c>
      <c r="G249" s="119">
        <v>8.6507857139999995</v>
      </c>
      <c r="H249" s="221">
        <v>-13.627000000000001</v>
      </c>
      <c r="I249" s="69">
        <f t="shared" ref="I249" si="1035">G249+H249</f>
        <v>-4.9762142860000012</v>
      </c>
      <c r="J249" s="70"/>
      <c r="K249" s="145">
        <f t="shared" si="878"/>
        <v>-4.9762142860000012</v>
      </c>
      <c r="L249" s="147">
        <f t="shared" si="881"/>
        <v>0</v>
      </c>
      <c r="M249" s="621">
        <v>43538</v>
      </c>
      <c r="N249" s="71">
        <f t="shared" ref="N249:O249" si="1036">G249+G250</f>
        <v>13.626971427999999</v>
      </c>
      <c r="O249" s="72">
        <f t="shared" si="1036"/>
        <v>-13.627000000000001</v>
      </c>
      <c r="P249" s="71">
        <f t="shared" ref="P249" si="1037">N249+O249</f>
        <v>-2.8572000001503284E-5</v>
      </c>
      <c r="Q249" s="640">
        <f t="shared" ref="Q249" si="1038">J249+J250</f>
        <v>0</v>
      </c>
      <c r="R249" s="641">
        <f t="shared" ref="R249" si="1039">P249-Q249</f>
        <v>-2.8572000001503284E-5</v>
      </c>
      <c r="S249" s="927">
        <f t="shared" ref="S249" si="1040">Q249/P249</f>
        <v>0</v>
      </c>
      <c r="T249" s="927">
        <f t="shared" si="887"/>
        <v>1.0000020967241439</v>
      </c>
    </row>
    <row r="250" spans="1:21" ht="15" customHeight="1" thickBot="1">
      <c r="A250" s="49">
        <v>232</v>
      </c>
      <c r="B250" s="107">
        <f t="shared" ref="B250" si="1041">+B248+$B$20</f>
        <v>116</v>
      </c>
      <c r="C250" s="132" t="s">
        <v>101</v>
      </c>
      <c r="D250" s="133" t="s">
        <v>95</v>
      </c>
      <c r="E250" s="134" t="s">
        <v>222</v>
      </c>
      <c r="F250" s="134">
        <v>954115</v>
      </c>
      <c r="G250" s="135">
        <v>4.9761857139999996</v>
      </c>
      <c r="H250" s="136"/>
      <c r="I250" s="137">
        <f t="shared" ref="I250" si="1042">G250+H250+K249</f>
        <v>-2.8572000001503284E-5</v>
      </c>
      <c r="J250" s="138"/>
      <c r="K250" s="146">
        <f t="shared" si="878"/>
        <v>-2.8572000001503284E-5</v>
      </c>
      <c r="L250" s="148">
        <f t="shared" si="881"/>
        <v>0</v>
      </c>
      <c r="M250" s="621">
        <v>43538</v>
      </c>
      <c r="N250" s="73"/>
      <c r="O250" s="73"/>
      <c r="P250" s="73"/>
      <c r="Q250" s="642"/>
      <c r="R250" s="642"/>
      <c r="S250" s="928"/>
      <c r="T250" s="928"/>
    </row>
    <row r="251" spans="1:21" ht="15" customHeight="1" thickBot="1">
      <c r="A251" s="49">
        <v>233</v>
      </c>
      <c r="B251" s="107">
        <f t="shared" ref="B251" si="1043">+B249+$B$19</f>
        <v>117</v>
      </c>
      <c r="C251" s="112" t="s">
        <v>101</v>
      </c>
      <c r="D251" s="113" t="s">
        <v>35</v>
      </c>
      <c r="E251" s="114" t="s">
        <v>223</v>
      </c>
      <c r="F251" s="114">
        <v>965998</v>
      </c>
      <c r="G251" s="119">
        <v>8.6507857139999995</v>
      </c>
      <c r="H251" s="221">
        <v>-13.627000000000001</v>
      </c>
      <c r="I251" s="69">
        <f t="shared" ref="I251" si="1044">G251+H251</f>
        <v>-4.9762142860000012</v>
      </c>
      <c r="J251" s="70"/>
      <c r="K251" s="145">
        <f t="shared" si="878"/>
        <v>-4.9762142860000012</v>
      </c>
      <c r="L251" s="147">
        <f t="shared" si="881"/>
        <v>0</v>
      </c>
      <c r="M251" s="621">
        <v>43538</v>
      </c>
      <c r="N251" s="71">
        <f t="shared" ref="N251:O251" si="1045">G251+G252</f>
        <v>13.626971427999999</v>
      </c>
      <c r="O251" s="72">
        <f t="shared" si="1045"/>
        <v>-13.627000000000001</v>
      </c>
      <c r="P251" s="71">
        <f t="shared" ref="P251" si="1046">N251+O251</f>
        <v>-2.8572000001503284E-5</v>
      </c>
      <c r="Q251" s="640">
        <f t="shared" ref="Q251" si="1047">J251+J252</f>
        <v>0</v>
      </c>
      <c r="R251" s="641">
        <f t="shared" ref="R251" si="1048">P251-Q251</f>
        <v>-2.8572000001503284E-5</v>
      </c>
      <c r="S251" s="927">
        <f t="shared" ref="S251" si="1049">Q251/P251</f>
        <v>0</v>
      </c>
      <c r="T251" s="927">
        <f t="shared" si="887"/>
        <v>1.0000020967241439</v>
      </c>
    </row>
    <row r="252" spans="1:21" ht="15" customHeight="1" thickBot="1">
      <c r="A252" s="49">
        <v>234</v>
      </c>
      <c r="B252" s="107">
        <f t="shared" ref="B252" si="1050">+B250+$B$20</f>
        <v>117</v>
      </c>
      <c r="C252" s="132" t="s">
        <v>101</v>
      </c>
      <c r="D252" s="133" t="s">
        <v>95</v>
      </c>
      <c r="E252" s="134" t="s">
        <v>223</v>
      </c>
      <c r="F252" s="134">
        <v>965998</v>
      </c>
      <c r="G252" s="135">
        <v>4.9761857139999996</v>
      </c>
      <c r="H252" s="136"/>
      <c r="I252" s="137">
        <f t="shared" ref="I252" si="1051">G252+H252+K251</f>
        <v>-2.8572000001503284E-5</v>
      </c>
      <c r="J252" s="138"/>
      <c r="K252" s="146">
        <f t="shared" si="878"/>
        <v>-2.8572000001503284E-5</v>
      </c>
      <c r="L252" s="148">
        <f t="shared" si="881"/>
        <v>0</v>
      </c>
      <c r="M252" s="621">
        <v>43538</v>
      </c>
      <c r="N252" s="73"/>
      <c r="O252" s="73"/>
      <c r="P252" s="73"/>
      <c r="Q252" s="642"/>
      <c r="R252" s="642"/>
      <c r="S252" s="928"/>
      <c r="T252" s="928"/>
    </row>
    <row r="253" spans="1:21" ht="15" customHeight="1" thickBot="1">
      <c r="A253" s="49">
        <v>235</v>
      </c>
      <c r="B253" s="107">
        <f t="shared" ref="B253" si="1052">+B251+$B$19</f>
        <v>118</v>
      </c>
      <c r="C253" s="112" t="s">
        <v>101</v>
      </c>
      <c r="D253" s="113" t="s">
        <v>35</v>
      </c>
      <c r="E253" s="114" t="s">
        <v>224</v>
      </c>
      <c r="F253" s="114">
        <v>903728</v>
      </c>
      <c r="G253" s="119">
        <v>8.6507857139999995</v>
      </c>
      <c r="H253" s="221">
        <v>-13.627000000000001</v>
      </c>
      <c r="I253" s="69">
        <f t="shared" ref="I253" si="1053">G253+H253</f>
        <v>-4.9762142860000012</v>
      </c>
      <c r="J253" s="70"/>
      <c r="K253" s="145">
        <f t="shared" si="878"/>
        <v>-4.9762142860000012</v>
      </c>
      <c r="L253" s="147">
        <f t="shared" si="881"/>
        <v>0</v>
      </c>
      <c r="M253" s="621">
        <v>43538</v>
      </c>
      <c r="N253" s="71">
        <f t="shared" ref="N253:O253" si="1054">G253+G254</f>
        <v>13.626971427999999</v>
      </c>
      <c r="O253" s="72">
        <f t="shared" si="1054"/>
        <v>-13.627000000000001</v>
      </c>
      <c r="P253" s="71">
        <f t="shared" ref="P253" si="1055">N253+O253</f>
        <v>-2.8572000001503284E-5</v>
      </c>
      <c r="Q253" s="640">
        <f t="shared" ref="Q253" si="1056">J253+J254</f>
        <v>0</v>
      </c>
      <c r="R253" s="641">
        <f t="shared" ref="R253" si="1057">P253-Q253</f>
        <v>-2.8572000001503284E-5</v>
      </c>
      <c r="S253" s="927">
        <f t="shared" ref="S253" si="1058">Q253/P253</f>
        <v>0</v>
      </c>
      <c r="T253" s="927">
        <f t="shared" si="887"/>
        <v>1.0000020967241439</v>
      </c>
    </row>
    <row r="254" spans="1:21" ht="15" customHeight="1" thickBot="1">
      <c r="A254" s="49">
        <v>236</v>
      </c>
      <c r="B254" s="107">
        <f t="shared" ref="B254" si="1059">+B252+$B$20</f>
        <v>118</v>
      </c>
      <c r="C254" s="132" t="s">
        <v>101</v>
      </c>
      <c r="D254" s="133" t="s">
        <v>95</v>
      </c>
      <c r="E254" s="134" t="s">
        <v>224</v>
      </c>
      <c r="F254" s="134">
        <v>903728</v>
      </c>
      <c r="G254" s="135">
        <v>4.9761857139999996</v>
      </c>
      <c r="H254" s="136"/>
      <c r="I254" s="137">
        <f t="shared" ref="I254" si="1060">G254+H254+K253</f>
        <v>-2.8572000001503284E-5</v>
      </c>
      <c r="J254" s="138"/>
      <c r="K254" s="146">
        <f t="shared" si="878"/>
        <v>-2.8572000001503284E-5</v>
      </c>
      <c r="L254" s="148">
        <f t="shared" si="881"/>
        <v>0</v>
      </c>
      <c r="M254" s="621">
        <v>43538</v>
      </c>
      <c r="N254" s="73"/>
      <c r="O254" s="73"/>
      <c r="P254" s="73"/>
      <c r="Q254" s="642"/>
      <c r="R254" s="642"/>
      <c r="S254" s="928"/>
      <c r="T254" s="928"/>
    </row>
    <row r="255" spans="1:21" ht="15" customHeight="1">
      <c r="A255" s="49">
        <v>237</v>
      </c>
      <c r="B255" s="107">
        <f t="shared" ref="B255" si="1061">+B253+$B$19</f>
        <v>119</v>
      </c>
      <c r="C255" s="112" t="s">
        <v>101</v>
      </c>
      <c r="D255" s="113" t="s">
        <v>35</v>
      </c>
      <c r="E255" s="114" t="s">
        <v>225</v>
      </c>
      <c r="F255" s="114">
        <v>964820</v>
      </c>
      <c r="G255" s="119">
        <v>8.6507857139999995</v>
      </c>
      <c r="H255" s="221">
        <v>-13.627000000000001</v>
      </c>
      <c r="I255" s="69">
        <f t="shared" ref="I255" si="1062">G255+H255</f>
        <v>-4.9762142860000012</v>
      </c>
      <c r="J255" s="70"/>
      <c r="K255" s="145">
        <f t="shared" si="878"/>
        <v>-4.9762142860000012</v>
      </c>
      <c r="L255" s="147">
        <f t="shared" si="881"/>
        <v>0</v>
      </c>
      <c r="M255" s="632">
        <v>43558</v>
      </c>
      <c r="N255" s="71">
        <f t="shared" ref="N255:O255" si="1063">G255+G256</f>
        <v>13.626971427999999</v>
      </c>
      <c r="O255" s="72">
        <f t="shared" si="1063"/>
        <v>-13.627000000000001</v>
      </c>
      <c r="P255" s="71">
        <f t="shared" ref="P255" si="1064">N255+O255</f>
        <v>-2.8572000001503284E-5</v>
      </c>
      <c r="Q255" s="640">
        <f t="shared" ref="Q255" si="1065">J255+J256</f>
        <v>0</v>
      </c>
      <c r="R255" s="641">
        <f t="shared" ref="R255" si="1066">P255-Q255</f>
        <v>-2.8572000001503284E-5</v>
      </c>
      <c r="S255" s="927">
        <f t="shared" ref="S255" si="1067">Q255/P255</f>
        <v>0</v>
      </c>
      <c r="T255" s="927">
        <f t="shared" si="887"/>
        <v>1.0000020967241439</v>
      </c>
    </row>
    <row r="256" spans="1:21" ht="15" customHeight="1" thickBot="1">
      <c r="A256" s="49">
        <v>238</v>
      </c>
      <c r="B256" s="107">
        <f t="shared" ref="B256" si="1068">+B254+$B$20</f>
        <v>119</v>
      </c>
      <c r="C256" s="132" t="s">
        <v>101</v>
      </c>
      <c r="D256" s="133" t="s">
        <v>95</v>
      </c>
      <c r="E256" s="134" t="s">
        <v>225</v>
      </c>
      <c r="F256" s="134">
        <v>964820</v>
      </c>
      <c r="G256" s="135">
        <v>4.9761857139999996</v>
      </c>
      <c r="H256" s="136"/>
      <c r="I256" s="137">
        <f t="shared" ref="I256" si="1069">G256+H256+K255</f>
        <v>-2.8572000001503284E-5</v>
      </c>
      <c r="J256" s="138"/>
      <c r="K256" s="146">
        <f t="shared" si="878"/>
        <v>-2.8572000001503284E-5</v>
      </c>
      <c r="L256" s="148">
        <f t="shared" si="881"/>
        <v>0</v>
      </c>
      <c r="M256" s="633">
        <v>43558</v>
      </c>
      <c r="N256" s="73"/>
      <c r="O256" s="73"/>
      <c r="P256" s="73"/>
      <c r="Q256" s="642"/>
      <c r="R256" s="642"/>
      <c r="S256" s="928"/>
      <c r="T256" s="928"/>
    </row>
    <row r="257" spans="1:21" ht="15" customHeight="1">
      <c r="A257" s="49">
        <v>239</v>
      </c>
      <c r="B257" s="107">
        <f t="shared" ref="B257" si="1070">+B255+$B$19</f>
        <v>120</v>
      </c>
      <c r="C257" s="112" t="s">
        <v>101</v>
      </c>
      <c r="D257" s="113" t="s">
        <v>35</v>
      </c>
      <c r="E257" s="114" t="s">
        <v>226</v>
      </c>
      <c r="F257" s="114">
        <v>951906</v>
      </c>
      <c r="G257" s="119">
        <v>8.6507857139999995</v>
      </c>
      <c r="H257" s="225">
        <v>-13.5</v>
      </c>
      <c r="I257" s="69">
        <f t="shared" ref="I257" si="1071">G257+H257</f>
        <v>-4.8492142860000005</v>
      </c>
      <c r="J257" s="70"/>
      <c r="K257" s="145">
        <f t="shared" si="878"/>
        <v>-4.8492142860000005</v>
      </c>
      <c r="L257" s="147">
        <f t="shared" si="881"/>
        <v>0</v>
      </c>
      <c r="M257" s="622">
        <v>43629</v>
      </c>
      <c r="N257" s="71">
        <f t="shared" ref="N257:O257" si="1072">G257+G258</f>
        <v>13.626971427999999</v>
      </c>
      <c r="O257" s="72">
        <f t="shared" si="1072"/>
        <v>-13.5</v>
      </c>
      <c r="P257" s="71">
        <f t="shared" ref="P257" si="1073">N257+O257</f>
        <v>0.12697142799999916</v>
      </c>
      <c r="Q257" s="640">
        <f t="shared" ref="Q257" si="1074">J257+J258</f>
        <v>0</v>
      </c>
      <c r="R257" s="641">
        <f t="shared" ref="R257" si="1075">P257-Q257</f>
        <v>0.12697142799999916</v>
      </c>
      <c r="S257" s="927">
        <f t="shared" ref="S257" si="1076">Q257/P257</f>
        <v>0</v>
      </c>
      <c r="T257" s="927">
        <f t="shared" si="887"/>
        <v>0.99068234429998847</v>
      </c>
      <c r="U257" s="573"/>
    </row>
    <row r="258" spans="1:21" ht="15" customHeight="1" thickBot="1">
      <c r="A258" s="49">
        <v>240</v>
      </c>
      <c r="B258" s="107">
        <f t="shared" ref="B258" si="1077">+B256+$B$20</f>
        <v>120</v>
      </c>
      <c r="C258" s="132" t="s">
        <v>101</v>
      </c>
      <c r="D258" s="133" t="s">
        <v>95</v>
      </c>
      <c r="E258" s="134" t="s">
        <v>226</v>
      </c>
      <c r="F258" s="134">
        <v>951906</v>
      </c>
      <c r="G258" s="135">
        <v>4.9761857139999996</v>
      </c>
      <c r="H258" s="136"/>
      <c r="I258" s="137">
        <f t="shared" ref="I258" si="1078">G258+H258+K257</f>
        <v>0.12697142799999916</v>
      </c>
      <c r="J258" s="138"/>
      <c r="K258" s="146">
        <f t="shared" si="878"/>
        <v>0.12697142799999916</v>
      </c>
      <c r="L258" s="148">
        <f t="shared" si="881"/>
        <v>0</v>
      </c>
      <c r="N258" s="73"/>
      <c r="O258" s="73"/>
      <c r="P258" s="73"/>
      <c r="Q258" s="642"/>
      <c r="R258" s="642"/>
      <c r="S258" s="928"/>
      <c r="T258" s="928"/>
    </row>
    <row r="259" spans="1:21" ht="15" customHeight="1" thickBot="1">
      <c r="A259" s="49">
        <v>241</v>
      </c>
      <c r="B259" s="107">
        <f t="shared" ref="B259" si="1079">+B257+$B$19</f>
        <v>121</v>
      </c>
      <c r="C259" s="112" t="s">
        <v>101</v>
      </c>
      <c r="D259" s="113" t="s">
        <v>35</v>
      </c>
      <c r="E259" s="114" t="s">
        <v>227</v>
      </c>
      <c r="F259" s="114">
        <v>951069</v>
      </c>
      <c r="G259" s="119">
        <v>8.6507857139999995</v>
      </c>
      <c r="H259" s="221">
        <v>-13.627000000000001</v>
      </c>
      <c r="I259" s="69">
        <f t="shared" ref="I259" si="1080">G259+H259</f>
        <v>-4.9762142860000012</v>
      </c>
      <c r="J259" s="70"/>
      <c r="K259" s="145">
        <f t="shared" si="878"/>
        <v>-4.9762142860000012</v>
      </c>
      <c r="L259" s="147">
        <f t="shared" si="881"/>
        <v>0</v>
      </c>
      <c r="M259" s="621">
        <v>43538</v>
      </c>
      <c r="N259" s="71">
        <f t="shared" ref="N259:O259" si="1081">G259+G260</f>
        <v>13.626971427999999</v>
      </c>
      <c r="O259" s="72">
        <f t="shared" si="1081"/>
        <v>-13.627000000000001</v>
      </c>
      <c r="P259" s="71">
        <f t="shared" ref="P259" si="1082">N259+O259</f>
        <v>-2.8572000001503284E-5</v>
      </c>
      <c r="Q259" s="640">
        <f t="shared" ref="Q259" si="1083">J259+J260</f>
        <v>0</v>
      </c>
      <c r="R259" s="641">
        <f t="shared" ref="R259" si="1084">P259-Q259</f>
        <v>-2.8572000001503284E-5</v>
      </c>
      <c r="S259" s="927">
        <f t="shared" ref="S259" si="1085">Q259/P259</f>
        <v>0</v>
      </c>
      <c r="T259" s="927">
        <f t="shared" si="887"/>
        <v>1.0000020967241439</v>
      </c>
    </row>
    <row r="260" spans="1:21" ht="15" customHeight="1" thickBot="1">
      <c r="A260" s="49">
        <v>242</v>
      </c>
      <c r="B260" s="107">
        <f t="shared" ref="B260" si="1086">+B258+$B$20</f>
        <v>121</v>
      </c>
      <c r="C260" s="132" t="s">
        <v>101</v>
      </c>
      <c r="D260" s="133" t="s">
        <v>95</v>
      </c>
      <c r="E260" s="134" t="s">
        <v>227</v>
      </c>
      <c r="F260" s="134">
        <v>951069</v>
      </c>
      <c r="G260" s="135">
        <v>4.9761857139999996</v>
      </c>
      <c r="H260" s="136"/>
      <c r="I260" s="137">
        <f t="shared" ref="I260" si="1087">G260+H260+K259</f>
        <v>-2.8572000001503284E-5</v>
      </c>
      <c r="J260" s="138"/>
      <c r="K260" s="146">
        <f t="shared" si="878"/>
        <v>-2.8572000001503284E-5</v>
      </c>
      <c r="L260" s="148">
        <f t="shared" si="881"/>
        <v>0</v>
      </c>
      <c r="M260" s="621">
        <v>43538</v>
      </c>
      <c r="N260" s="73"/>
      <c r="O260" s="73"/>
      <c r="P260" s="73"/>
      <c r="Q260" s="642"/>
      <c r="R260" s="642"/>
      <c r="S260" s="928"/>
      <c r="T260" s="928"/>
    </row>
    <row r="261" spans="1:21" ht="15" customHeight="1" thickBot="1">
      <c r="A261" s="49">
        <v>243</v>
      </c>
      <c r="B261" s="107">
        <f t="shared" ref="B261" si="1088">+B259+$B$19</f>
        <v>122</v>
      </c>
      <c r="C261" s="112" t="s">
        <v>101</v>
      </c>
      <c r="D261" s="113" t="s">
        <v>35</v>
      </c>
      <c r="E261" s="114" t="s">
        <v>228</v>
      </c>
      <c r="F261" s="114">
        <v>965847</v>
      </c>
      <c r="G261" s="119">
        <v>8.6507857139999995</v>
      </c>
      <c r="H261" s="221">
        <v>-13.627000000000001</v>
      </c>
      <c r="I261" s="69">
        <f t="shared" ref="I261" si="1089">G261+H261</f>
        <v>-4.9762142860000012</v>
      </c>
      <c r="J261" s="70"/>
      <c r="K261" s="145">
        <f t="shared" si="878"/>
        <v>-4.9762142860000012</v>
      </c>
      <c r="L261" s="147">
        <f t="shared" si="881"/>
        <v>0</v>
      </c>
      <c r="M261" s="621">
        <v>43538</v>
      </c>
      <c r="N261" s="71">
        <f t="shared" ref="N261:O261" si="1090">G261+G262</f>
        <v>13.626971427999999</v>
      </c>
      <c r="O261" s="72">
        <f t="shared" si="1090"/>
        <v>-13.627000000000001</v>
      </c>
      <c r="P261" s="71">
        <f t="shared" ref="P261" si="1091">N261+O261</f>
        <v>-2.8572000001503284E-5</v>
      </c>
      <c r="Q261" s="640">
        <f t="shared" ref="Q261" si="1092">J261+J262</f>
        <v>0</v>
      </c>
      <c r="R261" s="641">
        <f t="shared" ref="R261" si="1093">P261-Q261</f>
        <v>-2.8572000001503284E-5</v>
      </c>
      <c r="S261" s="927">
        <f t="shared" ref="S261" si="1094">Q261/P261</f>
        <v>0</v>
      </c>
      <c r="T261" s="927">
        <f t="shared" si="887"/>
        <v>1.0000020967241439</v>
      </c>
    </row>
    <row r="262" spans="1:21" ht="15" customHeight="1" thickBot="1">
      <c r="A262" s="49">
        <v>244</v>
      </c>
      <c r="B262" s="107">
        <f t="shared" ref="B262" si="1095">+B260+$B$20</f>
        <v>122</v>
      </c>
      <c r="C262" s="132" t="s">
        <v>101</v>
      </c>
      <c r="D262" s="133" t="s">
        <v>95</v>
      </c>
      <c r="E262" s="134" t="s">
        <v>228</v>
      </c>
      <c r="F262" s="134">
        <v>965847</v>
      </c>
      <c r="G262" s="135">
        <v>4.9761857139999996</v>
      </c>
      <c r="H262" s="136"/>
      <c r="I262" s="137">
        <f t="shared" ref="I262" si="1096">G262+H262+K261</f>
        <v>-2.8572000001503284E-5</v>
      </c>
      <c r="J262" s="138"/>
      <c r="K262" s="146">
        <f t="shared" si="878"/>
        <v>-2.8572000001503284E-5</v>
      </c>
      <c r="L262" s="148">
        <f t="shared" si="881"/>
        <v>0</v>
      </c>
      <c r="M262" s="621">
        <v>43538</v>
      </c>
      <c r="N262" s="73"/>
      <c r="O262" s="73"/>
      <c r="P262" s="73"/>
      <c r="Q262" s="642"/>
      <c r="R262" s="642"/>
      <c r="S262" s="928"/>
      <c r="T262" s="928"/>
    </row>
    <row r="263" spans="1:21" ht="15" customHeight="1" thickBot="1">
      <c r="A263" s="49">
        <v>245</v>
      </c>
      <c r="B263" s="107">
        <f t="shared" ref="B263" si="1097">+B261+$B$19</f>
        <v>123</v>
      </c>
      <c r="C263" s="112" t="s">
        <v>101</v>
      </c>
      <c r="D263" s="113" t="s">
        <v>35</v>
      </c>
      <c r="E263" s="114" t="s">
        <v>229</v>
      </c>
      <c r="F263" s="114">
        <v>900780</v>
      </c>
      <c r="G263" s="119">
        <v>8.6507857139999995</v>
      </c>
      <c r="H263" s="221">
        <v>-13.627000000000001</v>
      </c>
      <c r="I263" s="69">
        <f t="shared" ref="I263" si="1098">G263+H263</f>
        <v>-4.9762142860000012</v>
      </c>
      <c r="J263" s="70"/>
      <c r="K263" s="145">
        <f t="shared" si="878"/>
        <v>-4.9762142860000012</v>
      </c>
      <c r="L263" s="147">
        <f t="shared" si="881"/>
        <v>0</v>
      </c>
      <c r="M263" s="621">
        <v>43538</v>
      </c>
      <c r="N263" s="71">
        <f t="shared" ref="N263:O263" si="1099">G263+G264</f>
        <v>13.626971427999999</v>
      </c>
      <c r="O263" s="72">
        <f t="shared" si="1099"/>
        <v>-13.627000000000001</v>
      </c>
      <c r="P263" s="71">
        <f t="shared" ref="P263" si="1100">N263+O263</f>
        <v>-2.8572000001503284E-5</v>
      </c>
      <c r="Q263" s="640">
        <f t="shared" ref="Q263" si="1101">J263+J264</f>
        <v>0</v>
      </c>
      <c r="R263" s="641">
        <f t="shared" ref="R263" si="1102">P263-Q263</f>
        <v>-2.8572000001503284E-5</v>
      </c>
      <c r="S263" s="927">
        <f t="shared" ref="S263" si="1103">Q263/P263</f>
        <v>0</v>
      </c>
      <c r="T263" s="927">
        <f t="shared" si="887"/>
        <v>1.0000020967241439</v>
      </c>
    </row>
    <row r="264" spans="1:21" ht="15" customHeight="1" thickBot="1">
      <c r="A264" s="49">
        <v>246</v>
      </c>
      <c r="B264" s="107">
        <f t="shared" ref="B264" si="1104">+B262+$B$20</f>
        <v>123</v>
      </c>
      <c r="C264" s="132" t="s">
        <v>101</v>
      </c>
      <c r="D264" s="133" t="s">
        <v>95</v>
      </c>
      <c r="E264" s="134" t="s">
        <v>229</v>
      </c>
      <c r="F264" s="134">
        <v>900780</v>
      </c>
      <c r="G264" s="135">
        <v>4.9761857139999996</v>
      </c>
      <c r="H264" s="136"/>
      <c r="I264" s="137">
        <f t="shared" ref="I264" si="1105">G264+H264+K263</f>
        <v>-2.8572000001503284E-5</v>
      </c>
      <c r="J264" s="138"/>
      <c r="K264" s="146">
        <f t="shared" si="878"/>
        <v>-2.8572000001503284E-5</v>
      </c>
      <c r="L264" s="148">
        <f t="shared" si="881"/>
        <v>0</v>
      </c>
      <c r="M264" s="621">
        <v>43538</v>
      </c>
      <c r="N264" s="73"/>
      <c r="O264" s="73"/>
      <c r="P264" s="73"/>
      <c r="Q264" s="642"/>
      <c r="R264" s="642"/>
      <c r="S264" s="928"/>
      <c r="T264" s="928"/>
    </row>
    <row r="265" spans="1:21" ht="15" customHeight="1">
      <c r="A265" s="49">
        <v>247</v>
      </c>
      <c r="B265" s="107">
        <f t="shared" ref="B265" si="1106">+B263+$B$19</f>
        <v>124</v>
      </c>
      <c r="C265" s="112" t="s">
        <v>101</v>
      </c>
      <c r="D265" s="113" t="s">
        <v>35</v>
      </c>
      <c r="E265" s="114" t="s">
        <v>230</v>
      </c>
      <c r="F265" s="114">
        <v>918523</v>
      </c>
      <c r="G265" s="119">
        <v>8.6507857139999995</v>
      </c>
      <c r="H265" s="225">
        <v>-13</v>
      </c>
      <c r="I265" s="69">
        <f t="shared" ref="I265" si="1107">G265+H265</f>
        <v>-4.3492142860000005</v>
      </c>
      <c r="J265" s="288">
        <v>0.33300000000000002</v>
      </c>
      <c r="K265" s="145">
        <f t="shared" si="878"/>
        <v>-4.6822142860000007</v>
      </c>
      <c r="L265" s="566">
        <f t="shared" si="881"/>
        <v>-7.6565553707463374E-2</v>
      </c>
      <c r="M265" s="622">
        <v>43629</v>
      </c>
      <c r="N265" s="71">
        <f t="shared" ref="N265:O265" si="1108">G265+G266</f>
        <v>13.626971427999999</v>
      </c>
      <c r="O265" s="72">
        <f t="shared" si="1108"/>
        <v>-13</v>
      </c>
      <c r="P265" s="71">
        <f t="shared" ref="P265" si="1109">N265+O265</f>
        <v>0.62697142799999916</v>
      </c>
      <c r="Q265" s="640">
        <f t="shared" ref="Q265" si="1110">J265+J266</f>
        <v>0.33300000000000002</v>
      </c>
      <c r="R265" s="641">
        <f t="shared" ref="R265" si="1111">P265-Q265</f>
        <v>0.29397142799999915</v>
      </c>
      <c r="S265" s="927">
        <f t="shared" ref="S265" si="1112">Q265/P265</f>
        <v>0.53112468149027114</v>
      </c>
      <c r="T265" s="927">
        <f t="shared" si="887"/>
        <v>0.92955357446281139</v>
      </c>
      <c r="U265" s="573"/>
    </row>
    <row r="266" spans="1:21" ht="15" customHeight="1" thickBot="1">
      <c r="A266" s="49">
        <v>248</v>
      </c>
      <c r="B266" s="107">
        <f t="shared" ref="B266" si="1113">+B264+$B$20</f>
        <v>124</v>
      </c>
      <c r="C266" s="132" t="s">
        <v>101</v>
      </c>
      <c r="D266" s="133" t="s">
        <v>95</v>
      </c>
      <c r="E266" s="134" t="s">
        <v>230</v>
      </c>
      <c r="F266" s="134">
        <v>918523</v>
      </c>
      <c r="G266" s="135">
        <v>4.9761857139999996</v>
      </c>
      <c r="H266" s="136"/>
      <c r="I266" s="137">
        <f t="shared" ref="I266" si="1114">G266+H266+K265</f>
        <v>0.29397142799999898</v>
      </c>
      <c r="J266" s="138"/>
      <c r="K266" s="146">
        <f t="shared" si="878"/>
        <v>0.29397142799999898</v>
      </c>
      <c r="L266" s="148">
        <f t="shared" si="881"/>
        <v>0</v>
      </c>
      <c r="M266" s="624" t="s">
        <v>30</v>
      </c>
      <c r="N266" s="73"/>
      <c r="O266" s="73"/>
      <c r="P266" s="73"/>
      <c r="Q266" s="642"/>
      <c r="R266" s="642"/>
      <c r="S266" s="928"/>
      <c r="T266" s="928"/>
    </row>
    <row r="267" spans="1:21" ht="15" customHeight="1" thickBot="1">
      <c r="A267" s="49">
        <v>249</v>
      </c>
      <c r="B267" s="107">
        <f t="shared" ref="B267" si="1115">+B265+$B$19</f>
        <v>125</v>
      </c>
      <c r="C267" s="112" t="s">
        <v>101</v>
      </c>
      <c r="D267" s="113" t="s">
        <v>35</v>
      </c>
      <c r="E267" s="114" t="s">
        <v>231</v>
      </c>
      <c r="F267" s="114">
        <v>951031</v>
      </c>
      <c r="G267" s="119">
        <v>8.6507857139999995</v>
      </c>
      <c r="H267" s="221">
        <v>-13.627000000000001</v>
      </c>
      <c r="I267" s="69">
        <f t="shared" ref="I267" si="1116">G267+H267</f>
        <v>-4.9762142860000012</v>
      </c>
      <c r="J267" s="70"/>
      <c r="K267" s="145">
        <f>I267-J267</f>
        <v>-4.9762142860000012</v>
      </c>
      <c r="L267" s="147">
        <f t="shared" si="881"/>
        <v>0</v>
      </c>
      <c r="M267" s="621">
        <v>43538</v>
      </c>
      <c r="N267" s="71">
        <f t="shared" ref="N267:O267" si="1117">G267+G268</f>
        <v>13.626971427999999</v>
      </c>
      <c r="O267" s="72">
        <f t="shared" si="1117"/>
        <v>-13.627000000000001</v>
      </c>
      <c r="P267" s="71">
        <f t="shared" ref="P267" si="1118">N267+O267</f>
        <v>-2.8572000001503284E-5</v>
      </c>
      <c r="Q267" s="640">
        <f t="shared" ref="Q267" si="1119">J267+J268</f>
        <v>0</v>
      </c>
      <c r="R267" s="641">
        <f t="shared" ref="R267" si="1120">P267-Q267</f>
        <v>-2.8572000001503284E-5</v>
      </c>
      <c r="S267" s="927">
        <f t="shared" ref="S267" si="1121">Q267/P267</f>
        <v>0</v>
      </c>
      <c r="T267" s="927">
        <f t="shared" si="887"/>
        <v>1.0000020967241439</v>
      </c>
    </row>
    <row r="268" spans="1:21" ht="15" customHeight="1" thickBot="1">
      <c r="A268" s="49">
        <v>250</v>
      </c>
      <c r="B268" s="107">
        <f t="shared" ref="B268" si="1122">+B266+$B$20</f>
        <v>125</v>
      </c>
      <c r="C268" s="132" t="s">
        <v>101</v>
      </c>
      <c r="D268" s="133" t="s">
        <v>95</v>
      </c>
      <c r="E268" s="134" t="s">
        <v>231</v>
      </c>
      <c r="F268" s="134">
        <v>951031</v>
      </c>
      <c r="G268" s="135">
        <v>4.9761857139999996</v>
      </c>
      <c r="H268" s="136"/>
      <c r="I268" s="137">
        <f t="shared" ref="I268" si="1123">G268+H268+K267</f>
        <v>-2.8572000001503284E-5</v>
      </c>
      <c r="J268" s="138"/>
      <c r="K268" s="146">
        <f t="shared" si="878"/>
        <v>-2.8572000001503284E-5</v>
      </c>
      <c r="L268" s="148">
        <f t="shared" si="881"/>
        <v>0</v>
      </c>
      <c r="M268" s="621">
        <v>43538</v>
      </c>
      <c r="N268" s="73"/>
      <c r="O268" s="73"/>
      <c r="P268" s="73"/>
      <c r="Q268" s="642"/>
      <c r="R268" s="642"/>
      <c r="S268" s="928"/>
      <c r="T268" s="928"/>
    </row>
    <row r="269" spans="1:21" ht="15" customHeight="1" thickBot="1">
      <c r="A269" s="49">
        <v>251</v>
      </c>
      <c r="B269" s="107">
        <f t="shared" ref="B269" si="1124">+B267+$B$19</f>
        <v>126</v>
      </c>
      <c r="C269" s="112" t="s">
        <v>101</v>
      </c>
      <c r="D269" s="113" t="s">
        <v>35</v>
      </c>
      <c r="E269" s="114" t="s">
        <v>232</v>
      </c>
      <c r="F269" s="114">
        <v>924063</v>
      </c>
      <c r="G269" s="119">
        <v>8.6507857139999995</v>
      </c>
      <c r="H269" s="260">
        <f>-13.627</f>
        <v>-13.627000000000001</v>
      </c>
      <c r="I269" s="69">
        <f t="shared" ref="I269" si="1125">G269+H269</f>
        <v>-4.9762142860000012</v>
      </c>
      <c r="J269" s="70"/>
      <c r="K269" s="145">
        <f t="shared" si="878"/>
        <v>-4.9762142860000012</v>
      </c>
      <c r="L269" s="147">
        <f t="shared" si="881"/>
        <v>0</v>
      </c>
      <c r="M269" s="629">
        <v>43538</v>
      </c>
      <c r="N269" s="71">
        <f t="shared" ref="N269:O269" si="1126">G269+G270</f>
        <v>13.626971427999999</v>
      </c>
      <c r="O269" s="72">
        <f t="shared" si="1126"/>
        <v>-13.627000000000001</v>
      </c>
      <c r="P269" s="71">
        <f t="shared" ref="P269" si="1127">N269+O269</f>
        <v>-2.8572000001503284E-5</v>
      </c>
      <c r="Q269" s="640">
        <f t="shared" ref="Q269" si="1128">J269+J270</f>
        <v>0</v>
      </c>
      <c r="R269" s="641">
        <f>P269-Q269</f>
        <v>-2.8572000001503284E-5</v>
      </c>
      <c r="S269" s="927">
        <f t="shared" ref="S269" si="1129">Q269/P269</f>
        <v>0</v>
      </c>
      <c r="T269" s="927">
        <f t="shared" si="887"/>
        <v>1.0000020967241439</v>
      </c>
    </row>
    <row r="270" spans="1:21" ht="15" customHeight="1" thickBot="1">
      <c r="A270" s="49">
        <v>252</v>
      </c>
      <c r="B270" s="107">
        <f t="shared" ref="B270" si="1130">+B268+$B$20</f>
        <v>126</v>
      </c>
      <c r="C270" s="132" t="s">
        <v>101</v>
      </c>
      <c r="D270" s="133" t="s">
        <v>95</v>
      </c>
      <c r="E270" s="134" t="s">
        <v>232</v>
      </c>
      <c r="F270" s="134">
        <v>924063</v>
      </c>
      <c r="G270" s="135">
        <v>4.9761857139999996</v>
      </c>
      <c r="H270" s="136"/>
      <c r="I270" s="137">
        <f t="shared" ref="I270:I272" si="1131">G270+H270+K269</f>
        <v>-2.8572000001503284E-5</v>
      </c>
      <c r="J270" s="138"/>
      <c r="K270" s="146">
        <f t="shared" si="878"/>
        <v>-2.8572000001503284E-5</v>
      </c>
      <c r="L270" s="148">
        <f t="shared" si="881"/>
        <v>0</v>
      </c>
      <c r="M270" s="629">
        <v>43538</v>
      </c>
      <c r="N270" s="73"/>
      <c r="O270" s="73"/>
      <c r="P270" s="73"/>
      <c r="Q270" s="642"/>
      <c r="R270" s="642"/>
      <c r="S270" s="928"/>
      <c r="T270" s="928"/>
    </row>
    <row r="271" spans="1:21" ht="15" customHeight="1" thickBot="1">
      <c r="C271" s="944" t="s">
        <v>62</v>
      </c>
      <c r="D271" s="945"/>
      <c r="E271" s="946"/>
      <c r="F271" s="139" t="s">
        <v>77</v>
      </c>
      <c r="G271" s="139">
        <f>+G19+G21+G23+G25+G27+G29+G31+G33+G35+G37+G39+G41+G43+G45+G47+G49+G51+G53+G55+G57+G59+G61+G63+G65+G67+G69+G71+G73+G75+G77+G79+G81+G83+G85+G87+G89+G91+G93+G95+G97+G99+G101+G103+G105+G107+G109+G111+G113+G115+G117+G119+G121+G123+G125+G127+G129+G131+G133+G135+G137+G139+G141+G143+G145+G147+G149+G151+G153+G155+G157+G159+G161+G163+G165+G167+G169+G171+G173+G175+G177+G179+G181+G183+G185+G187+G189+G191+G193+G195+G197+G199+G231+G201+G203+G205+G207+G209+G211+G213+G215+G217+G219+G221+G223+G225+G227+G229+G233+G235+G237+G239+G241+G243+G245+G247+G249+G251+G253+G257+G255+G259+G261++G263+G265+G267+G269</f>
        <v>1089.9989999639995</v>
      </c>
      <c r="H271" s="223">
        <f>+H19+H21+H23+H25+H27+H29+H31+H33+H35+H37+H39+H41+H43+H45+H47+H49+H51+H53+H55+H57+H59+H61+H63+H65+H67+H69+H71+H73+H75+H77+H79+H81+H83+H85+H87+H89+H91+H93+H95+H97+H99+H101+H103+H105+H107+H109+H111+H113+H115+H117+H119+H121+H123+H125+H127+H129+H131+H133+H135+H137+H139+H141+H143+H145+H147+H149+H151+H153+H155+H157+H159+H161+H163+H165+H167+H169+H171+H173+H175+H177+H179+H181+H183+H185+H187+H189+H191+H193+H195+H197+H199+H201+H203+H205+H207+H209+H211+H213+H215+H217+H219+H221+H223+H225+H227+H229+H231+H233+H235+H237+H239+H241+H243+H245+H247+H249+H251+H253+H255+H257+H259+H261+H263+H265+H267+H269</f>
        <v>-1697.8479999999965</v>
      </c>
      <c r="I271" s="140">
        <f>G271+H271</f>
        <v>-607.84900003599705</v>
      </c>
      <c r="J271" s="139">
        <f>+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f>
        <v>5.1144000000000007</v>
      </c>
      <c r="K271" s="139">
        <f>I271-J271</f>
        <v>-612.9634000359971</v>
      </c>
      <c r="L271" s="141">
        <f t="shared" si="881"/>
        <v>-8.4139317489987219E-3</v>
      </c>
      <c r="M271" s="634" t="s">
        <v>30</v>
      </c>
      <c r="N271" s="950">
        <f>SUM(N19:N270)</f>
        <v>1716.9983999279982</v>
      </c>
      <c r="O271" s="952">
        <f>H271+H272</f>
        <v>-1697.8479999999965</v>
      </c>
      <c r="P271" s="954">
        <f>N271+O271</f>
        <v>19.150399928001661</v>
      </c>
      <c r="Q271" s="956">
        <f>J271+J272</f>
        <v>5.1144000000000007</v>
      </c>
      <c r="R271" s="958">
        <f>SUM(R19:R270)</f>
        <v>14.035999927999821</v>
      </c>
      <c r="S271" s="942">
        <f>Q271/P271</f>
        <v>0.26706491870813304</v>
      </c>
      <c r="T271" s="927">
        <f t="shared" ref="T271" si="1132">((Q271+O271)/N271)*-1</f>
        <v>0.98586789601608305</v>
      </c>
    </row>
    <row r="272" spans="1:21" ht="15" customHeight="1" thickBot="1">
      <c r="C272" s="947"/>
      <c r="D272" s="948"/>
      <c r="E272" s="949"/>
      <c r="F272" s="142" t="s">
        <v>78</v>
      </c>
      <c r="G272" s="142">
        <f>+G20+G22+G24+G26+G28+G30+G32+G34+G36+G38+G40+G42+G44+G46+G48+G50+G52+G54+G56+G58+G60+G62+G64+G66+G68+G70+G72+G74+G76+G78+G80+G82+G84+G86+G88+G90+G92+G94+G96+G98+G100+G102+G104+G106+G108+G110+G112+G114+G116+G118+G120+G122+G124+G126+G128+G130+G132+G134+G136+G138+G140+G142+G144+G146+G148+G150+G152+G154+G156+G158+G160+G162+G164+G166+G168+G170+G172+G174+G176+G178+G180+G182+G184+G186+G188+G190+G192+G194+G196+G198+G200+G232+G202+G204+G206+G208+G210+G212+G214+G216+G218+G220+G222+G224+G226+G228+G230+G234+G236+G238+G240+G242+G244+G246+G248+G250+G252+G254+G258+G256+G260+G262++G264+G266+G268+G270</f>
        <v>626.99939996400087</v>
      </c>
      <c r="H272" s="124">
        <f>+H20+H22+H24+H26+H28+H30+H32+H34+H36+H38+H40+H42+H44+H46+H48+H50+H52+H54+H56+H58+H60+H62+H64+H66+H68+H70+H72+H74+H76+H78+H80+H82+H84+H86+H88+H90+H92+H94+H96+H98+H100+H102+H104+H106+H108+H110+H112+H114+H116+H118+H120+H122+H124+H126+H128+H130+H132+H134+H136+H138+H140+H142+H144+H146+H148+H150+H152+H154+H156+H158+H160+H162+H164+H166+H168+H170+H172+H174+H176+H178+H180+H182+H184+H186+H188+H190+H192+H194+H196+H198+H200+H202+H204+H206+H208+H210+H212+H214+H216+H218+H220+H222+H224+H226+H228+H230+H232+H234+H236+H238+H240+H242+H244+H246+H248+H250+H252+H254+H256+H258+H260+H262+H264+H266+H268+H270</f>
        <v>0</v>
      </c>
      <c r="I272" s="143">
        <f t="shared" si="1131"/>
        <v>14.035999928003775</v>
      </c>
      <c r="J272" s="139">
        <f>+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J228+J230+J232+J234+J236+J238+J240+J242+J244+J246+J248+J250+J252+J254+J256+J258+J260+J262+J264+J266+J268+J270</f>
        <v>0</v>
      </c>
      <c r="K272" s="142">
        <f t="shared" si="878"/>
        <v>14.035999928003775</v>
      </c>
      <c r="L272" s="144">
        <f t="shared" si="881"/>
        <v>0</v>
      </c>
      <c r="M272" s="635" t="s">
        <v>30</v>
      </c>
      <c r="N272" s="951"/>
      <c r="O272" s="953"/>
      <c r="P272" s="955"/>
      <c r="Q272" s="957"/>
      <c r="R272" s="959"/>
      <c r="S272" s="943"/>
      <c r="T272" s="928"/>
    </row>
    <row r="273" spans="3:20" ht="15" customHeight="1">
      <c r="O273" s="229">
        <f>+O271/N271</f>
        <v>-0.98884658254264846</v>
      </c>
      <c r="Q273" s="645">
        <f>+Q271/N271</f>
        <v>2.9786865265654713E-3</v>
      </c>
      <c r="T273" s="266">
        <f>+Q273+O273</f>
        <v>-0.98586789601608293</v>
      </c>
    </row>
    <row r="274" spans="3:20" ht="15" customHeight="1">
      <c r="H274" s="47"/>
    </row>
    <row r="275" spans="3:20" ht="36.6" customHeight="1">
      <c r="C275" s="935" t="s">
        <v>358</v>
      </c>
      <c r="D275" s="936"/>
      <c r="E275" s="937"/>
      <c r="F275" s="123" t="s">
        <v>243</v>
      </c>
      <c r="G275" s="123" t="s">
        <v>235</v>
      </c>
      <c r="H275" s="124" t="s">
        <v>4</v>
      </c>
      <c r="I275" s="125" t="s">
        <v>5</v>
      </c>
      <c r="J275" s="126" t="s">
        <v>236</v>
      </c>
      <c r="K275" s="123" t="s">
        <v>45</v>
      </c>
      <c r="L275" s="123" t="s">
        <v>46</v>
      </c>
      <c r="R275" s="646"/>
    </row>
    <row r="276" spans="3:20" ht="15.75">
      <c r="C276" s="929" t="str">
        <f>+C19</f>
        <v>PUERTO NATALES</v>
      </c>
      <c r="D276" s="930"/>
      <c r="E276" s="931"/>
      <c r="F276" s="127" t="s">
        <v>35</v>
      </c>
      <c r="G276" s="90">
        <f>+G19+G21+G23+G25+G27+G29+G31+G33+G35+G37+G39+G41+G43+G45+G47+G49+G51+G53+G55+G57+G59+G61+G63+G65+G67+G69+G71+G73+G75+G77+G79+G81+G83+G85+G87+G89+G91+G93+G95+G97+G99+G101+G103+G105+G107+G109+G111+G113+G115+G117+G119+G121+G123+G125+G127+G129+G131+G133+G135+G137+G139+G141+G143+G145+G147+G149+G151+G153+G155+G157</f>
        <v>605.55499997999971</v>
      </c>
      <c r="H276" s="194">
        <f>+H19+H21+H23+H25+H27+H29+H31+H33+H35+H37+H39+H41+H43+H45+H47+H49+H51+H53+H55+H57+H59+H61+H63+H65+H67+H69+H71+H73+H75+H77+H79+H81+H83+H85+H87+H89+H91+H93+H95+H97+H99+H101+H103+H105+H107+H109+H111+H113+H115+H117+H119+H121+H123+H125+H127+H129+H131+H133+H135+H137+H139+H141+H143+H145+H147+H149+H151+H153+H155+H157</f>
        <v>-941.40099999999893</v>
      </c>
      <c r="I276" s="90">
        <f>+G276+H276</f>
        <v>-335.84600001999922</v>
      </c>
      <c r="J276" s="90">
        <f>+J19+J21+J23+J25+J27+J29+J31+J33+J35+J37+J39+J41+J43+J45+J47+J49+J51+J53+J55+J57+J59+J61+J63+J65+J67+J69+J71+J73+J75+J77+J79+J81+J83+J85+J87+J89+J91+J93+J95+J97+J99+J101+J103+J105+J107+J109+J111+J113+J115+J117+J119+J121+J123+J125+J127+J129+J131+J133+J135+J137+J139+J141+J143+J145+J147+J149+J151+J153+J155+J157</f>
        <v>3.907</v>
      </c>
      <c r="K276" s="90">
        <f>+I276-J276</f>
        <v>-339.75300001999921</v>
      </c>
      <c r="L276" s="120">
        <f>+J276/I276</f>
        <v>-1.1633308122673318E-2</v>
      </c>
      <c r="R276" s="647"/>
    </row>
    <row r="277" spans="3:20" ht="15.75">
      <c r="C277" s="938"/>
      <c r="D277" s="939"/>
      <c r="E277" s="940"/>
      <c r="F277" s="127" t="s">
        <v>95</v>
      </c>
      <c r="G277" s="91">
        <f>+G20+G22+G24+G26+G28+G30+G32+G34+G36+G38+G40+G42+G44+G46+G48+G50+G52+G54+G56+G58+G60+G62+G64+G66+G68+G70+G72+G74+G76+G78+G80+G82+G84+G86+G88+G90+G92+G94+G96+G98+G100+G102+G104+G106+G108+G110+G112+G114+G116+G118+G120+G122+G124+G126+G128+G130+G132+G134+G136+G138+G140+G142+G144+G146+G148+G150+G152+G154+G156+G158</f>
        <v>348.33299997999978</v>
      </c>
      <c r="H277" s="91">
        <f>+H20+H22+H24+H26+H28+H30+H32+H34+H36+H38+H40+H42+H44+H46+H48+H50+H52+H54+H56+H58+H60+H62+H64+H66+H68+H70+H72+H74+H76+H78+H80+H82+H84+H86+H88+H90+H92+H94+H96+H98+H100+H102+H104+H106+H108+H110+H112+H114+H116+H118+H120+H122+H124+H126+H128+H130+H132+H134+H136+H138+H140+H142+H144+H146+H148+H150+H152+H154+H156+H158</f>
        <v>0</v>
      </c>
      <c r="I277" s="91">
        <f>G277+H277+K276</f>
        <v>8.5799999600005776</v>
      </c>
      <c r="J277" s="91">
        <f>+J20+J22+J24+J26+J28+J30+J32+J34+J36+J38+J40+J42+J44+J46+J48+J50+J52+J54+J56+J58+J60+J62+J64+J66+J68+J70+J72+J74+J76+J78+J80+J82+J84+J86+J88+J90+J92+J94+J96+J98+J100+J102+J104+J106+J108+J110+J112+J114+J116+J118+J120+J122+J124+J126+J128+J130+J132+J134+J136+J138+J140+J142+J144+J146+J148+J150+J152+J154+J156+J158</f>
        <v>0</v>
      </c>
      <c r="K277" s="91">
        <f>+I277-J277</f>
        <v>8.5799999600005776</v>
      </c>
      <c r="L277" s="121">
        <f>+J277/I277</f>
        <v>0</v>
      </c>
      <c r="O277" s="227"/>
    </row>
    <row r="278" spans="3:20" ht="15.75">
      <c r="C278" s="929" t="str">
        <f>+C159</f>
        <v>PUNTA ARENAS</v>
      </c>
      <c r="D278" s="930"/>
      <c r="E278" s="931"/>
      <c r="F278" s="127" t="s">
        <v>35</v>
      </c>
      <c r="G278" s="90">
        <f>+G159+G161+G163+G165+G167+G169+G171+G173+G175+G177+G179+G181+G183+G185+G187+G189+G191+G193+G195+G197+G199+G201+G203+G205+G207+G209+G211+G213+G215+G217+G219+G221+G223+G225+G227+G229+G231+G233+G235+G237+G239+G241+G243+G245+G247+G249+G251+G253+G255+G257+G259+G261+G263+G265+G267+G269</f>
        <v>484.44399998399973</v>
      </c>
      <c r="H278" s="194">
        <f>+H159+H161+H163+H165+H167+H169+H171+H173+H175+H177+H179+H181+H183+H185+H187+H189+H191+H193+H195+H197+H199+H201+H203+H205+H207+H209+H211+H213+H215+H217+H219+H221+H223+H225+H227+H229+H231+H233+H235+H237+H239+H241+H243+H245+H247+H249+H251+H253+H255+H257+H259+H261+H263+H265+H267+H269</f>
        <v>-756.44699999999943</v>
      </c>
      <c r="I278" s="90">
        <f>+G278+H278</f>
        <v>-272.0030000159997</v>
      </c>
      <c r="J278" s="90">
        <f>+J159+J161+J163+J165+J167+J169+J171+J173+J175+J177+J179+J181+J183+J185+J187+J189+J191+J193+J195+J197+J199+J201+J203+J205+J207+J209+J211+J213+J215+J217+J219+J221+J223+J225+J227+J229+J231+J233+J235+J237+J239+J241+J243+J245+J247+J249+J251+J253+J255+J257+J259+J261+J263+J265+J267+J269</f>
        <v>1.2074</v>
      </c>
      <c r="K278" s="90">
        <f t="shared" ref="K278:K279" si="1133">+I278-J278</f>
        <v>-273.21040001599971</v>
      </c>
      <c r="L278" s="120">
        <f t="shared" ref="L278:L279" si="1134">+J278/I278</f>
        <v>-4.4389216292797457E-3</v>
      </c>
    </row>
    <row r="279" spans="3:20" ht="15.75">
      <c r="C279" s="932"/>
      <c r="D279" s="933"/>
      <c r="E279" s="934"/>
      <c r="F279" s="128" t="s">
        <v>95</v>
      </c>
      <c r="G279" s="129">
        <f>+G160+G162+G164+G166+G168+G170+G172+G174+G176+G178+G180+G182+G184+G186+G188+G190+G192+G194+G196+G198+G200+G202+G204+G206+G208+G210+G212+G214+G216+G218+G220+G222+G224+G226+G228+G230+G232+G234+G236+G238+G240+G242+G244+G246+G248+G250+G252+G254+G256+G258+G260+G262+G264+G266+G268+G270</f>
        <v>278.66639998399984</v>
      </c>
      <c r="H279" s="129">
        <f>+H160+H162+H164+H166+H168+H170+H172+H174+H176+H178+H180+H182+H184+H186+H188+H190+H192+H194+H196+H198+H200+H202+H204+H206+H208+H210+H212+H214+H216+H218+H220+H222+H224+H226+H228+H230+H232+H234+H236+H238+H240+H242+H244+H246+H248+H250+H252+H254+H256+H258+H260+H262+H264+H266+H268+H270</f>
        <v>0</v>
      </c>
      <c r="I279" s="129">
        <f>G279+H279+K278</f>
        <v>5.4559999680001283</v>
      </c>
      <c r="J279" s="129">
        <f>+J160+J162+J164+J166+J168+J170+J172+J174+J176+J178+J180+J182+J184+J186+J188+J190+J192+J194+J196+J198+J200+J202+J204+J206+J208+J210+J212+J214+J216+J218+J220+J222+J224+J226+J228+J230+J232+J234+J236+J238+J240+J242+J244+J246+J248+J250+J252+J254+J256+J258+J260+J262+J264+J266+J268+J270</f>
        <v>0</v>
      </c>
      <c r="K279" s="129">
        <f t="shared" si="1133"/>
        <v>5.4559999680001283</v>
      </c>
      <c r="L279" s="130">
        <f t="shared" si="1134"/>
        <v>0</v>
      </c>
      <c r="O279" s="47"/>
    </row>
    <row r="280" spans="3:20" ht="35.65" customHeight="1">
      <c r="C280" s="941" t="s">
        <v>361</v>
      </c>
      <c r="D280" s="941"/>
      <c r="E280" s="941"/>
      <c r="F280" s="941"/>
      <c r="G280" s="122">
        <f>SUM(G276:G279)</f>
        <v>1716.9983999279989</v>
      </c>
      <c r="H280" s="122">
        <f>SUM(H276:H279)</f>
        <v>-1697.8479999999984</v>
      </c>
      <c r="I280" s="122">
        <f>+G280+H280</f>
        <v>19.150399928000525</v>
      </c>
      <c r="J280" s="122">
        <f>SUM(J276:J279)</f>
        <v>5.1143999999999998</v>
      </c>
      <c r="K280" s="122">
        <f>+I280-J280</f>
        <v>14.035999928000525</v>
      </c>
      <c r="L280" s="151">
        <f>+J280/I280</f>
        <v>0.26706491870814886</v>
      </c>
      <c r="O280" s="226"/>
    </row>
    <row r="282" spans="3:20" ht="12.6" customHeight="1"/>
    <row r="283" spans="3:20" hidden="1"/>
    <row r="284" spans="3:20" ht="8.4499999999999993" hidden="1" customHeight="1"/>
    <row r="285" spans="3:20" hidden="1">
      <c r="H285" s="47">
        <f>-(1363.311+27.254)</f>
        <v>-1390.5649999999998</v>
      </c>
    </row>
    <row r="286" spans="3:20" hidden="1"/>
    <row r="287" spans="3:20" ht="9" hidden="1" customHeight="1"/>
    <row r="288" spans="3:20" ht="2.4500000000000002" customHeight="1">
      <c r="H288" s="224">
        <f>+H285+-H271</f>
        <v>307.28299999999672</v>
      </c>
    </row>
    <row r="291" spans="8:8">
      <c r="H291" s="7"/>
    </row>
  </sheetData>
  <mergeCells count="278">
    <mergeCell ref="C2:S2"/>
    <mergeCell ref="C3:S3"/>
    <mergeCell ref="E5:F5"/>
    <mergeCell ref="C6:C9"/>
    <mergeCell ref="E6:F6"/>
    <mergeCell ref="E7:F7"/>
    <mergeCell ref="E8:F8"/>
    <mergeCell ref="E9:F9"/>
    <mergeCell ref="S19:S20"/>
    <mergeCell ref="S21:S22"/>
    <mergeCell ref="S23:S24"/>
    <mergeCell ref="S25:S26"/>
    <mergeCell ref="S27:S28"/>
    <mergeCell ref="S29:S30"/>
    <mergeCell ref="E11:F11"/>
    <mergeCell ref="C12:C13"/>
    <mergeCell ref="E14:E15"/>
    <mergeCell ref="F12:F15"/>
    <mergeCell ref="C14:C15"/>
    <mergeCell ref="E12:E13"/>
    <mergeCell ref="S43:S44"/>
    <mergeCell ref="S45:S46"/>
    <mergeCell ref="S47:S48"/>
    <mergeCell ref="S49:S50"/>
    <mergeCell ref="S51:S52"/>
    <mergeCell ref="S53:S54"/>
    <mergeCell ref="S31:S32"/>
    <mergeCell ref="S33:S34"/>
    <mergeCell ref="S35:S36"/>
    <mergeCell ref="S37:S38"/>
    <mergeCell ref="S39:S40"/>
    <mergeCell ref="S41:S42"/>
    <mergeCell ref="S67:S68"/>
    <mergeCell ref="S69:S70"/>
    <mergeCell ref="S71:S72"/>
    <mergeCell ref="S73:S74"/>
    <mergeCell ref="S75:S76"/>
    <mergeCell ref="S77:S78"/>
    <mergeCell ref="S55:S56"/>
    <mergeCell ref="S57:S58"/>
    <mergeCell ref="S59:S60"/>
    <mergeCell ref="S61:S62"/>
    <mergeCell ref="S63:S64"/>
    <mergeCell ref="S65:S66"/>
    <mergeCell ref="S91:S92"/>
    <mergeCell ref="S93:S94"/>
    <mergeCell ref="S95:S96"/>
    <mergeCell ref="S97:S98"/>
    <mergeCell ref="S99:S100"/>
    <mergeCell ref="S101:S102"/>
    <mergeCell ref="S79:S80"/>
    <mergeCell ref="S81:S82"/>
    <mergeCell ref="S83:S84"/>
    <mergeCell ref="S85:S86"/>
    <mergeCell ref="S87:S88"/>
    <mergeCell ref="S89:S90"/>
    <mergeCell ref="S115:S116"/>
    <mergeCell ref="S117:S118"/>
    <mergeCell ref="S119:S120"/>
    <mergeCell ref="S121:S122"/>
    <mergeCell ref="S123:S124"/>
    <mergeCell ref="S125:S126"/>
    <mergeCell ref="S103:S104"/>
    <mergeCell ref="S105:S106"/>
    <mergeCell ref="S107:S108"/>
    <mergeCell ref="S109:S110"/>
    <mergeCell ref="S111:S112"/>
    <mergeCell ref="S113:S114"/>
    <mergeCell ref="S139:S140"/>
    <mergeCell ref="S141:S142"/>
    <mergeCell ref="S143:S144"/>
    <mergeCell ref="S145:S146"/>
    <mergeCell ref="S147:S148"/>
    <mergeCell ref="S149:S150"/>
    <mergeCell ref="S127:S128"/>
    <mergeCell ref="S129:S130"/>
    <mergeCell ref="S131:S132"/>
    <mergeCell ref="S133:S134"/>
    <mergeCell ref="S135:S136"/>
    <mergeCell ref="S137:S138"/>
    <mergeCell ref="S163:S164"/>
    <mergeCell ref="S165:S166"/>
    <mergeCell ref="S167:S168"/>
    <mergeCell ref="S169:S170"/>
    <mergeCell ref="S171:S172"/>
    <mergeCell ref="S173:S174"/>
    <mergeCell ref="S151:S152"/>
    <mergeCell ref="S153:S154"/>
    <mergeCell ref="S155:S156"/>
    <mergeCell ref="S157:S158"/>
    <mergeCell ref="S159:S160"/>
    <mergeCell ref="S161:S162"/>
    <mergeCell ref="S187:S188"/>
    <mergeCell ref="S189:S190"/>
    <mergeCell ref="S191:S192"/>
    <mergeCell ref="S193:S194"/>
    <mergeCell ref="S195:S196"/>
    <mergeCell ref="S197:S198"/>
    <mergeCell ref="S175:S176"/>
    <mergeCell ref="S177:S178"/>
    <mergeCell ref="S179:S180"/>
    <mergeCell ref="S181:S182"/>
    <mergeCell ref="S183:S184"/>
    <mergeCell ref="S185:S186"/>
    <mergeCell ref="S211:S212"/>
    <mergeCell ref="S213:S214"/>
    <mergeCell ref="S215:S216"/>
    <mergeCell ref="S217:S218"/>
    <mergeCell ref="S219:S220"/>
    <mergeCell ref="S221:S222"/>
    <mergeCell ref="S199:S200"/>
    <mergeCell ref="S201:S202"/>
    <mergeCell ref="S203:S204"/>
    <mergeCell ref="S205:S206"/>
    <mergeCell ref="S207:S208"/>
    <mergeCell ref="S209:S210"/>
    <mergeCell ref="S235:S236"/>
    <mergeCell ref="S237:S238"/>
    <mergeCell ref="S239:S240"/>
    <mergeCell ref="S241:S242"/>
    <mergeCell ref="S243:S244"/>
    <mergeCell ref="S245:S246"/>
    <mergeCell ref="S223:S224"/>
    <mergeCell ref="S225:S226"/>
    <mergeCell ref="S227:S228"/>
    <mergeCell ref="S229:S230"/>
    <mergeCell ref="S231:S232"/>
    <mergeCell ref="S233:S234"/>
    <mergeCell ref="S259:S260"/>
    <mergeCell ref="S261:S262"/>
    <mergeCell ref="S263:S264"/>
    <mergeCell ref="S265:S266"/>
    <mergeCell ref="S267:S268"/>
    <mergeCell ref="S269:S270"/>
    <mergeCell ref="S247:S248"/>
    <mergeCell ref="S249:S250"/>
    <mergeCell ref="S251:S252"/>
    <mergeCell ref="S253:S254"/>
    <mergeCell ref="S255:S256"/>
    <mergeCell ref="S257:S258"/>
    <mergeCell ref="C278:E279"/>
    <mergeCell ref="C275:E275"/>
    <mergeCell ref="C276:E277"/>
    <mergeCell ref="C280:F280"/>
    <mergeCell ref="S271:S272"/>
    <mergeCell ref="C271:E272"/>
    <mergeCell ref="N271:N272"/>
    <mergeCell ref="O271:O272"/>
    <mergeCell ref="P271:P272"/>
    <mergeCell ref="Q271:Q272"/>
    <mergeCell ref="R271:R272"/>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5:T196"/>
    <mergeCell ref="T197:T198"/>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1:T232"/>
    <mergeCell ref="T233:T234"/>
    <mergeCell ref="T235:T236"/>
    <mergeCell ref="T237:T238"/>
    <mergeCell ref="T239:T240"/>
    <mergeCell ref="T241:T242"/>
    <mergeCell ref="T243:T244"/>
    <mergeCell ref="T245:T246"/>
    <mergeCell ref="T247:T248"/>
    <mergeCell ref="T249:T250"/>
    <mergeCell ref="T251:T252"/>
    <mergeCell ref="T271:T272"/>
    <mergeCell ref="T253:T254"/>
    <mergeCell ref="T255:T256"/>
    <mergeCell ref="T257:T258"/>
    <mergeCell ref="T259:T260"/>
    <mergeCell ref="T261:T262"/>
    <mergeCell ref="T263:T264"/>
    <mergeCell ref="T265:T266"/>
    <mergeCell ref="T267:T268"/>
    <mergeCell ref="T269:T270"/>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93"/>
  <sheetViews>
    <sheetView showGridLines="0" zoomScale="65" zoomScaleNormal="65" zoomScalePageLayoutView="68" workbookViewId="0">
      <pane xSplit="5" ySplit="1" topLeftCell="H2" activePane="bottomRight" state="frozen"/>
      <selection pane="topRight" activeCell="F1" sqref="F1"/>
      <selection pane="bottomLeft" activeCell="A2" sqref="A2"/>
      <selection pane="bottomRight" activeCell="L44" sqref="L44"/>
    </sheetView>
  </sheetViews>
  <sheetFormatPr baseColWidth="10" defaultColWidth="10.7109375" defaultRowHeight="15"/>
  <cols>
    <col min="1" max="1" width="6.28515625" customWidth="1"/>
    <col min="2" max="2" width="6.7109375" style="276" customWidth="1"/>
    <col min="3" max="3" width="11.42578125" style="276" customWidth="1"/>
    <col min="4" max="4" width="62.85546875" style="276" customWidth="1"/>
    <col min="5" max="6" width="13" style="278" customWidth="1"/>
    <col min="7" max="7" width="14.28515625" style="278" customWidth="1"/>
    <col min="8" max="8" width="18.28515625" style="278" customWidth="1"/>
    <col min="9" max="9" width="15.28515625" style="276" customWidth="1"/>
    <col min="10" max="10" width="10.28515625" style="276" customWidth="1"/>
    <col min="11" max="11" width="11.42578125" style="276" customWidth="1"/>
    <col min="12" max="12" width="12" style="276" customWidth="1"/>
    <col min="13" max="13" width="10" style="276" hidden="1" customWidth="1"/>
    <col min="14" max="14" width="2.7109375" style="276" customWidth="1"/>
    <col min="15" max="18" width="10.7109375" style="276"/>
    <col min="19" max="19" width="12.7109375" style="276" bestFit="1" customWidth="1"/>
    <col min="20" max="16384" width="10.7109375" style="276"/>
  </cols>
  <sheetData>
    <row r="1" spans="2:13" ht="14.65" customHeight="1">
      <c r="B1" s="291">
        <v>4759</v>
      </c>
      <c r="C1" s="275"/>
      <c r="D1" s="275"/>
      <c r="E1" s="275"/>
      <c r="F1" s="982"/>
      <c r="G1" s="982"/>
      <c r="H1" s="982"/>
      <c r="I1" s="983"/>
      <c r="J1" s="983"/>
      <c r="K1" s="296"/>
    </row>
    <row r="2" spans="2:13" ht="12" customHeight="1">
      <c r="B2" s="291" t="s">
        <v>449</v>
      </c>
      <c r="C2" s="291"/>
      <c r="D2" s="291" t="s">
        <v>450</v>
      </c>
      <c r="E2" s="312" t="s">
        <v>448</v>
      </c>
      <c r="F2" s="330" t="s">
        <v>463</v>
      </c>
      <c r="G2" s="307" t="s">
        <v>4</v>
      </c>
      <c r="H2" s="331" t="s">
        <v>5</v>
      </c>
      <c r="I2" s="307" t="s">
        <v>451</v>
      </c>
      <c r="J2" s="313" t="s">
        <v>454</v>
      </c>
      <c r="K2" s="342" t="s">
        <v>468</v>
      </c>
      <c r="L2" s="341" t="s">
        <v>467</v>
      </c>
    </row>
    <row r="3" spans="2:13" ht="12" customHeight="1">
      <c r="B3" s="303" t="s">
        <v>445</v>
      </c>
      <c r="C3" s="303" t="s">
        <v>430</v>
      </c>
      <c r="D3" s="303" t="s">
        <v>51</v>
      </c>
      <c r="E3" s="298">
        <f>0.1379275+0.0125</f>
        <v>0.15042750000000002</v>
      </c>
      <c r="F3" s="324">
        <f>+$B$1*E3</f>
        <v>715.88447250000013</v>
      </c>
      <c r="G3" s="280">
        <f>+F60+F62+F63+F64+F65+F67+F72+F73+F77+F79</f>
        <v>3473.6110000000003</v>
      </c>
      <c r="H3" s="324">
        <f>+F3+G3</f>
        <v>4189.4954725000007</v>
      </c>
      <c r="I3" s="308">
        <f>+F60+F62+F63+F64+F65+F67+F72+F73+F77+F79</f>
        <v>3473.6110000000003</v>
      </c>
      <c r="J3" s="311">
        <f>+K3+L3</f>
        <v>0</v>
      </c>
      <c r="K3" s="309"/>
      <c r="L3" s="311"/>
      <c r="M3" s="325">
        <f t="shared" ref="M3:M15" si="0">+F3+J3</f>
        <v>715.88447250000013</v>
      </c>
    </row>
    <row r="4" spans="2:13" ht="12" customHeight="1">
      <c r="B4" s="303" t="s">
        <v>445</v>
      </c>
      <c r="C4" s="303" t="s">
        <v>431</v>
      </c>
      <c r="D4" s="303" t="s">
        <v>53</v>
      </c>
      <c r="E4" s="298">
        <v>0.18365590000000001</v>
      </c>
      <c r="F4" s="324">
        <f>+$B$1*E4</f>
        <v>874.01842810000005</v>
      </c>
      <c r="G4" s="447">
        <f>+I4+J4</f>
        <v>497.68838999999991</v>
      </c>
      <c r="H4" s="324">
        <f t="shared" ref="H4:H16" si="1">+F4+G4</f>
        <v>1371.7068181</v>
      </c>
      <c r="I4" s="308">
        <f>+F57+F58+F59+F76+F80</f>
        <v>634.69999999999993</v>
      </c>
      <c r="J4" s="311">
        <f>+K4+L4</f>
        <v>-137.01160999999999</v>
      </c>
      <c r="K4" s="348">
        <f>-F37</f>
        <v>-137.01160999999999</v>
      </c>
      <c r="L4" s="465">
        <f>+F38</f>
        <v>0</v>
      </c>
      <c r="M4" s="568">
        <f>+F4+J4</f>
        <v>737.00681810000003</v>
      </c>
    </row>
    <row r="5" spans="2:13" ht="0.4" customHeight="1">
      <c r="B5" s="303" t="s">
        <v>445</v>
      </c>
      <c r="C5" s="303" t="s">
        <v>432</v>
      </c>
      <c r="D5" s="303" t="s">
        <v>433</v>
      </c>
      <c r="E5" s="299">
        <v>0</v>
      </c>
      <c r="F5" s="324">
        <f t="shared" ref="F5:F14" si="2">+$B$1*E5</f>
        <v>0</v>
      </c>
      <c r="G5" s="280">
        <f t="shared" ref="G5:G14" si="3">+I5+J5</f>
        <v>0</v>
      </c>
      <c r="H5" s="324">
        <f t="shared" si="1"/>
        <v>0</v>
      </c>
      <c r="I5" s="308"/>
      <c r="J5" s="311">
        <f t="shared" ref="J5:J16" si="4">+K5+L5</f>
        <v>0</v>
      </c>
      <c r="K5" s="309"/>
      <c r="L5" s="465"/>
      <c r="M5" s="325">
        <f t="shared" si="0"/>
        <v>0</v>
      </c>
    </row>
    <row r="6" spans="2:13" ht="12" customHeight="1">
      <c r="B6" s="303" t="s">
        <v>445</v>
      </c>
      <c r="C6" s="303" t="s">
        <v>434</v>
      </c>
      <c r="D6" s="303" t="s">
        <v>54</v>
      </c>
      <c r="E6" s="298">
        <f>0.0128261+0.0075</f>
        <v>2.03261E-2</v>
      </c>
      <c r="F6" s="324">
        <f t="shared" si="2"/>
        <v>96.731909900000005</v>
      </c>
      <c r="G6" s="280">
        <f>+I6+J6</f>
        <v>73.209362649999989</v>
      </c>
      <c r="H6" s="324">
        <f t="shared" si="1"/>
        <v>169.94127255000001</v>
      </c>
      <c r="I6" s="308">
        <v>0</v>
      </c>
      <c r="J6" s="311">
        <f t="shared" si="4"/>
        <v>73.209362649999989</v>
      </c>
      <c r="K6" s="309"/>
      <c r="L6" s="465">
        <f>+F41</f>
        <v>73.209362649999989</v>
      </c>
      <c r="M6" s="325">
        <f t="shared" si="0"/>
        <v>169.94127255000001</v>
      </c>
    </row>
    <row r="7" spans="2:13" ht="12" customHeight="1">
      <c r="B7" s="303" t="s">
        <v>445</v>
      </c>
      <c r="C7" s="303" t="s">
        <v>435</v>
      </c>
      <c r="D7" s="303" t="s">
        <v>55</v>
      </c>
      <c r="E7" s="298">
        <v>0.24709130000000001</v>
      </c>
      <c r="F7" s="324">
        <f t="shared" si="2"/>
        <v>1175.9074967000001</v>
      </c>
      <c r="G7" s="280">
        <f t="shared" si="3"/>
        <v>1490.2875610000001</v>
      </c>
      <c r="H7" s="324">
        <f>+F7+G7</f>
        <v>2666.1950577000002</v>
      </c>
      <c r="I7" s="311">
        <f>722.274+15.924+59.755</f>
        <v>797.95299999999997</v>
      </c>
      <c r="J7" s="309">
        <f>+K7+L7</f>
        <v>692.33456100000001</v>
      </c>
      <c r="K7" s="348">
        <f>-F36-F39</f>
        <v>-36.549120000000002</v>
      </c>
      <c r="L7" s="465">
        <f>+F35+F40</f>
        <v>728.88368100000002</v>
      </c>
      <c r="M7" s="325">
        <f t="shared" si="0"/>
        <v>1868.2420577000003</v>
      </c>
    </row>
    <row r="8" spans="2:13" ht="12" customHeight="1">
      <c r="B8" s="303" t="s">
        <v>445</v>
      </c>
      <c r="C8" s="303" t="s">
        <v>436</v>
      </c>
      <c r="D8" s="303" t="s">
        <v>56</v>
      </c>
      <c r="E8" s="298">
        <f>0.3530305+0.0153834</f>
        <v>0.36841390000000002</v>
      </c>
      <c r="F8" s="324">
        <f t="shared" si="2"/>
        <v>1753.2817501000002</v>
      </c>
      <c r="G8" s="280">
        <f t="shared" si="3"/>
        <v>305.15852834999987</v>
      </c>
      <c r="H8" s="324">
        <f t="shared" si="1"/>
        <v>2058.4402784499998</v>
      </c>
      <c r="I8" s="308">
        <f>(167.778+222.222+147.677+324.448)</f>
        <v>862.125</v>
      </c>
      <c r="J8" s="309">
        <f>+K8+L8</f>
        <v>-556.96647165000013</v>
      </c>
      <c r="K8" s="348">
        <f>-F35-F38-F41</f>
        <v>-801.91220165000004</v>
      </c>
      <c r="L8" s="465">
        <f>+F36+F37+F39+F42+F43</f>
        <v>244.94572999999997</v>
      </c>
      <c r="M8" s="325">
        <f>+F8+J8</f>
        <v>1196.3152784500001</v>
      </c>
    </row>
    <row r="9" spans="2:13" ht="13.9" customHeight="1">
      <c r="B9" s="303" t="s">
        <v>445</v>
      </c>
      <c r="C9" s="303" t="s">
        <v>437</v>
      </c>
      <c r="D9" s="303" t="s">
        <v>57</v>
      </c>
      <c r="E9" s="298"/>
      <c r="F9" s="324">
        <f t="shared" si="2"/>
        <v>0</v>
      </c>
      <c r="G9" s="280">
        <f t="shared" si="3"/>
        <v>0</v>
      </c>
      <c r="H9" s="324">
        <f t="shared" si="1"/>
        <v>0</v>
      </c>
      <c r="I9" s="308"/>
      <c r="J9" s="311">
        <f t="shared" si="4"/>
        <v>0</v>
      </c>
      <c r="K9" s="309"/>
      <c r="L9" s="465"/>
      <c r="M9" s="325">
        <f t="shared" si="0"/>
        <v>0</v>
      </c>
    </row>
    <row r="10" spans="2:13" ht="12" customHeight="1">
      <c r="B10" s="303" t="s">
        <v>445</v>
      </c>
      <c r="C10" s="303" t="s">
        <v>438</v>
      </c>
      <c r="D10" s="303" t="s">
        <v>58</v>
      </c>
      <c r="E10" s="298"/>
      <c r="F10" s="324">
        <f t="shared" si="2"/>
        <v>0</v>
      </c>
      <c r="G10" s="280">
        <f t="shared" si="3"/>
        <v>0</v>
      </c>
      <c r="H10" s="324">
        <f t="shared" si="1"/>
        <v>0</v>
      </c>
      <c r="I10" s="308"/>
      <c r="J10" s="311">
        <f t="shared" si="4"/>
        <v>0</v>
      </c>
      <c r="K10" s="309"/>
      <c r="L10" s="465"/>
      <c r="M10" s="325">
        <f t="shared" si="0"/>
        <v>0</v>
      </c>
    </row>
    <row r="11" spans="2:13" ht="12" customHeight="1">
      <c r="B11" s="303" t="s">
        <v>445</v>
      </c>
      <c r="C11" s="303" t="s">
        <v>439</v>
      </c>
      <c r="D11" s="303" t="s">
        <v>59</v>
      </c>
      <c r="E11" s="298"/>
      <c r="F11" s="324">
        <f t="shared" si="2"/>
        <v>0</v>
      </c>
      <c r="G11" s="280">
        <f t="shared" si="3"/>
        <v>0</v>
      </c>
      <c r="H11" s="324">
        <f>+F11+G11</f>
        <v>0</v>
      </c>
      <c r="I11" s="308"/>
      <c r="J11" s="311">
        <f t="shared" si="4"/>
        <v>0</v>
      </c>
      <c r="K11" s="309"/>
      <c r="L11" s="465"/>
      <c r="M11" s="325">
        <f t="shared" si="0"/>
        <v>0</v>
      </c>
    </row>
    <row r="12" spans="2:13" ht="12" customHeight="1">
      <c r="B12" s="303" t="s">
        <v>445</v>
      </c>
      <c r="C12" s="303" t="s">
        <v>440</v>
      </c>
      <c r="D12" s="303" t="s">
        <v>453</v>
      </c>
      <c r="E12" s="300">
        <v>3.8000000000000002E-5</v>
      </c>
      <c r="F12" s="324">
        <f t="shared" si="2"/>
        <v>0.180842</v>
      </c>
      <c r="G12" s="280">
        <f t="shared" si="3"/>
        <v>-0.18084200000000003</v>
      </c>
      <c r="H12" s="324">
        <f t="shared" si="1"/>
        <v>0</v>
      </c>
      <c r="I12" s="308"/>
      <c r="J12" s="309">
        <f>+K12+L12</f>
        <v>-0.18084200000000003</v>
      </c>
      <c r="K12" s="349">
        <f>-F40</f>
        <v>-0.18084200000000003</v>
      </c>
      <c r="L12" s="465"/>
      <c r="M12" s="325">
        <f t="shared" si="0"/>
        <v>0</v>
      </c>
    </row>
    <row r="13" spans="2:13" ht="12" customHeight="1">
      <c r="B13" s="303" t="s">
        <v>445</v>
      </c>
      <c r="C13" s="303" t="s">
        <v>441</v>
      </c>
      <c r="D13" s="303" t="s">
        <v>61</v>
      </c>
      <c r="E13" s="300">
        <v>4.7500000000000003E-5</v>
      </c>
      <c r="F13" s="324">
        <f t="shared" si="2"/>
        <v>0.22605250000000002</v>
      </c>
      <c r="G13" s="280">
        <f t="shared" si="3"/>
        <v>0</v>
      </c>
      <c r="H13" s="324">
        <f t="shared" si="1"/>
        <v>0.22605250000000002</v>
      </c>
      <c r="I13" s="308"/>
      <c r="J13" s="311">
        <f t="shared" si="4"/>
        <v>0</v>
      </c>
      <c r="K13" s="309"/>
      <c r="L13" s="465"/>
      <c r="M13" s="568">
        <f t="shared" si="0"/>
        <v>0.22605250000000002</v>
      </c>
    </row>
    <row r="14" spans="2:13" ht="12" customHeight="1">
      <c r="B14" s="303" t="s">
        <v>445</v>
      </c>
      <c r="C14" s="303" t="s">
        <v>442</v>
      </c>
      <c r="D14" s="303" t="s">
        <v>443</v>
      </c>
      <c r="E14" s="298">
        <f>0.00125*2+0.0025*3+0.005</f>
        <v>1.4999999999999999E-2</v>
      </c>
      <c r="F14" s="324">
        <f t="shared" si="2"/>
        <v>71.384999999999991</v>
      </c>
      <c r="G14" s="280">
        <f t="shared" si="3"/>
        <v>0</v>
      </c>
      <c r="H14" s="324">
        <f t="shared" si="1"/>
        <v>71.384999999999991</v>
      </c>
      <c r="I14" s="308"/>
      <c r="J14" s="311">
        <f t="shared" si="4"/>
        <v>0</v>
      </c>
      <c r="K14" s="309"/>
      <c r="L14" s="465"/>
      <c r="M14" s="325">
        <f t="shared" si="0"/>
        <v>71.384999999999991</v>
      </c>
    </row>
    <row r="15" spans="2:13" ht="12" customHeight="1">
      <c r="B15" s="303" t="s">
        <v>445</v>
      </c>
      <c r="C15" s="303" t="s">
        <v>444</v>
      </c>
      <c r="D15" s="303" t="s">
        <v>452</v>
      </c>
      <c r="E15" s="301">
        <f>0.0075*2</f>
        <v>1.4999999999999999E-2</v>
      </c>
      <c r="F15" s="324">
        <f>+$B$1*E15</f>
        <v>71.384999999999991</v>
      </c>
      <c r="G15" s="280">
        <f>+I15+J15</f>
        <v>-71.384999999999991</v>
      </c>
      <c r="H15" s="324">
        <f t="shared" si="1"/>
        <v>0</v>
      </c>
      <c r="I15" s="308"/>
      <c r="J15" s="309">
        <f t="shared" si="4"/>
        <v>-71.384999999999991</v>
      </c>
      <c r="K15" s="309">
        <f>-F42-F43</f>
        <v>-71.384999999999991</v>
      </c>
      <c r="L15" s="465"/>
      <c r="M15" s="325">
        <f t="shared" si="0"/>
        <v>0</v>
      </c>
    </row>
    <row r="16" spans="2:13">
      <c r="B16" s="293"/>
      <c r="C16" s="293"/>
      <c r="D16" s="293"/>
      <c r="E16" s="294">
        <f>SUM(E3:E15)</f>
        <v>1.0000002000000001</v>
      </c>
      <c r="F16" s="297">
        <f>SUM(F3:F15)</f>
        <v>4759.0009518000006</v>
      </c>
      <c r="G16" s="297">
        <f>SUBTOTAL(9,G3:G15)</f>
        <v>5768.3890000000001</v>
      </c>
      <c r="H16" s="297">
        <f t="shared" si="1"/>
        <v>10527.3899518</v>
      </c>
      <c r="I16" s="297">
        <f>SUM(I3:I15)</f>
        <v>5768.389000000001</v>
      </c>
      <c r="J16" s="326">
        <f t="shared" si="4"/>
        <v>0</v>
      </c>
      <c r="K16" s="457">
        <f>SUM(K3:K15)</f>
        <v>-1047.0387736499999</v>
      </c>
      <c r="L16" s="457">
        <f>SUM(L3:L15)</f>
        <v>1047.0387736499999</v>
      </c>
    </row>
    <row r="17" spans="2:14" ht="13.9" customHeight="1"/>
    <row r="18" spans="2:14" ht="14.65" customHeight="1">
      <c r="B18" s="304">
        <v>3043</v>
      </c>
      <c r="C18" s="306"/>
      <c r="D18" s="306"/>
      <c r="E18" s="306"/>
      <c r="F18" s="982"/>
      <c r="G18" s="982"/>
      <c r="H18" s="982"/>
      <c r="I18" s="983"/>
      <c r="J18" s="983"/>
    </row>
    <row r="19" spans="2:14" ht="10.9" customHeight="1">
      <c r="B19" s="304" t="s">
        <v>449</v>
      </c>
      <c r="C19" s="304"/>
      <c r="D19" s="304" t="s">
        <v>450</v>
      </c>
      <c r="E19" s="314" t="s">
        <v>448</v>
      </c>
      <c r="F19" s="353" t="s">
        <v>464</v>
      </c>
      <c r="G19" s="355" t="s">
        <v>4</v>
      </c>
      <c r="H19" s="305" t="s">
        <v>5</v>
      </c>
      <c r="I19" s="305" t="s">
        <v>451</v>
      </c>
      <c r="J19" s="305" t="s">
        <v>454</v>
      </c>
      <c r="K19" s="339" t="s">
        <v>468</v>
      </c>
      <c r="L19" s="340" t="s">
        <v>467</v>
      </c>
    </row>
    <row r="20" spans="2:14" ht="12" customHeight="1">
      <c r="B20" s="290" t="s">
        <v>446</v>
      </c>
      <c r="C20" s="290" t="s">
        <v>430</v>
      </c>
      <c r="D20" s="290" t="s">
        <v>51</v>
      </c>
      <c r="E20" s="302">
        <f>'Merluza sur Industrial'!D50</f>
        <v>0.31731160000000003</v>
      </c>
      <c r="F20" s="337">
        <f t="shared" ref="F20:F27" si="5">+$B$18*E20</f>
        <v>965.57919880000009</v>
      </c>
      <c r="G20" s="280">
        <f t="shared" ref="G20:G27" si="6">+I20+J20</f>
        <v>0</v>
      </c>
      <c r="H20" s="336">
        <f t="shared" ref="H20:H22" si="7">+F20+G20</f>
        <v>965.57919880000009</v>
      </c>
      <c r="I20" s="344"/>
      <c r="J20" s="311">
        <f t="shared" ref="J20:J24" si="8">+K20+L20</f>
        <v>0</v>
      </c>
      <c r="K20" s="280">
        <v>0</v>
      </c>
      <c r="L20" s="280"/>
    </row>
    <row r="21" spans="2:14" ht="12" customHeight="1">
      <c r="B21" s="290" t="s">
        <v>446</v>
      </c>
      <c r="C21" s="290" t="s">
        <v>431</v>
      </c>
      <c r="D21" s="290" t="s">
        <v>53</v>
      </c>
      <c r="E21" s="302">
        <v>5.3330000000000001E-4</v>
      </c>
      <c r="F21" s="337">
        <f t="shared" si="5"/>
        <v>1.6228319</v>
      </c>
      <c r="G21" s="280">
        <f t="shared" si="6"/>
        <v>0</v>
      </c>
      <c r="H21" s="336">
        <f t="shared" si="7"/>
        <v>1.6228319</v>
      </c>
      <c r="I21" s="344"/>
      <c r="J21" s="311">
        <f t="shared" si="8"/>
        <v>0</v>
      </c>
      <c r="K21" s="277"/>
      <c r="L21" s="277"/>
    </row>
    <row r="22" spans="2:14" ht="12" customHeight="1">
      <c r="B22" s="290" t="s">
        <v>446</v>
      </c>
      <c r="C22" s="290" t="s">
        <v>432</v>
      </c>
      <c r="D22" s="290" t="s">
        <v>433</v>
      </c>
      <c r="E22" s="302">
        <v>0</v>
      </c>
      <c r="F22" s="337">
        <f t="shared" si="5"/>
        <v>0</v>
      </c>
      <c r="G22" s="280">
        <f t="shared" si="6"/>
        <v>0</v>
      </c>
      <c r="H22" s="336">
        <f t="shared" si="7"/>
        <v>0</v>
      </c>
      <c r="I22" s="344"/>
      <c r="J22" s="311">
        <f t="shared" si="8"/>
        <v>0</v>
      </c>
      <c r="K22" s="277"/>
      <c r="L22" s="277"/>
    </row>
    <row r="23" spans="2:14" ht="12" customHeight="1">
      <c r="B23" s="290" t="s">
        <v>446</v>
      </c>
      <c r="C23" s="290" t="s">
        <v>434</v>
      </c>
      <c r="D23" s="290" t="s">
        <v>54</v>
      </c>
      <c r="E23" s="302">
        <f>0.0565746+0.0075+0.0125</f>
        <v>7.6574600000000007E-2</v>
      </c>
      <c r="F23" s="337">
        <f t="shared" si="5"/>
        <v>233.01650780000003</v>
      </c>
      <c r="G23" s="280">
        <f>+I23+J23</f>
        <v>300.94557937999997</v>
      </c>
      <c r="H23" s="336">
        <f>+F23+G23</f>
        <v>533.96208718000003</v>
      </c>
      <c r="I23" s="344"/>
      <c r="J23" s="311">
        <f t="shared" si="8"/>
        <v>300.94557937999997</v>
      </c>
      <c r="L23" s="346">
        <f>+F50</f>
        <v>300.94557937999997</v>
      </c>
    </row>
    <row r="24" spans="2:14" ht="12" customHeight="1">
      <c r="B24" s="290" t="s">
        <v>446</v>
      </c>
      <c r="C24" s="290" t="s">
        <v>435</v>
      </c>
      <c r="D24" s="290" t="s">
        <v>55</v>
      </c>
      <c r="E24" s="302">
        <v>3.9747999999999997E-3</v>
      </c>
      <c r="F24" s="337">
        <f t="shared" si="5"/>
        <v>12.0953164</v>
      </c>
      <c r="G24" s="280">
        <f t="shared" si="6"/>
        <v>0</v>
      </c>
      <c r="H24" s="336">
        <f t="shared" ref="H24:H27" si="9">+F24+G24</f>
        <v>12.0953164</v>
      </c>
      <c r="I24" s="344"/>
      <c r="J24" s="311">
        <f t="shared" si="8"/>
        <v>0</v>
      </c>
      <c r="K24" s="277"/>
      <c r="L24" s="277"/>
    </row>
    <row r="25" spans="2:14" ht="12" customHeight="1">
      <c r="B25" s="290" t="s">
        <v>446</v>
      </c>
      <c r="C25" s="290" t="s">
        <v>436</v>
      </c>
      <c r="D25" s="290" t="s">
        <v>56</v>
      </c>
      <c r="E25" s="302">
        <f>0.4727081+0.0988977</f>
        <v>0.57160580000000005</v>
      </c>
      <c r="F25" s="337">
        <f t="shared" si="5"/>
        <v>1739.3964494000002</v>
      </c>
      <c r="G25" s="280">
        <f>+I25+J25</f>
        <v>-15.025579379999954</v>
      </c>
      <c r="H25" s="336">
        <f t="shared" si="9"/>
        <v>1724.3708700200002</v>
      </c>
      <c r="I25" s="439">
        <f>54.508+185.767</f>
        <v>240.27500000000001</v>
      </c>
      <c r="J25" s="309">
        <f>+K25+L25</f>
        <v>-255.30057937999996</v>
      </c>
      <c r="K25" s="347">
        <f>-+J23</f>
        <v>-300.94557937999997</v>
      </c>
      <c r="L25" s="345">
        <f>22.8225+22.8225</f>
        <v>45.645000000000003</v>
      </c>
      <c r="N25" s="325">
        <f>+H25-I25</f>
        <v>1484.0958700200001</v>
      </c>
    </row>
    <row r="26" spans="2:14" ht="12" customHeight="1">
      <c r="B26" s="290" t="s">
        <v>446</v>
      </c>
      <c r="C26" s="290" t="s">
        <v>442</v>
      </c>
      <c r="D26" s="290" t="s">
        <v>443</v>
      </c>
      <c r="E26" s="302">
        <f>+(0.00125*2)+(0.0025*3)+0.005</f>
        <v>1.4999999999999999E-2</v>
      </c>
      <c r="F26" s="337">
        <f t="shared" si="5"/>
        <v>45.644999999999996</v>
      </c>
      <c r="G26" s="280">
        <f t="shared" si="6"/>
        <v>0</v>
      </c>
      <c r="H26" s="336">
        <f t="shared" si="9"/>
        <v>45.644999999999996</v>
      </c>
      <c r="I26" s="344"/>
      <c r="J26" s="311">
        <f t="shared" ref="J26:J27" si="10">+K26+L26</f>
        <v>0</v>
      </c>
      <c r="K26" s="277"/>
      <c r="L26" s="277"/>
    </row>
    <row r="27" spans="2:14" ht="12" customHeight="1">
      <c r="B27" s="290" t="s">
        <v>446</v>
      </c>
      <c r="C27" s="290" t="s">
        <v>444</v>
      </c>
      <c r="D27" s="290" t="s">
        <v>65</v>
      </c>
      <c r="E27" s="302">
        <f>0.0075*2</f>
        <v>1.4999999999999999E-2</v>
      </c>
      <c r="F27" s="337">
        <f t="shared" si="5"/>
        <v>45.644999999999996</v>
      </c>
      <c r="G27" s="280">
        <f t="shared" si="6"/>
        <v>-45.645000000000003</v>
      </c>
      <c r="H27" s="336">
        <f t="shared" si="9"/>
        <v>0</v>
      </c>
      <c r="I27" s="344">
        <v>0</v>
      </c>
      <c r="J27" s="309">
        <f t="shared" si="10"/>
        <v>-45.645000000000003</v>
      </c>
      <c r="K27" s="356">
        <f>-22.8225-22.8225</f>
        <v>-45.645000000000003</v>
      </c>
      <c r="L27" s="277"/>
    </row>
    <row r="28" spans="2:14">
      <c r="B28" s="315"/>
      <c r="C28" s="315"/>
      <c r="D28" s="315"/>
      <c r="E28" s="314">
        <f>SUM(E20:E27)</f>
        <v>1.0000001000000001</v>
      </c>
      <c r="F28" s="476">
        <f t="shared" ref="F28:H28" si="11">SUM(F20:F27)</f>
        <v>3043.0003043000006</v>
      </c>
      <c r="G28" s="343">
        <f>SUM(G20:G27)</f>
        <v>240.27500000000001</v>
      </c>
      <c r="H28" s="314">
        <f t="shared" si="11"/>
        <v>3283.2753043000002</v>
      </c>
      <c r="I28" s="343">
        <f>SUM(I20:I27)</f>
        <v>240.27500000000001</v>
      </c>
      <c r="J28" s="343">
        <f>SUM(J20:J27)</f>
        <v>0</v>
      </c>
      <c r="K28" s="457">
        <f>SUM(K20:K27)</f>
        <v>-346.59057937999995</v>
      </c>
      <c r="L28" s="457">
        <f>SUM(L20:L27)</f>
        <v>346.59057937999995</v>
      </c>
    </row>
    <row r="30" spans="2:14">
      <c r="G30" s="461"/>
      <c r="I30" s="325"/>
    </row>
    <row r="31" spans="2:14">
      <c r="I31" s="325"/>
    </row>
    <row r="32" spans="2:14" ht="15" customHeight="1"/>
    <row r="33" spans="1:8" ht="21.6" customHeight="1">
      <c r="B33" s="989" t="s">
        <v>456</v>
      </c>
      <c r="C33" s="990"/>
      <c r="D33" s="990"/>
      <c r="E33" s="991"/>
      <c r="G33" s="358"/>
      <c r="H33" s="359"/>
    </row>
    <row r="34" spans="1:8" ht="12" customHeight="1">
      <c r="B34" s="292" t="s">
        <v>457</v>
      </c>
      <c r="C34" s="354" t="s">
        <v>465</v>
      </c>
      <c r="D34" s="292" t="s">
        <v>455</v>
      </c>
      <c r="E34" s="292" t="s">
        <v>242</v>
      </c>
      <c r="F34" s="313" t="s">
        <v>473</v>
      </c>
      <c r="G34" s="360" t="s">
        <v>30</v>
      </c>
      <c r="H34" s="361" t="s">
        <v>475</v>
      </c>
    </row>
    <row r="35" spans="1:8" ht="10.9" customHeight="1">
      <c r="B35" s="570">
        <v>286</v>
      </c>
      <c r="C35" s="350">
        <v>43496</v>
      </c>
      <c r="D35" s="279" t="s">
        <v>479</v>
      </c>
      <c r="E35" s="352">
        <v>0.15312100000000001</v>
      </c>
      <c r="F35" s="351">
        <f t="shared" ref="F35:F39" si="12">+E35*$B$1</f>
        <v>728.70283900000004</v>
      </c>
      <c r="G35" s="465" t="s">
        <v>459</v>
      </c>
      <c r="H35" s="465" t="s">
        <v>460</v>
      </c>
    </row>
    <row r="36" spans="1:8" ht="12" customHeight="1">
      <c r="B36" s="571">
        <v>287</v>
      </c>
      <c r="C36" s="451">
        <v>43496</v>
      </c>
      <c r="D36" s="450" t="s">
        <v>483</v>
      </c>
      <c r="E36" s="452">
        <v>0</v>
      </c>
      <c r="F36" s="453">
        <f>+E36*$B$1</f>
        <v>0</v>
      </c>
      <c r="G36" s="477" t="s">
        <v>460</v>
      </c>
      <c r="H36" s="477" t="s">
        <v>459</v>
      </c>
    </row>
    <row r="37" spans="1:8" ht="10.9" customHeight="1">
      <c r="B37" s="570">
        <v>288</v>
      </c>
      <c r="C37" s="310">
        <v>43496</v>
      </c>
      <c r="D37" s="279" t="s">
        <v>470</v>
      </c>
      <c r="E37" s="352">
        <v>2.879E-2</v>
      </c>
      <c r="F37" s="281">
        <f t="shared" si="12"/>
        <v>137.01160999999999</v>
      </c>
      <c r="G37" s="465" t="s">
        <v>462</v>
      </c>
      <c r="H37" s="465" t="s">
        <v>459</v>
      </c>
    </row>
    <row r="38" spans="1:8" ht="12" customHeight="1">
      <c r="B38" s="571">
        <v>289</v>
      </c>
      <c r="C38" s="449">
        <v>43496</v>
      </c>
      <c r="D38" s="450" t="s">
        <v>482</v>
      </c>
      <c r="E38" s="452">
        <v>0</v>
      </c>
      <c r="F38" s="474">
        <f t="shared" si="12"/>
        <v>0</v>
      </c>
      <c r="G38" s="454" t="s">
        <v>459</v>
      </c>
      <c r="H38" s="454" t="s">
        <v>462</v>
      </c>
    </row>
    <row r="39" spans="1:8" ht="12" customHeight="1">
      <c r="B39" s="570">
        <v>377</v>
      </c>
      <c r="C39" s="310">
        <v>43501</v>
      </c>
      <c r="D39" s="279" t="s">
        <v>466</v>
      </c>
      <c r="E39" s="352">
        <v>7.6800000000000002E-3</v>
      </c>
      <c r="F39" s="281">
        <f t="shared" si="12"/>
        <v>36.549120000000002</v>
      </c>
      <c r="G39" s="465" t="s">
        <v>460</v>
      </c>
      <c r="H39" s="465" t="s">
        <v>459</v>
      </c>
    </row>
    <row r="40" spans="1:8" ht="12" customHeight="1">
      <c r="B40" s="572">
        <v>402</v>
      </c>
      <c r="C40" s="435">
        <v>43502</v>
      </c>
      <c r="D40" s="436" t="s">
        <v>469</v>
      </c>
      <c r="E40" s="437">
        <v>4.0000000000000003E-5</v>
      </c>
      <c r="F40" s="438">
        <f>+E40*$B$1*95%</f>
        <v>0.18084200000000003</v>
      </c>
      <c r="G40" s="465" t="s">
        <v>461</v>
      </c>
      <c r="H40" s="465" t="s">
        <v>460</v>
      </c>
    </row>
    <row r="41" spans="1:8" ht="12" customHeight="1">
      <c r="B41" s="572">
        <v>745</v>
      </c>
      <c r="C41" s="435">
        <v>43522</v>
      </c>
      <c r="D41" s="436" t="s">
        <v>478</v>
      </c>
      <c r="E41" s="437">
        <v>1.6192999999999999E-2</v>
      </c>
      <c r="F41" s="438">
        <f>+E41*$B$1*95%</f>
        <v>73.209362649999989</v>
      </c>
      <c r="G41" s="465" t="s">
        <v>459</v>
      </c>
      <c r="H41" s="465" t="s">
        <v>458</v>
      </c>
    </row>
    <row r="42" spans="1:8">
      <c r="B42" s="572">
        <v>1806</v>
      </c>
      <c r="C42" s="435">
        <v>43595</v>
      </c>
      <c r="D42" s="436" t="s">
        <v>530</v>
      </c>
      <c r="E42" s="437">
        <v>7.4999999999999997E-3</v>
      </c>
      <c r="F42" s="569">
        <f>+E42*$B$1</f>
        <v>35.692499999999995</v>
      </c>
      <c r="G42" s="465" t="s">
        <v>529</v>
      </c>
      <c r="H42" s="465" t="s">
        <v>459</v>
      </c>
    </row>
    <row r="43" spans="1:8">
      <c r="B43" s="572">
        <v>1807</v>
      </c>
      <c r="C43" s="435">
        <v>43595</v>
      </c>
      <c r="D43" s="436" t="s">
        <v>530</v>
      </c>
      <c r="E43" s="437">
        <v>7.4999999999999997E-3</v>
      </c>
      <c r="F43" s="569">
        <f>+E43*$B$1</f>
        <v>35.692499999999995</v>
      </c>
      <c r="G43" s="465" t="s">
        <v>529</v>
      </c>
      <c r="H43" s="465" t="s">
        <v>459</v>
      </c>
    </row>
    <row r="44" spans="1:8" s="610" customFormat="1">
      <c r="A44" s="41"/>
      <c r="B44" s="604"/>
      <c r="C44" s="605"/>
      <c r="D44" s="606"/>
      <c r="E44" s="607"/>
      <c r="F44" s="608"/>
      <c r="G44" s="609"/>
      <c r="H44" s="609"/>
    </row>
    <row r="45" spans="1:8" s="610" customFormat="1">
      <c r="A45" s="41"/>
      <c r="B45" s="604"/>
      <c r="C45" s="605"/>
      <c r="D45" s="606"/>
      <c r="E45" s="607"/>
      <c r="F45" s="608"/>
      <c r="G45" s="609"/>
      <c r="H45" s="609"/>
    </row>
    <row r="46" spans="1:8" s="610" customFormat="1">
      <c r="A46" s="41"/>
      <c r="B46" s="604"/>
      <c r="C46" s="605"/>
      <c r="D46" s="606"/>
      <c r="E46" s="607"/>
      <c r="F46" s="608"/>
      <c r="G46" s="609"/>
      <c r="H46" s="609"/>
    </row>
    <row r="47" spans="1:8">
      <c r="E47" s="316"/>
    </row>
    <row r="48" spans="1:8" ht="22.5">
      <c r="B48" s="986" t="s">
        <v>477</v>
      </c>
      <c r="C48" s="987"/>
      <c r="D48" s="987"/>
      <c r="E48" s="988"/>
      <c r="G48" s="358"/>
      <c r="H48" s="359"/>
    </row>
    <row r="49" spans="2:8" ht="15.4" customHeight="1">
      <c r="B49" s="466" t="s">
        <v>457</v>
      </c>
      <c r="C49" s="467" t="s">
        <v>465</v>
      </c>
      <c r="D49" s="466" t="s">
        <v>455</v>
      </c>
      <c r="E49" s="466" t="s">
        <v>242</v>
      </c>
      <c r="F49" s="466" t="s">
        <v>473</v>
      </c>
      <c r="G49" s="468" t="s">
        <v>30</v>
      </c>
      <c r="H49" s="469" t="s">
        <v>475</v>
      </c>
    </row>
    <row r="50" spans="2:8" ht="12" customHeight="1">
      <c r="B50" s="471">
        <v>746</v>
      </c>
      <c r="C50" s="459">
        <v>43522</v>
      </c>
      <c r="D50" s="472" t="s">
        <v>474</v>
      </c>
      <c r="E50" s="473">
        <v>0.1041028</v>
      </c>
      <c r="F50" s="460">
        <f>+E50*B18*95%</f>
        <v>300.94557937999997</v>
      </c>
      <c r="G50" s="465" t="s">
        <v>459</v>
      </c>
      <c r="H50" s="465" t="s">
        <v>458</v>
      </c>
    </row>
    <row r="51" spans="2:8">
      <c r="B51" s="277">
        <v>1362</v>
      </c>
      <c r="C51" s="335">
        <v>43566</v>
      </c>
      <c r="D51" s="277" t="s">
        <v>471</v>
      </c>
      <c r="E51" s="277">
        <v>7.4999999999999997E-3</v>
      </c>
      <c r="F51" s="338">
        <v>22.822500000000002</v>
      </c>
      <c r="G51" s="465" t="s">
        <v>476</v>
      </c>
      <c r="H51" s="465" t="s">
        <v>459</v>
      </c>
    </row>
    <row r="52" spans="2:8">
      <c r="B52" s="277">
        <v>1363</v>
      </c>
      <c r="C52" s="335">
        <v>43566</v>
      </c>
      <c r="D52" s="277" t="s">
        <v>472</v>
      </c>
      <c r="E52" s="334">
        <v>7.4999999999999997E-3</v>
      </c>
      <c r="F52" s="338">
        <v>22.822500000000002</v>
      </c>
      <c r="G52" s="465" t="s">
        <v>476</v>
      </c>
      <c r="H52" s="465" t="s">
        <v>459</v>
      </c>
    </row>
    <row r="53" spans="2:8">
      <c r="E53" s="276"/>
      <c r="F53" s="276"/>
      <c r="G53" s="276"/>
    </row>
    <row r="55" spans="2:8" ht="22.5">
      <c r="B55" s="992" t="s">
        <v>509</v>
      </c>
      <c r="C55" s="993"/>
      <c r="D55" s="993"/>
      <c r="E55" s="994"/>
      <c r="F55" s="475">
        <f>SUM(F57:F111)</f>
        <v>12372.800000000001</v>
      </c>
      <c r="G55" s="470"/>
      <c r="H55" s="359"/>
    </row>
    <row r="56" spans="2:8" ht="15.6" customHeight="1">
      <c r="B56" s="466" t="s">
        <v>457</v>
      </c>
      <c r="C56" s="467" t="s">
        <v>465</v>
      </c>
      <c r="D56" s="984" t="s">
        <v>510</v>
      </c>
      <c r="E56" s="985"/>
      <c r="F56" s="466" t="s">
        <v>473</v>
      </c>
      <c r="G56" s="556" t="s">
        <v>524</v>
      </c>
      <c r="H56" s="469" t="s">
        <v>525</v>
      </c>
    </row>
    <row r="57" spans="2:8">
      <c r="B57" s="462">
        <v>392</v>
      </c>
      <c r="C57" s="463">
        <v>43502</v>
      </c>
      <c r="D57" s="978" t="s">
        <v>484</v>
      </c>
      <c r="E57" s="979"/>
      <c r="F57" s="464">
        <v>305.55599999999998</v>
      </c>
      <c r="G57" s="465" t="s">
        <v>492</v>
      </c>
      <c r="H57" s="465" t="s">
        <v>462</v>
      </c>
    </row>
    <row r="58" spans="2:8">
      <c r="B58" s="462">
        <v>396</v>
      </c>
      <c r="C58" s="463">
        <v>43502</v>
      </c>
      <c r="D58" s="978" t="s">
        <v>485</v>
      </c>
      <c r="E58" s="979"/>
      <c r="F58" s="464">
        <v>106</v>
      </c>
      <c r="G58" s="465" t="s">
        <v>492</v>
      </c>
      <c r="H58" s="465" t="s">
        <v>462</v>
      </c>
    </row>
    <row r="59" spans="2:8" ht="15.6" customHeight="1">
      <c r="B59" s="462">
        <v>442</v>
      </c>
      <c r="C59" s="463">
        <v>43503</v>
      </c>
      <c r="D59" s="978" t="s">
        <v>506</v>
      </c>
      <c r="E59" s="979"/>
      <c r="F59" s="464">
        <v>193.87899999999999</v>
      </c>
      <c r="G59" s="465" t="s">
        <v>491</v>
      </c>
      <c r="H59" s="465" t="s">
        <v>462</v>
      </c>
    </row>
    <row r="60" spans="2:8">
      <c r="B60" s="462">
        <v>446</v>
      </c>
      <c r="C60" s="463">
        <v>43503</v>
      </c>
      <c r="D60" s="978" t="s">
        <v>490</v>
      </c>
      <c r="E60" s="979"/>
      <c r="F60" s="464">
        <v>27.254000000000001</v>
      </c>
      <c r="G60" s="465" t="s">
        <v>493</v>
      </c>
      <c r="H60" s="465" t="s">
        <v>494</v>
      </c>
    </row>
    <row r="61" spans="2:8">
      <c r="B61" s="462">
        <v>531</v>
      </c>
      <c r="C61" s="463">
        <v>43503</v>
      </c>
      <c r="D61" s="978" t="s">
        <v>507</v>
      </c>
      <c r="E61" s="979"/>
      <c r="F61" s="464">
        <v>722.274</v>
      </c>
      <c r="G61" s="465" t="s">
        <v>491</v>
      </c>
      <c r="H61" s="465" t="s">
        <v>460</v>
      </c>
    </row>
    <row r="62" spans="2:8">
      <c r="B62" s="462">
        <v>532</v>
      </c>
      <c r="C62" s="463">
        <v>43503</v>
      </c>
      <c r="D62" s="978" t="s">
        <v>508</v>
      </c>
      <c r="E62" s="979"/>
      <c r="F62" s="464">
        <v>1402.471</v>
      </c>
      <c r="G62" s="465" t="s">
        <v>491</v>
      </c>
      <c r="H62" s="465" t="s">
        <v>494</v>
      </c>
    </row>
    <row r="63" spans="2:8">
      <c r="B63" s="462">
        <v>564</v>
      </c>
      <c r="C63" s="463">
        <v>43507</v>
      </c>
      <c r="D63" s="978" t="s">
        <v>505</v>
      </c>
      <c r="E63" s="979"/>
      <c r="F63" s="464">
        <v>1363.3109999999999</v>
      </c>
      <c r="G63" s="465" t="s">
        <v>493</v>
      </c>
      <c r="H63" s="465" t="s">
        <v>494</v>
      </c>
    </row>
    <row r="64" spans="2:8">
      <c r="B64" s="462">
        <v>674</v>
      </c>
      <c r="C64" s="463">
        <v>43516</v>
      </c>
      <c r="D64" s="978" t="s">
        <v>504</v>
      </c>
      <c r="E64" s="979"/>
      <c r="F64" s="464">
        <v>167.67400000000001</v>
      </c>
      <c r="G64" s="465" t="s">
        <v>491</v>
      </c>
      <c r="H64" s="465" t="s">
        <v>494</v>
      </c>
    </row>
    <row r="65" spans="2:8">
      <c r="B65" s="462">
        <v>675</v>
      </c>
      <c r="C65" s="463">
        <v>43516</v>
      </c>
      <c r="D65" s="978" t="s">
        <v>503</v>
      </c>
      <c r="E65" s="979"/>
      <c r="F65" s="464">
        <v>40.600999999999999</v>
      </c>
      <c r="G65" s="465" t="s">
        <v>491</v>
      </c>
      <c r="H65" s="465" t="s">
        <v>494</v>
      </c>
    </row>
    <row r="66" spans="2:8">
      <c r="B66" s="462">
        <v>678</v>
      </c>
      <c r="C66" s="463">
        <v>43516</v>
      </c>
      <c r="D66" s="978" t="s">
        <v>511</v>
      </c>
      <c r="E66" s="979"/>
      <c r="F66" s="464">
        <v>54.508000000000003</v>
      </c>
      <c r="G66" s="465" t="s">
        <v>493</v>
      </c>
      <c r="H66" s="465" t="s">
        <v>459</v>
      </c>
    </row>
    <row r="67" spans="2:8">
      <c r="B67" s="462">
        <v>687</v>
      </c>
      <c r="C67" s="463">
        <v>43516</v>
      </c>
      <c r="D67" s="978" t="s">
        <v>502</v>
      </c>
      <c r="E67" s="979"/>
      <c r="F67" s="464">
        <v>5.2220000000000004</v>
      </c>
      <c r="G67" s="465" t="s">
        <v>491</v>
      </c>
      <c r="H67" s="465" t="s">
        <v>494</v>
      </c>
    </row>
    <row r="68" spans="2:8">
      <c r="B68" s="462">
        <v>688</v>
      </c>
      <c r="C68" s="463">
        <v>43516</v>
      </c>
      <c r="D68" s="978" t="s">
        <v>512</v>
      </c>
      <c r="E68" s="979"/>
      <c r="F68" s="464">
        <v>185.767</v>
      </c>
      <c r="G68" s="465" t="s">
        <v>493</v>
      </c>
      <c r="H68" s="465" t="s">
        <v>459</v>
      </c>
    </row>
    <row r="69" spans="2:8">
      <c r="B69" s="462">
        <v>797</v>
      </c>
      <c r="C69" s="463">
        <v>43524</v>
      </c>
      <c r="D69" s="978" t="s">
        <v>495</v>
      </c>
      <c r="E69" s="979"/>
      <c r="F69" s="464">
        <v>167.77799999999999</v>
      </c>
      <c r="G69" s="465" t="s">
        <v>492</v>
      </c>
      <c r="H69" s="465" t="s">
        <v>459</v>
      </c>
    </row>
    <row r="70" spans="2:8">
      <c r="B70" s="462">
        <v>798</v>
      </c>
      <c r="C70" s="463">
        <v>43524</v>
      </c>
      <c r="D70" s="978" t="s">
        <v>496</v>
      </c>
      <c r="E70" s="979"/>
      <c r="F70" s="464">
        <v>222.22200000000001</v>
      </c>
      <c r="G70" s="465" t="s">
        <v>492</v>
      </c>
      <c r="H70" s="465" t="s">
        <v>459</v>
      </c>
    </row>
    <row r="71" spans="2:8">
      <c r="B71" s="462">
        <v>799</v>
      </c>
      <c r="C71" s="463">
        <v>43524</v>
      </c>
      <c r="D71" s="978" t="s">
        <v>497</v>
      </c>
      <c r="E71" s="979"/>
      <c r="F71" s="464">
        <v>147.667</v>
      </c>
      <c r="G71" s="465" t="s">
        <v>492</v>
      </c>
      <c r="H71" s="465" t="s">
        <v>459</v>
      </c>
    </row>
    <row r="72" spans="2:8">
      <c r="B72" s="462">
        <v>809</v>
      </c>
      <c r="C72" s="463">
        <v>43528</v>
      </c>
      <c r="D72" s="978" t="s">
        <v>501</v>
      </c>
      <c r="E72" s="979"/>
      <c r="F72" s="464">
        <v>177.50700000000001</v>
      </c>
      <c r="G72" s="465" t="s">
        <v>491</v>
      </c>
      <c r="H72" s="465" t="s">
        <v>494</v>
      </c>
    </row>
    <row r="73" spans="2:8">
      <c r="B73" s="462">
        <v>810</v>
      </c>
      <c r="C73" s="463">
        <v>43528</v>
      </c>
      <c r="D73" s="978" t="s">
        <v>500</v>
      </c>
      <c r="E73" s="979"/>
      <c r="F73" s="464">
        <v>27.254000000000001</v>
      </c>
      <c r="G73" s="465" t="s">
        <v>493</v>
      </c>
      <c r="H73" s="465" t="s">
        <v>494</v>
      </c>
    </row>
    <row r="74" spans="2:8">
      <c r="B74" s="462">
        <v>811</v>
      </c>
      <c r="C74" s="463">
        <v>43528</v>
      </c>
      <c r="D74" s="978" t="s">
        <v>498</v>
      </c>
      <c r="E74" s="979"/>
      <c r="F74" s="464">
        <v>324.44799999999998</v>
      </c>
      <c r="G74" s="465" t="s">
        <v>492</v>
      </c>
      <c r="H74" s="465" t="s">
        <v>459</v>
      </c>
    </row>
    <row r="75" spans="2:8">
      <c r="B75" s="462">
        <v>1096</v>
      </c>
      <c r="C75" s="463">
        <v>43552</v>
      </c>
      <c r="D75" s="978" t="s">
        <v>488</v>
      </c>
      <c r="E75" s="979"/>
      <c r="F75" s="464">
        <v>15.923999999999999</v>
      </c>
      <c r="G75" s="465" t="s">
        <v>491</v>
      </c>
      <c r="H75" s="465" t="s">
        <v>460</v>
      </c>
    </row>
    <row r="76" spans="2:8">
      <c r="B76" s="462">
        <v>1097</v>
      </c>
      <c r="C76" s="463">
        <v>43552</v>
      </c>
      <c r="D76" s="978" t="s">
        <v>486</v>
      </c>
      <c r="E76" s="979"/>
      <c r="F76" s="464">
        <v>18.446000000000002</v>
      </c>
      <c r="G76" s="465" t="s">
        <v>491</v>
      </c>
      <c r="H76" s="465" t="s">
        <v>462</v>
      </c>
    </row>
    <row r="77" spans="2:8">
      <c r="B77" s="462">
        <v>1109</v>
      </c>
      <c r="C77" s="463">
        <v>43553</v>
      </c>
      <c r="D77" s="978" t="s">
        <v>499</v>
      </c>
      <c r="E77" s="979"/>
      <c r="F77" s="464">
        <v>13.627000000000001</v>
      </c>
      <c r="G77" s="465" t="s">
        <v>493</v>
      </c>
      <c r="H77" s="465" t="s">
        <v>494</v>
      </c>
    </row>
    <row r="78" spans="2:8">
      <c r="B78" s="462">
        <v>1195</v>
      </c>
      <c r="C78" s="463">
        <v>43553</v>
      </c>
      <c r="D78" s="978" t="s">
        <v>489</v>
      </c>
      <c r="E78" s="979"/>
      <c r="F78" s="464">
        <v>59.755000000000003</v>
      </c>
      <c r="G78" s="465" t="s">
        <v>491</v>
      </c>
      <c r="H78" s="465" t="s">
        <v>460</v>
      </c>
    </row>
    <row r="79" spans="2:8">
      <c r="B79" s="462">
        <v>1356</v>
      </c>
      <c r="C79" s="463">
        <v>43565</v>
      </c>
      <c r="D79" s="978" t="s">
        <v>487</v>
      </c>
      <c r="E79" s="979"/>
      <c r="F79" s="464">
        <v>248.69</v>
      </c>
      <c r="G79" s="465" t="s">
        <v>492</v>
      </c>
      <c r="H79" s="465" t="s">
        <v>494</v>
      </c>
    </row>
    <row r="80" spans="2:8">
      <c r="B80" s="462">
        <v>1464</v>
      </c>
      <c r="C80" s="463">
        <v>43572</v>
      </c>
      <c r="D80" s="978" t="str">
        <f t="shared" ref="D80:D86" si="13">+"R Ex "&amp;B80&amp;" Cesion de "&amp;F80&amp;" ton de region "&amp;G80&amp;"  a "&amp;H80&amp;""</f>
        <v>R Ex 1464 Cesion de 10,819 ton de region Aysen  a Grimar</v>
      </c>
      <c r="E80" s="979"/>
      <c r="F80" s="688">
        <v>10.819000000000001</v>
      </c>
      <c r="G80" s="465" t="s">
        <v>491</v>
      </c>
      <c r="H80" s="465" t="s">
        <v>462</v>
      </c>
    </row>
    <row r="81" spans="1:14" ht="14.45" customHeight="1">
      <c r="B81" s="462">
        <v>1716</v>
      </c>
      <c r="C81" s="463">
        <v>43592</v>
      </c>
      <c r="D81" s="978" t="str">
        <f t="shared" si="13"/>
        <v>R Ex 1716 Cesion de 12,5 ton de region Magallanes  a Deris</v>
      </c>
      <c r="E81" s="979"/>
      <c r="F81" s="464">
        <v>12.5</v>
      </c>
      <c r="G81" s="465" t="s">
        <v>493</v>
      </c>
      <c r="H81" s="465" t="s">
        <v>459</v>
      </c>
      <c r="I81" s="995"/>
      <c r="J81" s="996"/>
      <c r="K81" s="996"/>
      <c r="L81" s="996"/>
      <c r="M81" s="996"/>
      <c r="N81" s="996"/>
    </row>
    <row r="82" spans="1:14" ht="14.45" customHeight="1">
      <c r="B82" s="589">
        <v>2034</v>
      </c>
      <c r="C82" s="590">
        <v>43613</v>
      </c>
      <c r="D82" s="978" t="str">
        <f t="shared" si="13"/>
        <v>R Ex 2034 Cesion de 6,935 ton de region Aysen  a Grimar</v>
      </c>
      <c r="E82" s="979"/>
      <c r="F82" s="591">
        <v>6.9349999999999996</v>
      </c>
      <c r="G82" s="465" t="s">
        <v>491</v>
      </c>
      <c r="H82" s="465" t="s">
        <v>462</v>
      </c>
      <c r="I82" s="601"/>
      <c r="K82" s="601"/>
      <c r="L82" s="601"/>
      <c r="M82" s="601"/>
      <c r="N82" s="601"/>
    </row>
    <row r="83" spans="1:14" ht="14.45" customHeight="1">
      <c r="B83" s="462">
        <v>2143</v>
      </c>
      <c r="C83" s="463">
        <v>43627</v>
      </c>
      <c r="D83" s="978" t="str">
        <f t="shared" si="13"/>
        <v xml:space="preserve">R Ex 2143 Cesion de 13,627 ton de region Magallanes  a Emdepes </v>
      </c>
      <c r="E83" s="979"/>
      <c r="F83" s="464">
        <v>13.627000000000001</v>
      </c>
      <c r="G83" s="465" t="s">
        <v>493</v>
      </c>
      <c r="H83" s="465" t="s">
        <v>494</v>
      </c>
      <c r="I83" s="601"/>
      <c r="J83" s="601"/>
      <c r="K83" s="601"/>
      <c r="L83" s="601"/>
      <c r="M83" s="601"/>
      <c r="N83" s="601"/>
    </row>
    <row r="84" spans="1:14" ht="14.45" customHeight="1">
      <c r="B84" s="589">
        <v>2144</v>
      </c>
      <c r="C84" s="590">
        <v>43627</v>
      </c>
      <c r="D84" s="978" t="str">
        <f t="shared" si="13"/>
        <v xml:space="preserve">R Ex 2144 Cesion de 11,58 ton de region Aysen  a Emdepes </v>
      </c>
      <c r="E84" s="979"/>
      <c r="F84" s="591">
        <v>11.58</v>
      </c>
      <c r="G84" s="465" t="s">
        <v>491</v>
      </c>
      <c r="H84" s="465" t="s">
        <v>494</v>
      </c>
      <c r="I84" s="601"/>
      <c r="J84" s="278"/>
      <c r="K84" s="601"/>
      <c r="L84" s="601"/>
      <c r="M84" s="601"/>
      <c r="N84" s="601"/>
    </row>
    <row r="85" spans="1:14" ht="14.45" customHeight="1">
      <c r="B85" s="589">
        <v>2145</v>
      </c>
      <c r="C85" s="590">
        <v>43627</v>
      </c>
      <c r="D85" s="980" t="str">
        <f t="shared" si="13"/>
        <v xml:space="preserve">R Ex 2145 Cesion de 3,889 ton de region Aysen  a Emdepes </v>
      </c>
      <c r="E85" s="981"/>
      <c r="F85" s="598">
        <v>3.8889999999999998</v>
      </c>
      <c r="G85" s="465" t="s">
        <v>491</v>
      </c>
      <c r="H85" s="465" t="s">
        <v>494</v>
      </c>
      <c r="I85" s="601"/>
      <c r="J85" s="601"/>
      <c r="K85" s="601"/>
      <c r="L85" s="601"/>
      <c r="M85" s="601"/>
      <c r="N85" s="601"/>
    </row>
    <row r="86" spans="1:14">
      <c r="A86" t="s">
        <v>531</v>
      </c>
      <c r="B86" s="462">
        <v>2146</v>
      </c>
      <c r="C86" s="463">
        <v>43627</v>
      </c>
      <c r="D86" s="978" t="str">
        <f t="shared" si="13"/>
        <v>R Ex 2146 Cesion de 0,34 ton de region Aysen AG 833  a Aysen AG 11.02.0029</v>
      </c>
      <c r="E86" s="979"/>
      <c r="F86" s="464">
        <v>0.34</v>
      </c>
      <c r="G86" s="465" t="s">
        <v>532</v>
      </c>
      <c r="H86" s="465" t="s">
        <v>533</v>
      </c>
      <c r="I86" s="602"/>
      <c r="J86" s="602"/>
      <c r="K86" s="602"/>
      <c r="L86" s="602"/>
      <c r="M86" s="602"/>
      <c r="N86" s="602"/>
    </row>
    <row r="87" spans="1:14">
      <c r="B87" s="462">
        <v>2</v>
      </c>
      <c r="C87" s="463">
        <v>43649</v>
      </c>
      <c r="D87" s="978" t="str">
        <f t="shared" ref="D87" si="14">+"R Ex "&amp;B87&amp;" Cesion de "&amp;F87&amp;" ton de region "&amp;G87&amp;"  a "&amp;H87&amp;""</f>
        <v>R Ex 2 Cesion de 118,581 ton de region Los Lagos, Puerto Montt C   a Deris</v>
      </c>
      <c r="E87" s="979"/>
      <c r="F87" s="464">
        <v>118.581</v>
      </c>
      <c r="G87" s="465" t="s">
        <v>541</v>
      </c>
      <c r="H87" s="465" t="s">
        <v>459</v>
      </c>
      <c r="I87" s="602"/>
      <c r="J87" s="602"/>
      <c r="K87" s="602"/>
      <c r="L87" s="602"/>
      <c r="M87" s="602"/>
      <c r="N87" s="602"/>
    </row>
    <row r="88" spans="1:14">
      <c r="B88" s="462">
        <v>6</v>
      </c>
      <c r="C88" s="463">
        <v>43649</v>
      </c>
      <c r="D88" s="978" t="str">
        <f t="shared" ref="D88" si="15">+"R Ex "&amp;B88&amp;" Cesion de "&amp;F88&amp;" ton de region "&amp;G88&amp;"  a "&amp;H88&amp;""</f>
        <v>R Ex 6 Cesion de 10,294 ton de region Los Lagos, Calbuco D  a Grimar</v>
      </c>
      <c r="E88" s="979"/>
      <c r="F88" s="464">
        <v>10.294</v>
      </c>
      <c r="G88" s="465" t="s">
        <v>534</v>
      </c>
      <c r="H88" s="465" t="s">
        <v>462</v>
      </c>
    </row>
    <row r="89" spans="1:14">
      <c r="F89" s="278">
        <f>SUBTOTAL(9,F57:F88)</f>
        <v>6186.4000000000005</v>
      </c>
    </row>
    <row r="92" spans="1:14">
      <c r="D92" s="276" t="s">
        <v>542</v>
      </c>
    </row>
    <row r="93" spans="1:14">
      <c r="F93" s="689"/>
      <c r="G93" s="689"/>
    </row>
  </sheetData>
  <sortState ref="B58:H82">
    <sortCondition ref="B56:B62"/>
  </sortState>
  <mergeCells count="39">
    <mergeCell ref="D81:E81"/>
    <mergeCell ref="I81:N81"/>
    <mergeCell ref="D57:E57"/>
    <mergeCell ref="D58:E58"/>
    <mergeCell ref="D60:E60"/>
    <mergeCell ref="D61:E61"/>
    <mergeCell ref="D63:E63"/>
    <mergeCell ref="D64:E64"/>
    <mergeCell ref="D65:E65"/>
    <mergeCell ref="D67:E67"/>
    <mergeCell ref="D59:E59"/>
    <mergeCell ref="D76:E76"/>
    <mergeCell ref="D80:E80"/>
    <mergeCell ref="D75:E75"/>
    <mergeCell ref="D78:E78"/>
    <mergeCell ref="D70:E70"/>
    <mergeCell ref="F1:J1"/>
    <mergeCell ref="F18:J18"/>
    <mergeCell ref="D56:E56"/>
    <mergeCell ref="B48:E48"/>
    <mergeCell ref="B33:E33"/>
    <mergeCell ref="B55:E55"/>
    <mergeCell ref="D74:E74"/>
    <mergeCell ref="D77:E77"/>
    <mergeCell ref="D79:E79"/>
    <mergeCell ref="D72:E72"/>
    <mergeCell ref="D73:E73"/>
    <mergeCell ref="D66:E66"/>
    <mergeCell ref="D68:E68"/>
    <mergeCell ref="D69:E69"/>
    <mergeCell ref="D62:E62"/>
    <mergeCell ref="D71:E71"/>
    <mergeCell ref="D87:E87"/>
    <mergeCell ref="D88:E88"/>
    <mergeCell ref="D86:E86"/>
    <mergeCell ref="D82:E82"/>
    <mergeCell ref="D83:E83"/>
    <mergeCell ref="D84:E84"/>
    <mergeCell ref="D85:E85"/>
  </mergeCells>
  <conditionalFormatting sqref="H50:H52 L28 H35:H46 L4:L16 H57:H88">
    <cfRule type="cellIs" dxfId="1" priority="49" operator="greaterThan">
      <formula>0</formula>
    </cfRule>
  </conditionalFormatting>
  <conditionalFormatting sqref="G57:G85 G86:H86 G50:G52 K28 K16 G35:G46 G87:G88">
    <cfRule type="cellIs" dxfId="0" priority="48" operator="greaterThan">
      <formula>0</formula>
    </cfRule>
  </conditionalFormatting>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70" zoomScaleNormal="70" workbookViewId="0">
      <selection activeCell="I22" sqref="I22"/>
    </sheetView>
  </sheetViews>
  <sheetFormatPr baseColWidth="10" defaultColWidth="11.5703125" defaultRowHeight="15"/>
  <cols>
    <col min="1" max="1" width="8.140625" style="41" customWidth="1"/>
    <col min="2" max="2" width="20.5703125" style="41" customWidth="1"/>
    <col min="3" max="3" width="11.7109375" style="41" customWidth="1"/>
    <col min="4" max="4" width="12" style="41" customWidth="1"/>
    <col min="5" max="5" width="12.5703125" style="41" customWidth="1"/>
    <col min="6" max="6" width="10.42578125" style="41" customWidth="1"/>
    <col min="7" max="7" width="9.7109375" style="41" customWidth="1"/>
    <col min="8" max="8" width="18.28515625" style="41" customWidth="1"/>
    <col min="9" max="16384" width="11.5703125" style="41"/>
  </cols>
  <sheetData>
    <row r="1" spans="1:10">
      <c r="A1" s="662"/>
      <c r="B1" s="659"/>
      <c r="C1" s="659"/>
      <c r="D1" s="659"/>
      <c r="E1" s="659"/>
      <c r="F1" s="659"/>
      <c r="G1" s="659"/>
      <c r="H1" s="659"/>
      <c r="I1" s="659"/>
      <c r="J1" s="659"/>
    </row>
    <row r="2" spans="1:10">
      <c r="A2" s="659"/>
      <c r="B2" s="997"/>
      <c r="C2" s="997"/>
      <c r="D2" s="997"/>
      <c r="E2" s="997"/>
      <c r="F2" s="997"/>
      <c r="G2" s="997"/>
      <c r="H2" s="997"/>
      <c r="I2" s="659"/>
      <c r="J2" s="659"/>
    </row>
    <row r="3" spans="1:10">
      <c r="A3" s="659"/>
      <c r="B3" s="659"/>
      <c r="C3" s="659"/>
      <c r="D3" s="659"/>
      <c r="E3" s="659"/>
      <c r="F3" s="659"/>
      <c r="G3" s="659"/>
      <c r="H3" s="659"/>
      <c r="I3" s="659"/>
      <c r="J3" s="659"/>
    </row>
    <row r="4" spans="1:10">
      <c r="A4" s="659"/>
      <c r="B4" s="659"/>
      <c r="C4" s="659"/>
      <c r="D4" s="659"/>
      <c r="E4" s="997"/>
      <c r="F4" s="997"/>
      <c r="G4" s="997"/>
      <c r="H4" s="659"/>
      <c r="I4" s="659"/>
      <c r="J4" s="659"/>
    </row>
    <row r="5" spans="1:10">
      <c r="A5" s="659"/>
      <c r="B5" s="659"/>
      <c r="C5" s="659"/>
      <c r="D5" s="659"/>
      <c r="E5" s="659"/>
      <c r="F5" s="659"/>
      <c r="G5" s="659"/>
      <c r="H5" s="659"/>
      <c r="I5" s="659"/>
      <c r="J5" s="659"/>
    </row>
    <row r="6" spans="1:10">
      <c r="A6" s="659"/>
      <c r="B6" s="659"/>
      <c r="C6" s="659"/>
      <c r="D6" s="660"/>
      <c r="E6" s="661"/>
      <c r="F6" s="661"/>
      <c r="G6" s="661"/>
      <c r="H6" s="659"/>
      <c r="I6" s="659"/>
      <c r="J6" s="659"/>
    </row>
    <row r="7" spans="1:10">
      <c r="A7" s="659"/>
      <c r="B7" s="659"/>
      <c r="C7" s="659"/>
      <c r="D7" s="659"/>
      <c r="E7" s="663"/>
      <c r="F7" s="664"/>
      <c r="G7" s="664"/>
      <c r="H7" s="659"/>
      <c r="I7" s="659"/>
      <c r="J7" s="659"/>
    </row>
    <row r="8" spans="1:10">
      <c r="A8" s="659"/>
      <c r="B8" s="659"/>
      <c r="C8" s="659"/>
      <c r="D8" s="659"/>
      <c r="E8" s="659"/>
      <c r="F8" s="659"/>
      <c r="G8" s="659"/>
      <c r="H8" s="659"/>
      <c r="I8" s="659"/>
      <c r="J8" s="665"/>
    </row>
    <row r="9" spans="1:10" ht="15.75">
      <c r="A9" s="659"/>
      <c r="B9" s="666"/>
      <c r="C9" s="666"/>
      <c r="D9" s="667"/>
      <c r="E9" s="661"/>
      <c r="F9" s="661"/>
      <c r="G9" s="661"/>
      <c r="H9" s="659"/>
      <c r="I9" s="659"/>
      <c r="J9" s="659"/>
    </row>
    <row r="10" spans="1:10">
      <c r="A10" s="659"/>
      <c r="B10" s="659"/>
      <c r="C10" s="659"/>
      <c r="D10" s="668"/>
      <c r="E10" s="661"/>
      <c r="F10" s="661"/>
      <c r="G10" s="661"/>
      <c r="H10" s="659"/>
      <c r="I10" s="659"/>
      <c r="J10" s="659"/>
    </row>
    <row r="11" spans="1:10">
      <c r="A11" s="659"/>
      <c r="B11" s="659"/>
      <c r="C11" s="659"/>
      <c r="D11" s="659"/>
      <c r="E11" s="659"/>
      <c r="F11" s="659"/>
      <c r="G11" s="659"/>
      <c r="H11" s="659"/>
      <c r="I11" s="659"/>
      <c r="J11" s="659"/>
    </row>
    <row r="12" spans="1:10">
      <c r="A12" s="659"/>
      <c r="B12" s="659"/>
      <c r="C12" s="659"/>
      <c r="D12" s="659"/>
      <c r="E12" s="659"/>
      <c r="F12" s="659"/>
      <c r="G12" s="669"/>
      <c r="H12" s="659"/>
      <c r="I12" s="659"/>
      <c r="J12" s="659"/>
    </row>
    <row r="13" spans="1:10">
      <c r="A13" s="659"/>
      <c r="B13" s="659"/>
      <c r="C13" s="659"/>
      <c r="D13" s="670"/>
      <c r="E13" s="659"/>
      <c r="F13" s="659"/>
      <c r="G13" s="669"/>
      <c r="H13" s="659"/>
      <c r="I13" s="659"/>
      <c r="J13" s="659"/>
    </row>
    <row r="14" spans="1:10">
      <c r="A14" s="659"/>
      <c r="B14" s="659"/>
      <c r="C14" s="659"/>
      <c r="D14" s="659"/>
      <c r="E14" s="659"/>
      <c r="F14" s="659"/>
      <c r="G14" s="659"/>
      <c r="H14" s="659"/>
      <c r="I14" s="659"/>
      <c r="J14" s="659"/>
    </row>
    <row r="15" spans="1:10">
      <c r="A15" s="659"/>
      <c r="B15" s="659"/>
      <c r="C15" s="659"/>
      <c r="D15" s="671"/>
      <c r="E15" s="661"/>
      <c r="F15" s="661"/>
      <c r="G15" s="661"/>
      <c r="H15" s="659"/>
      <c r="I15" s="659"/>
      <c r="J15" s="659"/>
    </row>
    <row r="16" spans="1:10">
      <c r="A16" s="659"/>
      <c r="B16" s="659"/>
      <c r="C16" s="659"/>
      <c r="D16" s="659"/>
      <c r="E16" s="661"/>
      <c r="F16" s="661"/>
      <c r="G16" s="661"/>
      <c r="H16" s="659"/>
      <c r="I16" s="659"/>
      <c r="J16" s="659"/>
    </row>
    <row r="17" spans="1:10">
      <c r="A17" s="659"/>
      <c r="B17" s="659"/>
      <c r="C17" s="659"/>
      <c r="D17" s="659"/>
      <c r="E17" s="659"/>
      <c r="F17" s="659"/>
      <c r="G17" s="659"/>
      <c r="H17" s="659"/>
      <c r="I17" s="659"/>
      <c r="J17" s="659"/>
    </row>
    <row r="18" spans="1:10">
      <c r="A18" s="659"/>
      <c r="B18" s="659"/>
      <c r="C18" s="659"/>
      <c r="D18" s="659"/>
      <c r="E18" s="659"/>
      <c r="F18" s="659"/>
      <c r="G18" s="659"/>
      <c r="H18" s="659"/>
      <c r="I18" s="659"/>
      <c r="J18" s="659"/>
    </row>
  </sheetData>
  <mergeCells count="2">
    <mergeCell ref="B2:H2"/>
    <mergeCell ref="E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 Cuota Global</vt:lpstr>
      <vt:lpstr>Merluza sur Industrial</vt:lpstr>
      <vt:lpstr>Merluza sur Artesanal X</vt:lpstr>
      <vt:lpstr>Merluza sur Artesanal XI</vt:lpstr>
      <vt:lpstr>Merluza sur Artesanal XII</vt:lpstr>
      <vt:lpstr>Movimientos_cuotas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2019-07-18T15:50:08Z</dcterms:modified>
</cp:coreProperties>
</file>