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2" tabRatio="885" activeTab="4"/>
  </bookViews>
  <sheets>
    <sheet name="Resumen Cuota Global" sheetId="1" r:id="rId1"/>
    <sheet name="Merluza sur Industrial" sheetId="2" r:id="rId2"/>
    <sheet name="Merluza sur Artesanal X" sheetId="3" r:id="rId3"/>
    <sheet name="Merluza sur Artesanal XI" sheetId="5" r:id="rId4"/>
    <sheet name="Merluza sur Artesanal XII" sheetId="4" r:id="rId5"/>
    <sheet name="Hoja1" sheetId="6" state="hidden" r:id="rId6"/>
    <sheet name="Hoja5" sheetId="11" state="hidden" r:id="rId7"/>
  </sheets>
  <definedNames>
    <definedName name="_xlnm._FilterDatabase" localSheetId="5" hidden="1">Hoja1!$B$2:$I$2</definedName>
    <definedName name="_xlnm._FilterDatabase" localSheetId="6" hidden="1">Hoja5!$A$1:$L$173</definedName>
    <definedName name="_xlnm._FilterDatabase" localSheetId="3" hidden="1">'Merluza sur Artesanal XI'!$B$11:$M$11</definedName>
  </definedNames>
  <calcPr calcId="125725"/>
</workbook>
</file>

<file path=xl/calcChain.xml><?xml version="1.0" encoding="utf-8"?>
<calcChain xmlns="http://schemas.openxmlformats.org/spreadsheetml/2006/main">
  <c r="O31" i="4"/>
  <c r="T19"/>
  <c r="L20"/>
  <c r="L19"/>
  <c r="I20"/>
  <c r="K20"/>
  <c r="O273"/>
  <c r="N273"/>
  <c r="T273"/>
  <c r="K26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T103"/>
  <c r="T105"/>
  <c r="T107"/>
  <c r="T109"/>
  <c r="T111"/>
  <c r="T113"/>
  <c r="T115"/>
  <c r="T117"/>
  <c r="T119"/>
  <c r="T121"/>
  <c r="T123"/>
  <c r="T125"/>
  <c r="T127"/>
  <c r="T129"/>
  <c r="T131"/>
  <c r="T133"/>
  <c r="T135"/>
  <c r="T137"/>
  <c r="T139"/>
  <c r="T141"/>
  <c r="T143"/>
  <c r="T145"/>
  <c r="T147"/>
  <c r="T149"/>
  <c r="T151"/>
  <c r="T153"/>
  <c r="T155"/>
  <c r="T157"/>
  <c r="T159"/>
  <c r="T161"/>
  <c r="T163"/>
  <c r="T165"/>
  <c r="T167"/>
  <c r="T169"/>
  <c r="T171"/>
  <c r="T173"/>
  <c r="T175"/>
  <c r="T177"/>
  <c r="T179"/>
  <c r="T181"/>
  <c r="T183"/>
  <c r="T185"/>
  <c r="T187"/>
  <c r="T189"/>
  <c r="T191"/>
  <c r="T193"/>
  <c r="T195"/>
  <c r="T197"/>
  <c r="T199"/>
  <c r="T201"/>
  <c r="T203"/>
  <c r="T205"/>
  <c r="T207"/>
  <c r="T209"/>
  <c r="T211"/>
  <c r="T213"/>
  <c r="T215"/>
  <c r="T217"/>
  <c r="T219"/>
  <c r="T221"/>
  <c r="T223"/>
  <c r="T225"/>
  <c r="T227"/>
  <c r="T229"/>
  <c r="T231"/>
  <c r="T233"/>
  <c r="T235"/>
  <c r="T237"/>
  <c r="T239"/>
  <c r="T241"/>
  <c r="T243"/>
  <c r="T245"/>
  <c r="T247"/>
  <c r="T249"/>
  <c r="T251"/>
  <c r="T253"/>
  <c r="T255"/>
  <c r="T257"/>
  <c r="T259"/>
  <c r="T261"/>
  <c r="T263"/>
  <c r="T265"/>
  <c r="T267"/>
  <c r="T269"/>
  <c r="T21"/>
  <c r="T23"/>
  <c r="T25"/>
  <c r="T27"/>
  <c r="T29"/>
  <c r="T35"/>
  <c r="T37"/>
  <c r="T39"/>
  <c r="T41"/>
  <c r="T43"/>
  <c r="T45"/>
  <c r="T47"/>
  <c r="T49"/>
  <c r="T51"/>
  <c r="T53"/>
  <c r="T55"/>
  <c r="T57"/>
  <c r="T33"/>
  <c r="Q273"/>
  <c r="Q271"/>
  <c r="N271"/>
  <c r="H285"/>
  <c r="J272"/>
  <c r="J271"/>
  <c r="H272"/>
  <c r="H271"/>
  <c r="G12" i="2"/>
  <c r="G85"/>
  <c r="I56"/>
  <c r="I20"/>
  <c r="I18"/>
  <c r="I14"/>
  <c r="H213" i="5"/>
  <c r="J84"/>
  <c r="J83"/>
  <c r="G16"/>
  <c r="J156"/>
  <c r="H195"/>
  <c r="J157"/>
  <c r="H157"/>
  <c r="H288" i="4" l="1"/>
  <c r="D208" i="5"/>
  <c r="O32"/>
  <c r="H211"/>
  <c r="G214"/>
  <c r="Q94"/>
  <c r="G14" i="2"/>
  <c r="H132" i="5"/>
  <c r="H122"/>
  <c r="H148"/>
  <c r="F16" i="4"/>
  <c r="G28" i="1"/>
  <c r="H14" i="3"/>
  <c r="H16"/>
  <c r="H18"/>
  <c r="H20"/>
  <c r="H22"/>
  <c r="H26"/>
  <c r="H28"/>
  <c r="H30"/>
  <c r="H32"/>
  <c r="H34"/>
  <c r="H10"/>
  <c r="H8"/>
  <c r="H6"/>
  <c r="H156" i="5" l="1"/>
  <c r="H159" s="1"/>
  <c r="H212"/>
  <c r="H214" s="1"/>
  <c r="G9" i="1"/>
  <c r="B3" i="3"/>
  <c r="J279" i="4"/>
  <c r="J278"/>
  <c r="J277"/>
  <c r="J276"/>
  <c r="H276"/>
  <c r="H277"/>
  <c r="H278"/>
  <c r="H279"/>
  <c r="G279"/>
  <c r="G278"/>
  <c r="G15"/>
  <c r="G14"/>
  <c r="G13"/>
  <c r="G12"/>
  <c r="G277"/>
  <c r="G276"/>
  <c r="C278"/>
  <c r="C276"/>
  <c r="I276" l="1"/>
  <c r="G280"/>
  <c r="D9" i="1" s="1"/>
  <c r="C3" i="4" l="1"/>
  <c r="B3" i="5"/>
  <c r="B3" i="2"/>
  <c r="B23" i="1"/>
  <c r="I63" i="2"/>
  <c r="G63"/>
  <c r="G37"/>
  <c r="E13" i="1" s="1"/>
  <c r="I37" i="2"/>
  <c r="G13" i="1" s="1"/>
  <c r="J196" i="5"/>
  <c r="H196"/>
  <c r="H207" s="1"/>
  <c r="J195"/>
  <c r="J206" s="1"/>
  <c r="H206"/>
  <c r="E195"/>
  <c r="E206" s="1"/>
  <c r="G194"/>
  <c r="Q193"/>
  <c r="O193"/>
  <c r="G193"/>
  <c r="G192"/>
  <c r="Q191"/>
  <c r="O191"/>
  <c r="G191"/>
  <c r="G190"/>
  <c r="Q189"/>
  <c r="O189"/>
  <c r="G189"/>
  <c r="G188"/>
  <c r="Q187"/>
  <c r="O187"/>
  <c r="G187"/>
  <c r="G170"/>
  <c r="Q169"/>
  <c r="O169"/>
  <c r="G169"/>
  <c r="G184"/>
  <c r="Q183"/>
  <c r="O183"/>
  <c r="G183"/>
  <c r="G168"/>
  <c r="Q167"/>
  <c r="O167"/>
  <c r="G167"/>
  <c r="G174"/>
  <c r="Q173"/>
  <c r="O173"/>
  <c r="G173"/>
  <c r="G178"/>
  <c r="Q177"/>
  <c r="O177"/>
  <c r="G177"/>
  <c r="I177" s="1"/>
  <c r="G182"/>
  <c r="Q181"/>
  <c r="O181"/>
  <c r="G181"/>
  <c r="I181" s="1"/>
  <c r="K181" s="1"/>
  <c r="G186"/>
  <c r="Q185"/>
  <c r="O185"/>
  <c r="G185"/>
  <c r="I185" s="1"/>
  <c r="G180"/>
  <c r="Q179"/>
  <c r="O179"/>
  <c r="G179"/>
  <c r="I179" s="1"/>
  <c r="K179" s="1"/>
  <c r="G162"/>
  <c r="Q161"/>
  <c r="O161"/>
  <c r="G161"/>
  <c r="G172"/>
  <c r="Q171"/>
  <c r="O171"/>
  <c r="G171"/>
  <c r="G176"/>
  <c r="Q175"/>
  <c r="O175"/>
  <c r="G175"/>
  <c r="I175" s="1"/>
  <c r="L175" s="1"/>
  <c r="G164"/>
  <c r="Q163"/>
  <c r="O163"/>
  <c r="G163"/>
  <c r="I163" s="1"/>
  <c r="K163" s="1"/>
  <c r="G166"/>
  <c r="Q165"/>
  <c r="O165"/>
  <c r="G165"/>
  <c r="H205"/>
  <c r="J204"/>
  <c r="H204"/>
  <c r="E156"/>
  <c r="E204" s="1"/>
  <c r="G155"/>
  <c r="Q154"/>
  <c r="O154"/>
  <c r="G154"/>
  <c r="I154" s="1"/>
  <c r="L154" s="1"/>
  <c r="G153"/>
  <c r="Q152"/>
  <c r="O152"/>
  <c r="G152"/>
  <c r="G151"/>
  <c r="Q150"/>
  <c r="O150"/>
  <c r="G150"/>
  <c r="G149"/>
  <c r="Q148"/>
  <c r="O148"/>
  <c r="G148"/>
  <c r="I148" s="1"/>
  <c r="K148" s="1"/>
  <c r="G147"/>
  <c r="Q146"/>
  <c r="O146"/>
  <c r="G146"/>
  <c r="I146" s="1"/>
  <c r="L146" s="1"/>
  <c r="G145"/>
  <c r="Q144"/>
  <c r="O144"/>
  <c r="G144"/>
  <c r="I144" s="1"/>
  <c r="K144" s="1"/>
  <c r="G143"/>
  <c r="Q142"/>
  <c r="O142"/>
  <c r="G142"/>
  <c r="G141"/>
  <c r="Q140"/>
  <c r="O140"/>
  <c r="G140"/>
  <c r="I140" s="1"/>
  <c r="K140" s="1"/>
  <c r="G139"/>
  <c r="Q138"/>
  <c r="O138"/>
  <c r="G138"/>
  <c r="G137"/>
  <c r="Q136"/>
  <c r="O136"/>
  <c r="G136"/>
  <c r="I136" s="1"/>
  <c r="K136" s="1"/>
  <c r="G135"/>
  <c r="Q134"/>
  <c r="O134"/>
  <c r="G134"/>
  <c r="I134" s="1"/>
  <c r="K134" s="1"/>
  <c r="G133"/>
  <c r="Q132"/>
  <c r="O132"/>
  <c r="G132"/>
  <c r="G131"/>
  <c r="Q130"/>
  <c r="O130"/>
  <c r="G130"/>
  <c r="G129"/>
  <c r="Q128"/>
  <c r="O128"/>
  <c r="G128"/>
  <c r="I128" s="1"/>
  <c r="G127"/>
  <c r="Q126"/>
  <c r="O126"/>
  <c r="G126"/>
  <c r="I126" s="1"/>
  <c r="K126" s="1"/>
  <c r="G125"/>
  <c r="Q124"/>
  <c r="O124"/>
  <c r="G124"/>
  <c r="I124" s="1"/>
  <c r="K124" s="1"/>
  <c r="G123"/>
  <c r="Q122"/>
  <c r="O122"/>
  <c r="G122"/>
  <c r="I122" s="1"/>
  <c r="L122" s="1"/>
  <c r="G121"/>
  <c r="Q120"/>
  <c r="O120"/>
  <c r="G120"/>
  <c r="G119"/>
  <c r="Q118"/>
  <c r="O118"/>
  <c r="G118"/>
  <c r="G117"/>
  <c r="Q116"/>
  <c r="O116"/>
  <c r="G116"/>
  <c r="I116" s="1"/>
  <c r="K116" s="1"/>
  <c r="G115"/>
  <c r="Q114"/>
  <c r="O114"/>
  <c r="G114"/>
  <c r="I114" s="1"/>
  <c r="K114" s="1"/>
  <c r="G113"/>
  <c r="Q112"/>
  <c r="O112"/>
  <c r="G112"/>
  <c r="I112" s="1"/>
  <c r="L112" s="1"/>
  <c r="G111"/>
  <c r="Q110"/>
  <c r="O110"/>
  <c r="G110"/>
  <c r="I110" s="1"/>
  <c r="K110" s="1"/>
  <c r="G109"/>
  <c r="Q108"/>
  <c r="O108"/>
  <c r="G108"/>
  <c r="I108" s="1"/>
  <c r="K108" s="1"/>
  <c r="G107"/>
  <c r="Q106"/>
  <c r="O106"/>
  <c r="G106"/>
  <c r="G105"/>
  <c r="Q104"/>
  <c r="O104"/>
  <c r="G104"/>
  <c r="I104" s="1"/>
  <c r="K104" s="1"/>
  <c r="G103"/>
  <c r="Q102"/>
  <c r="O102"/>
  <c r="G102"/>
  <c r="I102" s="1"/>
  <c r="G101"/>
  <c r="Q100"/>
  <c r="O100"/>
  <c r="G100"/>
  <c r="I100" s="1"/>
  <c r="K100" s="1"/>
  <c r="G99"/>
  <c r="Q98"/>
  <c r="O98"/>
  <c r="G98"/>
  <c r="G97"/>
  <c r="Q96"/>
  <c r="O96"/>
  <c r="G96"/>
  <c r="I96" s="1"/>
  <c r="K96" s="1"/>
  <c r="G95"/>
  <c r="O94"/>
  <c r="G94"/>
  <c r="I94" s="1"/>
  <c r="L94" s="1"/>
  <c r="G93"/>
  <c r="Q92"/>
  <c r="O92"/>
  <c r="G92"/>
  <c r="G91"/>
  <c r="Q90"/>
  <c r="O90"/>
  <c r="G90"/>
  <c r="I90" s="1"/>
  <c r="G89"/>
  <c r="Q88"/>
  <c r="O88"/>
  <c r="G88"/>
  <c r="H84"/>
  <c r="H203" s="1"/>
  <c r="H83"/>
  <c r="H202" s="1"/>
  <c r="E83"/>
  <c r="E202" s="1"/>
  <c r="G82"/>
  <c r="Q81"/>
  <c r="O81"/>
  <c r="G81"/>
  <c r="G80"/>
  <c r="Q79"/>
  <c r="O79"/>
  <c r="G79"/>
  <c r="I79" s="1"/>
  <c r="K79" s="1"/>
  <c r="G78"/>
  <c r="Q77"/>
  <c r="O77"/>
  <c r="G77"/>
  <c r="I77" s="1"/>
  <c r="G74"/>
  <c r="Q73"/>
  <c r="O73"/>
  <c r="G73"/>
  <c r="I73" s="1"/>
  <c r="K73" s="1"/>
  <c r="G76"/>
  <c r="Q75"/>
  <c r="O75"/>
  <c r="G75"/>
  <c r="G52"/>
  <c r="Q51"/>
  <c r="O51"/>
  <c r="G51"/>
  <c r="I51" s="1"/>
  <c r="K51" s="1"/>
  <c r="G56"/>
  <c r="Q55"/>
  <c r="O55"/>
  <c r="G55"/>
  <c r="G60"/>
  <c r="Q59"/>
  <c r="O59"/>
  <c r="G59"/>
  <c r="I59" s="1"/>
  <c r="K59" s="1"/>
  <c r="G64"/>
  <c r="Q63"/>
  <c r="O63"/>
  <c r="G63"/>
  <c r="I63" s="1"/>
  <c r="L63" s="1"/>
  <c r="G58"/>
  <c r="Q57"/>
  <c r="O57"/>
  <c r="G57"/>
  <c r="I57" s="1"/>
  <c r="K57" s="1"/>
  <c r="G72"/>
  <c r="Q71"/>
  <c r="O71"/>
  <c r="G71"/>
  <c r="G54"/>
  <c r="Q53"/>
  <c r="O53"/>
  <c r="G53"/>
  <c r="I53" s="1"/>
  <c r="K53" s="1"/>
  <c r="G68"/>
  <c r="Q67"/>
  <c r="O67"/>
  <c r="G67"/>
  <c r="I67" s="1"/>
  <c r="L67" s="1"/>
  <c r="G70"/>
  <c r="Q69"/>
  <c r="O69"/>
  <c r="G69"/>
  <c r="I69" s="1"/>
  <c r="K69" s="1"/>
  <c r="G62"/>
  <c r="Q61"/>
  <c r="O61"/>
  <c r="G61"/>
  <c r="I61" s="1"/>
  <c r="G50"/>
  <c r="Q49"/>
  <c r="O49"/>
  <c r="G49"/>
  <c r="G66"/>
  <c r="Q65"/>
  <c r="O65"/>
  <c r="G65"/>
  <c r="J45"/>
  <c r="H45"/>
  <c r="H201" s="1"/>
  <c r="H44"/>
  <c r="H200" s="1"/>
  <c r="E44"/>
  <c r="E200" s="1"/>
  <c r="G43"/>
  <c r="Q42"/>
  <c r="O42"/>
  <c r="G42"/>
  <c r="G37"/>
  <c r="Q36"/>
  <c r="O36"/>
  <c r="G36"/>
  <c r="G41"/>
  <c r="Q40"/>
  <c r="O40"/>
  <c r="G40"/>
  <c r="G39"/>
  <c r="Q38"/>
  <c r="O38"/>
  <c r="G38"/>
  <c r="I38" s="1"/>
  <c r="G27"/>
  <c r="Q26"/>
  <c r="O26"/>
  <c r="G26"/>
  <c r="G31"/>
  <c r="Q30"/>
  <c r="O30"/>
  <c r="G30"/>
  <c r="I30" s="1"/>
  <c r="G23"/>
  <c r="Q22"/>
  <c r="O22"/>
  <c r="G22"/>
  <c r="G19"/>
  <c r="Q18"/>
  <c r="O18"/>
  <c r="G18"/>
  <c r="G35"/>
  <c r="Q34"/>
  <c r="O34"/>
  <c r="G34"/>
  <c r="G21"/>
  <c r="O20"/>
  <c r="G20"/>
  <c r="G17"/>
  <c r="Q16"/>
  <c r="O16"/>
  <c r="I16"/>
  <c r="G33"/>
  <c r="Q32"/>
  <c r="G32"/>
  <c r="G15"/>
  <c r="Q14"/>
  <c r="O14"/>
  <c r="G14"/>
  <c r="G13"/>
  <c r="Q12"/>
  <c r="O12"/>
  <c r="G12"/>
  <c r="G29"/>
  <c r="Q28"/>
  <c r="O28"/>
  <c r="G28"/>
  <c r="G25"/>
  <c r="Q24"/>
  <c r="O24"/>
  <c r="G24"/>
  <c r="D9"/>
  <c r="G272" i="4"/>
  <c r="G271"/>
  <c r="Q269"/>
  <c r="O269"/>
  <c r="N269"/>
  <c r="I269"/>
  <c r="Q267"/>
  <c r="O267"/>
  <c r="N267"/>
  <c r="I267"/>
  <c r="Q265"/>
  <c r="O265"/>
  <c r="N265"/>
  <c r="I265"/>
  <c r="L265" s="1"/>
  <c r="Q263"/>
  <c r="O263"/>
  <c r="N263"/>
  <c r="I263"/>
  <c r="K263" s="1"/>
  <c r="Q261"/>
  <c r="O261"/>
  <c r="N261"/>
  <c r="I261"/>
  <c r="L261" s="1"/>
  <c r="Q259"/>
  <c r="O259"/>
  <c r="N259"/>
  <c r="I259"/>
  <c r="Q257"/>
  <c r="O257"/>
  <c r="N257"/>
  <c r="I257"/>
  <c r="L257" s="1"/>
  <c r="Q255"/>
  <c r="O255"/>
  <c r="N255"/>
  <c r="I255"/>
  <c r="K255" s="1"/>
  <c r="Q253"/>
  <c r="O253"/>
  <c r="N253"/>
  <c r="I253"/>
  <c r="L253" s="1"/>
  <c r="Q251"/>
  <c r="O251"/>
  <c r="N251"/>
  <c r="I251"/>
  <c r="K251" s="1"/>
  <c r="Q249"/>
  <c r="O249"/>
  <c r="N249"/>
  <c r="I249"/>
  <c r="L249" s="1"/>
  <c r="Q247"/>
  <c r="O247"/>
  <c r="N247"/>
  <c r="I247"/>
  <c r="Q245"/>
  <c r="O245"/>
  <c r="N245"/>
  <c r="I245"/>
  <c r="L245" s="1"/>
  <c r="Q243"/>
  <c r="O243"/>
  <c r="N243"/>
  <c r="I243"/>
  <c r="K243" s="1"/>
  <c r="Q241"/>
  <c r="O241"/>
  <c r="N241"/>
  <c r="I241"/>
  <c r="Q239"/>
  <c r="O239"/>
  <c r="N239"/>
  <c r="I239"/>
  <c r="K239" s="1"/>
  <c r="Q237"/>
  <c r="O237"/>
  <c r="N237"/>
  <c r="I237"/>
  <c r="Q235"/>
  <c r="O235"/>
  <c r="N235"/>
  <c r="I235"/>
  <c r="K235" s="1"/>
  <c r="Q233"/>
  <c r="O233"/>
  <c r="N233"/>
  <c r="I233"/>
  <c r="Q231"/>
  <c r="O231"/>
  <c r="N231"/>
  <c r="I231"/>
  <c r="K231" s="1"/>
  <c r="Q229"/>
  <c r="O229"/>
  <c r="N229"/>
  <c r="I229"/>
  <c r="L229" s="1"/>
  <c r="Q227"/>
  <c r="O227"/>
  <c r="N227"/>
  <c r="I227"/>
  <c r="Q225"/>
  <c r="O225"/>
  <c r="N225"/>
  <c r="I225"/>
  <c r="L225" s="1"/>
  <c r="Q223"/>
  <c r="O223"/>
  <c r="N223"/>
  <c r="I223"/>
  <c r="K223" s="1"/>
  <c r="Q221"/>
  <c r="O221"/>
  <c r="N221"/>
  <c r="I221"/>
  <c r="L221" s="1"/>
  <c r="Q219"/>
  <c r="O219"/>
  <c r="N219"/>
  <c r="I219"/>
  <c r="K219" s="1"/>
  <c r="Q217"/>
  <c r="O217"/>
  <c r="N217"/>
  <c r="I217"/>
  <c r="L217" s="1"/>
  <c r="Q215"/>
  <c r="O215"/>
  <c r="N215"/>
  <c r="I215"/>
  <c r="Q213"/>
  <c r="O213"/>
  <c r="N213"/>
  <c r="I213"/>
  <c r="L213" s="1"/>
  <c r="Q211"/>
  <c r="O211"/>
  <c r="N211"/>
  <c r="I211"/>
  <c r="K211" s="1"/>
  <c r="Q209"/>
  <c r="O209"/>
  <c r="N209"/>
  <c r="I209"/>
  <c r="Q207"/>
  <c r="O207"/>
  <c r="N207"/>
  <c r="I207"/>
  <c r="K207" s="1"/>
  <c r="Q205"/>
  <c r="O205"/>
  <c r="N205"/>
  <c r="I205"/>
  <c r="Q203"/>
  <c r="O203"/>
  <c r="N203"/>
  <c r="I203"/>
  <c r="K203" s="1"/>
  <c r="Q201"/>
  <c r="O201"/>
  <c r="N201"/>
  <c r="I201"/>
  <c r="L201" s="1"/>
  <c r="Q199"/>
  <c r="O199"/>
  <c r="N199"/>
  <c r="I199"/>
  <c r="K199" s="1"/>
  <c r="Q197"/>
  <c r="O197"/>
  <c r="N197"/>
  <c r="I197"/>
  <c r="L197" s="1"/>
  <c r="Q195"/>
  <c r="O195"/>
  <c r="N195"/>
  <c r="I195"/>
  <c r="Q193"/>
  <c r="O193"/>
  <c r="N193"/>
  <c r="I193"/>
  <c r="L193" s="1"/>
  <c r="Q191"/>
  <c r="O191"/>
  <c r="N191"/>
  <c r="I191"/>
  <c r="K191" s="1"/>
  <c r="Q189"/>
  <c r="O189"/>
  <c r="N189"/>
  <c r="I189"/>
  <c r="L189" s="1"/>
  <c r="Q187"/>
  <c r="O187"/>
  <c r="N187"/>
  <c r="I187"/>
  <c r="K187" s="1"/>
  <c r="Q185"/>
  <c r="O185"/>
  <c r="N185"/>
  <c r="I185"/>
  <c r="L185" s="1"/>
  <c r="Q183"/>
  <c r="O183"/>
  <c r="N183"/>
  <c r="I183"/>
  <c r="Q181"/>
  <c r="O181"/>
  <c r="N181"/>
  <c r="I181"/>
  <c r="L181" s="1"/>
  <c r="Q179"/>
  <c r="O179"/>
  <c r="N179"/>
  <c r="I179"/>
  <c r="K179" s="1"/>
  <c r="Q177"/>
  <c r="O177"/>
  <c r="N177"/>
  <c r="I177"/>
  <c r="Q175"/>
  <c r="O175"/>
  <c r="N175"/>
  <c r="I175"/>
  <c r="K175" s="1"/>
  <c r="Q173"/>
  <c r="O173"/>
  <c r="N173"/>
  <c r="I173"/>
  <c r="Q171"/>
  <c r="O171"/>
  <c r="N171"/>
  <c r="I171"/>
  <c r="K171" s="1"/>
  <c r="Q169"/>
  <c r="O169"/>
  <c r="N169"/>
  <c r="I169"/>
  <c r="L169" s="1"/>
  <c r="Q167"/>
  <c r="O167"/>
  <c r="N167"/>
  <c r="I167"/>
  <c r="K167" s="1"/>
  <c r="Q165"/>
  <c r="O165"/>
  <c r="N165"/>
  <c r="I165"/>
  <c r="L165" s="1"/>
  <c r="Q163"/>
  <c r="O163"/>
  <c r="N163"/>
  <c r="I163"/>
  <c r="Q161"/>
  <c r="O161"/>
  <c r="N161"/>
  <c r="I161"/>
  <c r="L161" s="1"/>
  <c r="Q159"/>
  <c r="O159"/>
  <c r="N159"/>
  <c r="I159"/>
  <c r="K159" s="1"/>
  <c r="Q157"/>
  <c r="O157"/>
  <c r="N157"/>
  <c r="I157"/>
  <c r="Q155"/>
  <c r="O155"/>
  <c r="N155"/>
  <c r="I155"/>
  <c r="K155" s="1"/>
  <c r="Q153"/>
  <c r="O153"/>
  <c r="N153"/>
  <c r="I153"/>
  <c r="L153" s="1"/>
  <c r="Q151"/>
  <c r="O151"/>
  <c r="N151"/>
  <c r="I151"/>
  <c r="Q149"/>
  <c r="O149"/>
  <c r="N149"/>
  <c r="I149"/>
  <c r="L149" s="1"/>
  <c r="Q147"/>
  <c r="O147"/>
  <c r="N147"/>
  <c r="I147"/>
  <c r="K147" s="1"/>
  <c r="Q145"/>
  <c r="O145"/>
  <c r="N145"/>
  <c r="I145"/>
  <c r="Q143"/>
  <c r="O143"/>
  <c r="N143"/>
  <c r="I143"/>
  <c r="K143" s="1"/>
  <c r="Q141"/>
  <c r="O141"/>
  <c r="N141"/>
  <c r="I141"/>
  <c r="Q139"/>
  <c r="O139"/>
  <c r="N139"/>
  <c r="I139"/>
  <c r="K139" s="1"/>
  <c r="Q137"/>
  <c r="O137"/>
  <c r="N137"/>
  <c r="I137"/>
  <c r="L137" s="1"/>
  <c r="Q135"/>
  <c r="O135"/>
  <c r="N135"/>
  <c r="I135"/>
  <c r="K135" s="1"/>
  <c r="Q133"/>
  <c r="O133"/>
  <c r="N133"/>
  <c r="I133"/>
  <c r="L133" s="1"/>
  <c r="Q131"/>
  <c r="O131"/>
  <c r="N131"/>
  <c r="I131"/>
  <c r="Q129"/>
  <c r="O129"/>
  <c r="N129"/>
  <c r="I129"/>
  <c r="L129" s="1"/>
  <c r="Q127"/>
  <c r="O127"/>
  <c r="N127"/>
  <c r="I127"/>
  <c r="K127" s="1"/>
  <c r="Q125"/>
  <c r="O125"/>
  <c r="N125"/>
  <c r="I125"/>
  <c r="L125" s="1"/>
  <c r="Q123"/>
  <c r="O123"/>
  <c r="N123"/>
  <c r="I123"/>
  <c r="K123" s="1"/>
  <c r="Q121"/>
  <c r="O121"/>
  <c r="N121"/>
  <c r="I121"/>
  <c r="L121" s="1"/>
  <c r="Q119"/>
  <c r="O119"/>
  <c r="N119"/>
  <c r="I119"/>
  <c r="Q117"/>
  <c r="O117"/>
  <c r="N117"/>
  <c r="I117"/>
  <c r="Q115"/>
  <c r="O115"/>
  <c r="N115"/>
  <c r="I115"/>
  <c r="K115" s="1"/>
  <c r="Q113"/>
  <c r="O113"/>
  <c r="N113"/>
  <c r="I113"/>
  <c r="Q111"/>
  <c r="O111"/>
  <c r="N111"/>
  <c r="I111"/>
  <c r="K111" s="1"/>
  <c r="Q109"/>
  <c r="O109"/>
  <c r="N109"/>
  <c r="I109"/>
  <c r="Q107"/>
  <c r="O107"/>
  <c r="N107"/>
  <c r="I107"/>
  <c r="K107" s="1"/>
  <c r="Q105"/>
  <c r="O105"/>
  <c r="N105"/>
  <c r="I105"/>
  <c r="L105" s="1"/>
  <c r="Q103"/>
  <c r="O103"/>
  <c r="N103"/>
  <c r="I103"/>
  <c r="K103" s="1"/>
  <c r="Q101"/>
  <c r="O101"/>
  <c r="N101"/>
  <c r="I101"/>
  <c r="Q99"/>
  <c r="O99"/>
  <c r="N99"/>
  <c r="I99"/>
  <c r="Q97"/>
  <c r="O97"/>
  <c r="N97"/>
  <c r="I97"/>
  <c r="Q95"/>
  <c r="O95"/>
  <c r="N95"/>
  <c r="I95"/>
  <c r="Q93"/>
  <c r="O93"/>
  <c r="N93"/>
  <c r="I93"/>
  <c r="Q91"/>
  <c r="O91"/>
  <c r="N91"/>
  <c r="I91"/>
  <c r="Q89"/>
  <c r="O89"/>
  <c r="N89"/>
  <c r="I89"/>
  <c r="Q87"/>
  <c r="O87"/>
  <c r="N87"/>
  <c r="I87"/>
  <c r="Q85"/>
  <c r="O85"/>
  <c r="N85"/>
  <c r="I85"/>
  <c r="Q83"/>
  <c r="O83"/>
  <c r="N83"/>
  <c r="I83"/>
  <c r="Q81"/>
  <c r="O81"/>
  <c r="N81"/>
  <c r="I81"/>
  <c r="Q79"/>
  <c r="O79"/>
  <c r="N79"/>
  <c r="I79"/>
  <c r="Q77"/>
  <c r="O77"/>
  <c r="N77"/>
  <c r="I77"/>
  <c r="Q75"/>
  <c r="O75"/>
  <c r="N75"/>
  <c r="I75"/>
  <c r="Q73"/>
  <c r="O73"/>
  <c r="N73"/>
  <c r="I73"/>
  <c r="Q71"/>
  <c r="O71"/>
  <c r="N71"/>
  <c r="I71"/>
  <c r="Q69"/>
  <c r="O69"/>
  <c r="N69"/>
  <c r="I69"/>
  <c r="Q67"/>
  <c r="O67"/>
  <c r="N67"/>
  <c r="I67"/>
  <c r="Q65"/>
  <c r="O65"/>
  <c r="N65"/>
  <c r="I65"/>
  <c r="Q63"/>
  <c r="O63"/>
  <c r="N63"/>
  <c r="I63"/>
  <c r="Q61"/>
  <c r="O61"/>
  <c r="N61"/>
  <c r="I61"/>
  <c r="Q59"/>
  <c r="O59"/>
  <c r="N59"/>
  <c r="I59"/>
  <c r="Q57"/>
  <c r="O57"/>
  <c r="N57"/>
  <c r="I57"/>
  <c r="Q55"/>
  <c r="O55"/>
  <c r="N55"/>
  <c r="I55"/>
  <c r="Q53"/>
  <c r="O53"/>
  <c r="N53"/>
  <c r="I53"/>
  <c r="Q51"/>
  <c r="O51"/>
  <c r="N51"/>
  <c r="I51"/>
  <c r="Q49"/>
  <c r="O49"/>
  <c r="N49"/>
  <c r="I49"/>
  <c r="Q47"/>
  <c r="O47"/>
  <c r="N47"/>
  <c r="I47"/>
  <c r="Q45"/>
  <c r="O45"/>
  <c r="N45"/>
  <c r="I45"/>
  <c r="Q43"/>
  <c r="O43"/>
  <c r="N43"/>
  <c r="I43"/>
  <c r="Q41"/>
  <c r="O41"/>
  <c r="N41"/>
  <c r="I41"/>
  <c r="Q39"/>
  <c r="O39"/>
  <c r="N39"/>
  <c r="I39"/>
  <c r="Q37"/>
  <c r="O37"/>
  <c r="N37"/>
  <c r="I37"/>
  <c r="Q35"/>
  <c r="O35"/>
  <c r="N35"/>
  <c r="I35"/>
  <c r="Q33"/>
  <c r="O33"/>
  <c r="N33"/>
  <c r="I33"/>
  <c r="K33" s="1"/>
  <c r="I34" s="1"/>
  <c r="Q31"/>
  <c r="N31"/>
  <c r="I31"/>
  <c r="Q29"/>
  <c r="O29"/>
  <c r="N29"/>
  <c r="I29"/>
  <c r="Q27"/>
  <c r="O27"/>
  <c r="N27"/>
  <c r="I27"/>
  <c r="Q25"/>
  <c r="O25"/>
  <c r="N25"/>
  <c r="I25"/>
  <c r="B24"/>
  <c r="B26" s="1"/>
  <c r="B28" s="1"/>
  <c r="B30" s="1"/>
  <c r="B32" s="1"/>
  <c r="B34" s="1"/>
  <c r="B36" s="1"/>
  <c r="B38" s="1"/>
  <c r="B40" s="1"/>
  <c r="B42" s="1"/>
  <c r="B44" s="1"/>
  <c r="B46" s="1"/>
  <c r="B48" s="1"/>
  <c r="B50" s="1"/>
  <c r="B52" s="1"/>
  <c r="B54" s="1"/>
  <c r="B56" s="1"/>
  <c r="B58" s="1"/>
  <c r="B60" s="1"/>
  <c r="B62" s="1"/>
  <c r="B64" s="1"/>
  <c r="B66" s="1"/>
  <c r="B68" s="1"/>
  <c r="B70" s="1"/>
  <c r="B72" s="1"/>
  <c r="B74" s="1"/>
  <c r="B76" s="1"/>
  <c r="B78" s="1"/>
  <c r="B80" s="1"/>
  <c r="B82" s="1"/>
  <c r="B84" s="1"/>
  <c r="B86" s="1"/>
  <c r="B88" s="1"/>
  <c r="B90" s="1"/>
  <c r="B92" s="1"/>
  <c r="B94" s="1"/>
  <c r="B96" s="1"/>
  <c r="B98" s="1"/>
  <c r="B100" s="1"/>
  <c r="B102" s="1"/>
  <c r="B104" s="1"/>
  <c r="B106" s="1"/>
  <c r="B108" s="1"/>
  <c r="B110" s="1"/>
  <c r="B112" s="1"/>
  <c r="B114" s="1"/>
  <c r="B116" s="1"/>
  <c r="B118" s="1"/>
  <c r="B120" s="1"/>
  <c r="B122" s="1"/>
  <c r="B124" s="1"/>
  <c r="B126" s="1"/>
  <c r="B128" s="1"/>
  <c r="B130" s="1"/>
  <c r="B132" s="1"/>
  <c r="B134" s="1"/>
  <c r="B136" s="1"/>
  <c r="B138" s="1"/>
  <c r="B140" s="1"/>
  <c r="B142" s="1"/>
  <c r="B144" s="1"/>
  <c r="B146" s="1"/>
  <c r="B148" s="1"/>
  <c r="B150" s="1"/>
  <c r="B152" s="1"/>
  <c r="B154" s="1"/>
  <c r="B156" s="1"/>
  <c r="B158" s="1"/>
  <c r="B160" s="1"/>
  <c r="B162" s="1"/>
  <c r="B164" s="1"/>
  <c r="B166" s="1"/>
  <c r="B168" s="1"/>
  <c r="B170" s="1"/>
  <c r="B172" s="1"/>
  <c r="B174" s="1"/>
  <c r="B176" s="1"/>
  <c r="B178" s="1"/>
  <c r="B180" s="1"/>
  <c r="B182" s="1"/>
  <c r="B184" s="1"/>
  <c r="B186" s="1"/>
  <c r="B188" s="1"/>
  <c r="B190" s="1"/>
  <c r="B192" s="1"/>
  <c r="B194" s="1"/>
  <c r="B196" s="1"/>
  <c r="B198" s="1"/>
  <c r="B200" s="1"/>
  <c r="B202" s="1"/>
  <c r="B204" s="1"/>
  <c r="B206" s="1"/>
  <c r="B208" s="1"/>
  <c r="B210" s="1"/>
  <c r="B212" s="1"/>
  <c r="B214" s="1"/>
  <c r="B216" s="1"/>
  <c r="B218" s="1"/>
  <c r="B220" s="1"/>
  <c r="B222" s="1"/>
  <c r="B224" s="1"/>
  <c r="B226" s="1"/>
  <c r="B228" s="1"/>
  <c r="B230" s="1"/>
  <c r="B232" s="1"/>
  <c r="B234" s="1"/>
  <c r="B236" s="1"/>
  <c r="B238" s="1"/>
  <c r="B240" s="1"/>
  <c r="B242" s="1"/>
  <c r="B244" s="1"/>
  <c r="B246" s="1"/>
  <c r="B248" s="1"/>
  <c r="B250" s="1"/>
  <c r="B252" s="1"/>
  <c r="B254" s="1"/>
  <c r="B256" s="1"/>
  <c r="B258" s="1"/>
  <c r="B260" s="1"/>
  <c r="B262" s="1"/>
  <c r="B264" s="1"/>
  <c r="B266" s="1"/>
  <c r="B268" s="1"/>
  <c r="B270" s="1"/>
  <c r="Q23"/>
  <c r="O23"/>
  <c r="N23"/>
  <c r="I23"/>
  <c r="L23" s="1"/>
  <c r="B23"/>
  <c r="B25" s="1"/>
  <c r="B27" s="1"/>
  <c r="B29" s="1"/>
  <c r="B31" s="1"/>
  <c r="B33" s="1"/>
  <c r="B35" s="1"/>
  <c r="B37" s="1"/>
  <c r="B39" s="1"/>
  <c r="B41" s="1"/>
  <c r="B43" s="1"/>
  <c r="B45" s="1"/>
  <c r="B47" s="1"/>
  <c r="B49" s="1"/>
  <c r="B51" s="1"/>
  <c r="B53" s="1"/>
  <c r="B55" s="1"/>
  <c r="B57" s="1"/>
  <c r="B59" s="1"/>
  <c r="B61" s="1"/>
  <c r="B63" s="1"/>
  <c r="B65" s="1"/>
  <c r="B67" s="1"/>
  <c r="B69" s="1"/>
  <c r="B71" s="1"/>
  <c r="B73" s="1"/>
  <c r="B75" s="1"/>
  <c r="B77" s="1"/>
  <c r="B79" s="1"/>
  <c r="B81" s="1"/>
  <c r="B83" s="1"/>
  <c r="B85" s="1"/>
  <c r="B87" s="1"/>
  <c r="B89" s="1"/>
  <c r="B91" s="1"/>
  <c r="B93" s="1"/>
  <c r="B95" s="1"/>
  <c r="B97" s="1"/>
  <c r="B99" s="1"/>
  <c r="B101" s="1"/>
  <c r="B103" s="1"/>
  <c r="B105" s="1"/>
  <c r="B107" s="1"/>
  <c r="B109" s="1"/>
  <c r="B111" s="1"/>
  <c r="B113" s="1"/>
  <c r="B115" s="1"/>
  <c r="B117" s="1"/>
  <c r="B119" s="1"/>
  <c r="B121" s="1"/>
  <c r="B123" s="1"/>
  <c r="B125" s="1"/>
  <c r="B127" s="1"/>
  <c r="B129" s="1"/>
  <c r="B131" s="1"/>
  <c r="B133" s="1"/>
  <c r="B135" s="1"/>
  <c r="B137" s="1"/>
  <c r="B139" s="1"/>
  <c r="B141" s="1"/>
  <c r="B143" s="1"/>
  <c r="B145" s="1"/>
  <c r="B147" s="1"/>
  <c r="B149" s="1"/>
  <c r="B151" s="1"/>
  <c r="B153" s="1"/>
  <c r="B155" s="1"/>
  <c r="B157" s="1"/>
  <c r="B159" s="1"/>
  <c r="B161" s="1"/>
  <c r="B163" s="1"/>
  <c r="B165" s="1"/>
  <c r="B167" s="1"/>
  <c r="B169" s="1"/>
  <c r="B171" s="1"/>
  <c r="B173" s="1"/>
  <c r="B175" s="1"/>
  <c r="B177" s="1"/>
  <c r="B179" s="1"/>
  <c r="B181" s="1"/>
  <c r="B183" s="1"/>
  <c r="B185" s="1"/>
  <c r="B187" s="1"/>
  <c r="B189" s="1"/>
  <c r="B191" s="1"/>
  <c r="B193" s="1"/>
  <c r="B195" s="1"/>
  <c r="B197" s="1"/>
  <c r="B199" s="1"/>
  <c r="B201" s="1"/>
  <c r="B203" s="1"/>
  <c r="B205" s="1"/>
  <c r="B207" s="1"/>
  <c r="B209" s="1"/>
  <c r="B211" s="1"/>
  <c r="B213" s="1"/>
  <c r="B215" s="1"/>
  <c r="B217" s="1"/>
  <c r="B219" s="1"/>
  <c r="B221" s="1"/>
  <c r="B223" s="1"/>
  <c r="B225" s="1"/>
  <c r="B227" s="1"/>
  <c r="B229" s="1"/>
  <c r="B231" s="1"/>
  <c r="B233" s="1"/>
  <c r="B235" s="1"/>
  <c r="B237" s="1"/>
  <c r="B239" s="1"/>
  <c r="B241" s="1"/>
  <c r="B243" s="1"/>
  <c r="B245" s="1"/>
  <c r="B247" s="1"/>
  <c r="B249" s="1"/>
  <c r="B251" s="1"/>
  <c r="B253" s="1"/>
  <c r="B255" s="1"/>
  <c r="B257" s="1"/>
  <c r="B259" s="1"/>
  <c r="B261" s="1"/>
  <c r="B263" s="1"/>
  <c r="B265" s="1"/>
  <c r="B267" s="1"/>
  <c r="B269" s="1"/>
  <c r="Q21"/>
  <c r="O21"/>
  <c r="N21"/>
  <c r="I21"/>
  <c r="Q19"/>
  <c r="O19"/>
  <c r="N19"/>
  <c r="I19"/>
  <c r="E16"/>
  <c r="E9"/>
  <c r="I171" i="5" l="1"/>
  <c r="L171" s="1"/>
  <c r="G157"/>
  <c r="G205" s="1"/>
  <c r="I152"/>
  <c r="K152" s="1"/>
  <c r="I153" s="1"/>
  <c r="L153" s="1"/>
  <c r="G156"/>
  <c r="I156" s="1"/>
  <c r="N187"/>
  <c r="P187" s="1"/>
  <c r="R187" s="1"/>
  <c r="I187"/>
  <c r="L187" s="1"/>
  <c r="N189"/>
  <c r="P189" s="1"/>
  <c r="R189" s="1"/>
  <c r="N191"/>
  <c r="P191" s="1"/>
  <c r="R191" s="1"/>
  <c r="E208"/>
  <c r="I58"/>
  <c r="L58" s="1"/>
  <c r="I52"/>
  <c r="K52" s="1"/>
  <c r="H208"/>
  <c r="E8" i="1" s="1"/>
  <c r="N12" i="5"/>
  <c r="P12" s="1"/>
  <c r="S12" s="1"/>
  <c r="N20"/>
  <c r="P20" s="1"/>
  <c r="I97"/>
  <c r="K97" s="1"/>
  <c r="I18"/>
  <c r="K18" s="1"/>
  <c r="I54"/>
  <c r="L54" s="1"/>
  <c r="I135"/>
  <c r="K135" s="1"/>
  <c r="N53"/>
  <c r="P53" s="1"/>
  <c r="R53" s="1"/>
  <c r="N134"/>
  <c r="P134" s="1"/>
  <c r="R134" s="1"/>
  <c r="I137"/>
  <c r="L137" s="1"/>
  <c r="L73"/>
  <c r="I80"/>
  <c r="L80" s="1"/>
  <c r="N81"/>
  <c r="P81" s="1"/>
  <c r="R81" s="1"/>
  <c r="I115"/>
  <c r="K115" s="1"/>
  <c r="I117"/>
  <c r="L117" s="1"/>
  <c r="N181"/>
  <c r="P181" s="1"/>
  <c r="R181" s="1"/>
  <c r="N177"/>
  <c r="P177" s="1"/>
  <c r="R177" s="1"/>
  <c r="N173"/>
  <c r="P173" s="1"/>
  <c r="R173" s="1"/>
  <c r="N183"/>
  <c r="P183" s="1"/>
  <c r="I20"/>
  <c r="L51"/>
  <c r="N75"/>
  <c r="P75" s="1"/>
  <c r="S75" s="1"/>
  <c r="L96"/>
  <c r="N98"/>
  <c r="P98" s="1"/>
  <c r="S98" s="1"/>
  <c r="N165"/>
  <c r="P165" s="1"/>
  <c r="R165" s="1"/>
  <c r="I26"/>
  <c r="L59"/>
  <c r="N55"/>
  <c r="P55" s="1"/>
  <c r="S55" s="1"/>
  <c r="I125"/>
  <c r="K125" s="1"/>
  <c r="I165"/>
  <c r="L165" s="1"/>
  <c r="I164"/>
  <c r="L164" s="1"/>
  <c r="N122"/>
  <c r="P122" s="1"/>
  <c r="S122" s="1"/>
  <c r="L181"/>
  <c r="N36"/>
  <c r="P36" s="1"/>
  <c r="L57"/>
  <c r="N136"/>
  <c r="P136" s="1"/>
  <c r="R136" s="1"/>
  <c r="N138"/>
  <c r="P138" s="1"/>
  <c r="S138" s="1"/>
  <c r="I141"/>
  <c r="L141" s="1"/>
  <c r="O195"/>
  <c r="N161"/>
  <c r="I34"/>
  <c r="N22"/>
  <c r="P22" s="1"/>
  <c r="K67"/>
  <c r="I68" s="1"/>
  <c r="I60"/>
  <c r="L60" s="1"/>
  <c r="N92"/>
  <c r="P92" s="1"/>
  <c r="S92" s="1"/>
  <c r="L100"/>
  <c r="I105"/>
  <c r="L105" s="1"/>
  <c r="N106"/>
  <c r="P106" s="1"/>
  <c r="K146"/>
  <c r="I147" s="1"/>
  <c r="I149"/>
  <c r="L149" s="1"/>
  <c r="N150"/>
  <c r="P150" s="1"/>
  <c r="I161"/>
  <c r="K161" s="1"/>
  <c r="I162" s="1"/>
  <c r="I180"/>
  <c r="K180" s="1"/>
  <c r="L102"/>
  <c r="K102"/>
  <c r="I103" s="1"/>
  <c r="L77"/>
  <c r="K77"/>
  <c r="I78" s="1"/>
  <c r="L16"/>
  <c r="K16"/>
  <c r="I17" s="1"/>
  <c r="L17" s="1"/>
  <c r="I74"/>
  <c r="L74" s="1"/>
  <c r="H6"/>
  <c r="N18"/>
  <c r="P18" s="1"/>
  <c r="O83"/>
  <c r="N120"/>
  <c r="P120" s="1"/>
  <c r="R120" s="1"/>
  <c r="N128"/>
  <c r="P128" s="1"/>
  <c r="N130"/>
  <c r="P130" s="1"/>
  <c r="R130" s="1"/>
  <c r="L144"/>
  <c r="I101"/>
  <c r="L101" s="1"/>
  <c r="I127"/>
  <c r="K127" s="1"/>
  <c r="I36"/>
  <c r="L36" s="1"/>
  <c r="N65"/>
  <c r="P65" s="1"/>
  <c r="S65" s="1"/>
  <c r="N49"/>
  <c r="P49" s="1"/>
  <c r="R49" s="1"/>
  <c r="I70"/>
  <c r="L70" s="1"/>
  <c r="N71"/>
  <c r="P71" s="1"/>
  <c r="R71" s="1"/>
  <c r="N59"/>
  <c r="P59" s="1"/>
  <c r="R59" s="1"/>
  <c r="K94"/>
  <c r="I95" s="1"/>
  <c r="L140"/>
  <c r="N142"/>
  <c r="P142" s="1"/>
  <c r="S142" s="1"/>
  <c r="I145"/>
  <c r="L145" s="1"/>
  <c r="N171"/>
  <c r="P171" s="1"/>
  <c r="I183"/>
  <c r="K183" s="1"/>
  <c r="I184" s="1"/>
  <c r="N169"/>
  <c r="P169" s="1"/>
  <c r="L90"/>
  <c r="K90"/>
  <c r="I91" s="1"/>
  <c r="L91" s="1"/>
  <c r="L185"/>
  <c r="K185"/>
  <c r="I186" s="1"/>
  <c r="K186" s="1"/>
  <c r="L61"/>
  <c r="K61"/>
  <c r="I62" s="1"/>
  <c r="I24"/>
  <c r="Q44"/>
  <c r="N14"/>
  <c r="P14" s="1"/>
  <c r="N32"/>
  <c r="P32" s="1"/>
  <c r="Q156"/>
  <c r="N112"/>
  <c r="P112" s="1"/>
  <c r="R112" s="1"/>
  <c r="N16"/>
  <c r="N30"/>
  <c r="P30" s="1"/>
  <c r="N26"/>
  <c r="P26" s="1"/>
  <c r="I65"/>
  <c r="L69"/>
  <c r="N67"/>
  <c r="P67" s="1"/>
  <c r="S67" s="1"/>
  <c r="L53"/>
  <c r="I55"/>
  <c r="N77"/>
  <c r="P77" s="1"/>
  <c r="S77" s="1"/>
  <c r="I81"/>
  <c r="O156"/>
  <c r="I92"/>
  <c r="K92" s="1"/>
  <c r="I93" s="1"/>
  <c r="N102"/>
  <c r="P102" s="1"/>
  <c r="S102" s="1"/>
  <c r="I106"/>
  <c r="I111"/>
  <c r="K111" s="1"/>
  <c r="L114"/>
  <c r="N116"/>
  <c r="P116" s="1"/>
  <c r="R116" s="1"/>
  <c r="I120"/>
  <c r="K120" s="1"/>
  <c r="I121" s="1"/>
  <c r="K121" s="1"/>
  <c r="I138"/>
  <c r="N146"/>
  <c r="P146" s="1"/>
  <c r="R146" s="1"/>
  <c r="I150"/>
  <c r="N152"/>
  <c r="P152" s="1"/>
  <c r="R152" s="1"/>
  <c r="I182"/>
  <c r="L182" s="1"/>
  <c r="I173"/>
  <c r="L173" s="1"/>
  <c r="N167"/>
  <c r="P167" s="1"/>
  <c r="R167" s="1"/>
  <c r="G44"/>
  <c r="G200" s="1"/>
  <c r="O44"/>
  <c r="I109"/>
  <c r="K109" s="1"/>
  <c r="H9"/>
  <c r="N63"/>
  <c r="P63" s="1"/>
  <c r="S63" s="1"/>
  <c r="N154"/>
  <c r="P154" s="1"/>
  <c r="R154" s="1"/>
  <c r="H8"/>
  <c r="I12"/>
  <c r="I22"/>
  <c r="N42"/>
  <c r="Q83"/>
  <c r="N61"/>
  <c r="P61" s="1"/>
  <c r="I71"/>
  <c r="K63"/>
  <c r="I64" s="1"/>
  <c r="I75"/>
  <c r="N73"/>
  <c r="P73" s="1"/>
  <c r="R73" s="1"/>
  <c r="L79"/>
  <c r="N90"/>
  <c r="P90" s="1"/>
  <c r="R90" s="1"/>
  <c r="I98"/>
  <c r="N100"/>
  <c r="P100" s="1"/>
  <c r="R100" s="1"/>
  <c r="L104"/>
  <c r="K112"/>
  <c r="I113" s="1"/>
  <c r="N118"/>
  <c r="P118" s="1"/>
  <c r="R118" s="1"/>
  <c r="I130"/>
  <c r="N132"/>
  <c r="P132" s="1"/>
  <c r="S132" s="1"/>
  <c r="I142"/>
  <c r="N144"/>
  <c r="P144" s="1"/>
  <c r="R144" s="1"/>
  <c r="L148"/>
  <c r="K154"/>
  <c r="I155" s="1"/>
  <c r="Q195"/>
  <c r="K175"/>
  <c r="I176" s="1"/>
  <c r="L177"/>
  <c r="I191"/>
  <c r="L191" s="1"/>
  <c r="N193"/>
  <c r="P193" s="1"/>
  <c r="R193" s="1"/>
  <c r="P219" i="4"/>
  <c r="P227"/>
  <c r="O271"/>
  <c r="L53"/>
  <c r="L117"/>
  <c r="L157"/>
  <c r="K45"/>
  <c r="I46" s="1"/>
  <c r="K77"/>
  <c r="P93"/>
  <c r="I271"/>
  <c r="K271" s="1"/>
  <c r="I272" s="1"/>
  <c r="L233"/>
  <c r="K93"/>
  <c r="L37"/>
  <c r="L69"/>
  <c r="L97"/>
  <c r="P155"/>
  <c r="P191"/>
  <c r="R191" s="1"/>
  <c r="K29"/>
  <c r="K61"/>
  <c r="P163"/>
  <c r="P183"/>
  <c r="R183" s="1"/>
  <c r="K37"/>
  <c r="K53"/>
  <c r="K69"/>
  <c r="K89"/>
  <c r="K97"/>
  <c r="P97"/>
  <c r="L101"/>
  <c r="P123"/>
  <c r="P131"/>
  <c r="P187"/>
  <c r="S187" s="1"/>
  <c r="P195"/>
  <c r="S195" s="1"/>
  <c r="P251"/>
  <c r="P259"/>
  <c r="L29"/>
  <c r="L45"/>
  <c r="L61"/>
  <c r="L77"/>
  <c r="P89"/>
  <c r="K101"/>
  <c r="I102" s="1"/>
  <c r="P101"/>
  <c r="K39"/>
  <c r="K55"/>
  <c r="K63"/>
  <c r="K113"/>
  <c r="L119"/>
  <c r="P129"/>
  <c r="S129" s="1"/>
  <c r="K145"/>
  <c r="P159"/>
  <c r="S159" s="1"/>
  <c r="L163"/>
  <c r="K173"/>
  <c r="I176"/>
  <c r="I188"/>
  <c r="P189"/>
  <c r="R189" s="1"/>
  <c r="P193"/>
  <c r="R193" s="1"/>
  <c r="K209"/>
  <c r="I220"/>
  <c r="P221"/>
  <c r="S221" s="1"/>
  <c r="P225"/>
  <c r="S225" s="1"/>
  <c r="L227"/>
  <c r="K241"/>
  <c r="L247"/>
  <c r="P41"/>
  <c r="P57"/>
  <c r="P73"/>
  <c r="L111"/>
  <c r="P121"/>
  <c r="K133"/>
  <c r="I136"/>
  <c r="L136" s="1"/>
  <c r="P151"/>
  <c r="S151" s="1"/>
  <c r="K165"/>
  <c r="K169"/>
  <c r="I180"/>
  <c r="L187"/>
  <c r="I200"/>
  <c r="L200" s="1"/>
  <c r="I212"/>
  <c r="P213"/>
  <c r="S213" s="1"/>
  <c r="P215"/>
  <c r="S215" s="1"/>
  <c r="L219"/>
  <c r="K233"/>
  <c r="L239"/>
  <c r="P247"/>
  <c r="L251"/>
  <c r="K261"/>
  <c r="I264"/>
  <c r="L264" s="1"/>
  <c r="P21"/>
  <c r="K23"/>
  <c r="P25"/>
  <c r="P31"/>
  <c r="S31" s="1"/>
  <c r="P39"/>
  <c r="R39" s="1"/>
  <c r="P47"/>
  <c r="R47" s="1"/>
  <c r="P55"/>
  <c r="S55" s="1"/>
  <c r="P63"/>
  <c r="S63" s="1"/>
  <c r="P71"/>
  <c r="S71" s="1"/>
  <c r="I104"/>
  <c r="I108"/>
  <c r="P109"/>
  <c r="S109" s="1"/>
  <c r="P111"/>
  <c r="S111" s="1"/>
  <c r="P113"/>
  <c r="S113" s="1"/>
  <c r="L115"/>
  <c r="K125"/>
  <c r="I128"/>
  <c r="K129"/>
  <c r="L135"/>
  <c r="I140"/>
  <c r="P141"/>
  <c r="S141" s="1"/>
  <c r="P143"/>
  <c r="S143" s="1"/>
  <c r="P145"/>
  <c r="S145" s="1"/>
  <c r="L147"/>
  <c r="K157"/>
  <c r="I160"/>
  <c r="L160" s="1"/>
  <c r="K161"/>
  <c r="L167"/>
  <c r="I172"/>
  <c r="P173"/>
  <c r="P175"/>
  <c r="S175" s="1"/>
  <c r="P177"/>
  <c r="L179"/>
  <c r="K189"/>
  <c r="I192"/>
  <c r="L192" s="1"/>
  <c r="K193"/>
  <c r="L199"/>
  <c r="I204"/>
  <c r="P205"/>
  <c r="S205" s="1"/>
  <c r="P207"/>
  <c r="P209"/>
  <c r="S209" s="1"/>
  <c r="L211"/>
  <c r="K221"/>
  <c r="I224"/>
  <c r="L224" s="1"/>
  <c r="K225"/>
  <c r="L231"/>
  <c r="I236"/>
  <c r="P237"/>
  <c r="S237" s="1"/>
  <c r="P239"/>
  <c r="P241"/>
  <c r="S241" s="1"/>
  <c r="L243"/>
  <c r="K253"/>
  <c r="I256"/>
  <c r="K257"/>
  <c r="L263"/>
  <c r="I268"/>
  <c r="P269"/>
  <c r="S269" s="1"/>
  <c r="P19"/>
  <c r="S19" s="1"/>
  <c r="P29"/>
  <c r="P37"/>
  <c r="P45"/>
  <c r="P53"/>
  <c r="P61"/>
  <c r="S61" s="1"/>
  <c r="P69"/>
  <c r="P77"/>
  <c r="L81"/>
  <c r="L85"/>
  <c r="P115"/>
  <c r="P147"/>
  <c r="P179"/>
  <c r="P211"/>
  <c r="P243"/>
  <c r="L21"/>
  <c r="K25"/>
  <c r="K31"/>
  <c r="K47"/>
  <c r="K71"/>
  <c r="K109"/>
  <c r="I112"/>
  <c r="L112" s="1"/>
  <c r="I124"/>
  <c r="P125"/>
  <c r="S125" s="1"/>
  <c r="P127"/>
  <c r="L131"/>
  <c r="K141"/>
  <c r="I144"/>
  <c r="L144" s="1"/>
  <c r="L151"/>
  <c r="I156"/>
  <c r="I278" s="1"/>
  <c r="P157"/>
  <c r="S157" s="1"/>
  <c r="P161"/>
  <c r="S161" s="1"/>
  <c r="K177"/>
  <c r="L183"/>
  <c r="L195"/>
  <c r="K205"/>
  <c r="I208"/>
  <c r="L208" s="1"/>
  <c r="L215"/>
  <c r="P223"/>
  <c r="K237"/>
  <c r="I240"/>
  <c r="I252"/>
  <c r="P253"/>
  <c r="S253" s="1"/>
  <c r="P255"/>
  <c r="P257"/>
  <c r="S257" s="1"/>
  <c r="L259"/>
  <c r="K269"/>
  <c r="P33"/>
  <c r="P49"/>
  <c r="P65"/>
  <c r="K105"/>
  <c r="I116"/>
  <c r="P117"/>
  <c r="S117" s="1"/>
  <c r="P119"/>
  <c r="L123"/>
  <c r="K137"/>
  <c r="L143"/>
  <c r="I148"/>
  <c r="P149"/>
  <c r="P153"/>
  <c r="S153" s="1"/>
  <c r="L155"/>
  <c r="I168"/>
  <c r="L168" s="1"/>
  <c r="L175"/>
  <c r="P185"/>
  <c r="S185" s="1"/>
  <c r="K197"/>
  <c r="K201"/>
  <c r="L207"/>
  <c r="P217"/>
  <c r="K229"/>
  <c r="I232"/>
  <c r="L232" s="1"/>
  <c r="I244"/>
  <c r="P249"/>
  <c r="K265"/>
  <c r="K27"/>
  <c r="K35"/>
  <c r="K41"/>
  <c r="K43"/>
  <c r="K49"/>
  <c r="K51"/>
  <c r="K57"/>
  <c r="K59"/>
  <c r="K65"/>
  <c r="K67"/>
  <c r="K73"/>
  <c r="K75"/>
  <c r="L103"/>
  <c r="P105"/>
  <c r="S105" s="1"/>
  <c r="L107"/>
  <c r="K117"/>
  <c r="K121"/>
  <c r="L127"/>
  <c r="P133"/>
  <c r="S133" s="1"/>
  <c r="P135"/>
  <c r="S135" s="1"/>
  <c r="P137"/>
  <c r="S137" s="1"/>
  <c r="L139"/>
  <c r="K149"/>
  <c r="K153"/>
  <c r="L159"/>
  <c r="P165"/>
  <c r="S165" s="1"/>
  <c r="P167"/>
  <c r="S167" s="1"/>
  <c r="P169"/>
  <c r="S169" s="1"/>
  <c r="L171"/>
  <c r="K181"/>
  <c r="K185"/>
  <c r="L191"/>
  <c r="P197"/>
  <c r="R197" s="1"/>
  <c r="P199"/>
  <c r="S199" s="1"/>
  <c r="P201"/>
  <c r="S201" s="1"/>
  <c r="L203"/>
  <c r="K213"/>
  <c r="K217"/>
  <c r="L223"/>
  <c r="P229"/>
  <c r="S229" s="1"/>
  <c r="P231"/>
  <c r="S231" s="1"/>
  <c r="P233"/>
  <c r="S233" s="1"/>
  <c r="L235"/>
  <c r="K245"/>
  <c r="K249"/>
  <c r="L255"/>
  <c r="P261"/>
  <c r="S261" s="1"/>
  <c r="P263"/>
  <c r="S263" s="1"/>
  <c r="P265"/>
  <c r="S265" s="1"/>
  <c r="L267"/>
  <c r="P181"/>
  <c r="R181" s="1"/>
  <c r="K21"/>
  <c r="L31"/>
  <c r="L39"/>
  <c r="L47"/>
  <c r="L55"/>
  <c r="L63"/>
  <c r="L71"/>
  <c r="K81"/>
  <c r="P81"/>
  <c r="K85"/>
  <c r="P85"/>
  <c r="L89"/>
  <c r="L93"/>
  <c r="I98"/>
  <c r="P103"/>
  <c r="P107"/>
  <c r="L109"/>
  <c r="L113"/>
  <c r="K119"/>
  <c r="K131"/>
  <c r="P139"/>
  <c r="L141"/>
  <c r="L145"/>
  <c r="K151"/>
  <c r="K163"/>
  <c r="P171"/>
  <c r="L173"/>
  <c r="L177"/>
  <c r="K183"/>
  <c r="K195"/>
  <c r="P203"/>
  <c r="L205"/>
  <c r="L209"/>
  <c r="K215"/>
  <c r="K227"/>
  <c r="P235"/>
  <c r="L237"/>
  <c r="L241"/>
  <c r="K247"/>
  <c r="K259"/>
  <c r="P267"/>
  <c r="L269"/>
  <c r="K38" i="5"/>
  <c r="I39" s="1"/>
  <c r="L38"/>
  <c r="J202"/>
  <c r="J203"/>
  <c r="K30"/>
  <c r="I31" s="1"/>
  <c r="L30"/>
  <c r="J8"/>
  <c r="G83"/>
  <c r="G202" s="1"/>
  <c r="I202" s="1"/>
  <c r="I49"/>
  <c r="G45"/>
  <c r="G196"/>
  <c r="G207" s="1"/>
  <c r="N24"/>
  <c r="P24" s="1"/>
  <c r="N28"/>
  <c r="P28" s="1"/>
  <c r="N38"/>
  <c r="P38" s="1"/>
  <c r="I32"/>
  <c r="N34"/>
  <c r="P34" s="1"/>
  <c r="N69"/>
  <c r="P69" s="1"/>
  <c r="R69" s="1"/>
  <c r="N57"/>
  <c r="P57" s="1"/>
  <c r="R57" s="1"/>
  <c r="N51"/>
  <c r="P51" s="1"/>
  <c r="R51" s="1"/>
  <c r="N79"/>
  <c r="P79" s="1"/>
  <c r="R79" s="1"/>
  <c r="I88"/>
  <c r="N94"/>
  <c r="N96"/>
  <c r="P96" s="1"/>
  <c r="R96" s="1"/>
  <c r="N104"/>
  <c r="P104" s="1"/>
  <c r="R104" s="1"/>
  <c r="N114"/>
  <c r="P114" s="1"/>
  <c r="R114" s="1"/>
  <c r="I118"/>
  <c r="K118" s="1"/>
  <c r="I119" s="1"/>
  <c r="K119" s="1"/>
  <c r="K122"/>
  <c r="I123" s="1"/>
  <c r="L124"/>
  <c r="N126"/>
  <c r="P126" s="1"/>
  <c r="R126" s="1"/>
  <c r="I132"/>
  <c r="N140"/>
  <c r="P140" s="1"/>
  <c r="R140" s="1"/>
  <c r="N148"/>
  <c r="P148" s="1"/>
  <c r="R148" s="1"/>
  <c r="L163"/>
  <c r="N175"/>
  <c r="P175" s="1"/>
  <c r="L179"/>
  <c r="N185"/>
  <c r="P185" s="1"/>
  <c r="J201"/>
  <c r="K128"/>
  <c r="I129" s="1"/>
  <c r="L128"/>
  <c r="J205"/>
  <c r="G84"/>
  <c r="G203" s="1"/>
  <c r="N40"/>
  <c r="N88"/>
  <c r="N108"/>
  <c r="P108" s="1"/>
  <c r="R108" s="1"/>
  <c r="N110"/>
  <c r="P110" s="1"/>
  <c r="R110" s="1"/>
  <c r="N124"/>
  <c r="P124" s="1"/>
  <c r="R124" s="1"/>
  <c r="N163"/>
  <c r="P163" s="1"/>
  <c r="R163" s="1"/>
  <c r="N179"/>
  <c r="P179" s="1"/>
  <c r="R179" s="1"/>
  <c r="G195"/>
  <c r="G206" s="1"/>
  <c r="I206" s="1"/>
  <c r="K206" s="1"/>
  <c r="J207"/>
  <c r="I28"/>
  <c r="I14"/>
  <c r="I40"/>
  <c r="I42"/>
  <c r="I167"/>
  <c r="I169"/>
  <c r="I189"/>
  <c r="I193"/>
  <c r="K34" i="4"/>
  <c r="L34"/>
  <c r="K87"/>
  <c r="L87"/>
  <c r="K95"/>
  <c r="L95"/>
  <c r="P245"/>
  <c r="K83"/>
  <c r="L83"/>
  <c r="L91"/>
  <c r="K91"/>
  <c r="K99"/>
  <c r="L99"/>
  <c r="L271"/>
  <c r="P99"/>
  <c r="P27"/>
  <c r="L33"/>
  <c r="P43"/>
  <c r="L49"/>
  <c r="P51"/>
  <c r="L57"/>
  <c r="P59"/>
  <c r="L65"/>
  <c r="P67"/>
  <c r="L73"/>
  <c r="P75"/>
  <c r="K79"/>
  <c r="L79"/>
  <c r="P23"/>
  <c r="P83"/>
  <c r="P91"/>
  <c r="L25"/>
  <c r="P35"/>
  <c r="L41"/>
  <c r="K19"/>
  <c r="L27"/>
  <c r="L35"/>
  <c r="L43"/>
  <c r="L51"/>
  <c r="L59"/>
  <c r="L67"/>
  <c r="L75"/>
  <c r="P79"/>
  <c r="P87"/>
  <c r="P95"/>
  <c r="P271" l="1"/>
  <c r="S271" s="1"/>
  <c r="P42" i="5"/>
  <c r="N44"/>
  <c r="P44" s="1"/>
  <c r="K171"/>
  <c r="I172" s="1"/>
  <c r="K172" s="1"/>
  <c r="P161"/>
  <c r="S161" s="1"/>
  <c r="N195"/>
  <c r="P195" s="1"/>
  <c r="S195" s="1"/>
  <c r="K58"/>
  <c r="L52"/>
  <c r="G204"/>
  <c r="I204" s="1"/>
  <c r="K204" s="1"/>
  <c r="I205" s="1"/>
  <c r="K205" s="1"/>
  <c r="L152"/>
  <c r="K187"/>
  <c r="I188" s="1"/>
  <c r="K188" s="1"/>
  <c r="S177"/>
  <c r="P94"/>
  <c r="S94" s="1"/>
  <c r="L125"/>
  <c r="P40"/>
  <c r="R40" s="1"/>
  <c r="P16"/>
  <c r="S16" s="1"/>
  <c r="S71"/>
  <c r="K54"/>
  <c r="K165"/>
  <c r="I166" s="1"/>
  <c r="L166" s="1"/>
  <c r="K191"/>
  <c r="I192" s="1"/>
  <c r="L192" s="1"/>
  <c r="L115"/>
  <c r="K141"/>
  <c r="K137"/>
  <c r="L127"/>
  <c r="I19"/>
  <c r="S18"/>
  <c r="K74"/>
  <c r="L18"/>
  <c r="L97"/>
  <c r="K80"/>
  <c r="R142"/>
  <c r="K164"/>
  <c r="S193"/>
  <c r="R106"/>
  <c r="S106"/>
  <c r="K117"/>
  <c r="K105"/>
  <c r="R132"/>
  <c r="S173"/>
  <c r="L161"/>
  <c r="K60"/>
  <c r="R102"/>
  <c r="S150"/>
  <c r="R150"/>
  <c r="L26"/>
  <c r="S26"/>
  <c r="L183"/>
  <c r="K101"/>
  <c r="S59"/>
  <c r="K149"/>
  <c r="S81"/>
  <c r="K26"/>
  <c r="S112"/>
  <c r="S146"/>
  <c r="R67"/>
  <c r="S144"/>
  <c r="S136"/>
  <c r="S53"/>
  <c r="R36"/>
  <c r="S36"/>
  <c r="R171"/>
  <c r="S171"/>
  <c r="K70"/>
  <c r="S51"/>
  <c r="R75"/>
  <c r="S134"/>
  <c r="R22"/>
  <c r="S22"/>
  <c r="I207"/>
  <c r="L207" s="1"/>
  <c r="R98"/>
  <c r="L180"/>
  <c r="S181"/>
  <c r="K36"/>
  <c r="I37" s="1"/>
  <c r="K37" s="1"/>
  <c r="K177"/>
  <c r="I178" s="1"/>
  <c r="K178" s="1"/>
  <c r="S191"/>
  <c r="K182"/>
  <c r="L34"/>
  <c r="K34"/>
  <c r="S79"/>
  <c r="S189"/>
  <c r="L206"/>
  <c r="K24"/>
  <c r="S90"/>
  <c r="L95"/>
  <c r="K95"/>
  <c r="R169"/>
  <c r="S169"/>
  <c r="S130"/>
  <c r="K173"/>
  <c r="I174" s="1"/>
  <c r="K174" s="1"/>
  <c r="S126"/>
  <c r="K153"/>
  <c r="S100"/>
  <c r="S187"/>
  <c r="S96"/>
  <c r="S154"/>
  <c r="K17"/>
  <c r="S104"/>
  <c r="K145"/>
  <c r="S73"/>
  <c r="S49"/>
  <c r="R122"/>
  <c r="I200"/>
  <c r="K176"/>
  <c r="L176"/>
  <c r="I44"/>
  <c r="L138"/>
  <c r="K138"/>
  <c r="I139" s="1"/>
  <c r="K139" s="1"/>
  <c r="L55"/>
  <c r="K55"/>
  <c r="I56" s="1"/>
  <c r="K56" s="1"/>
  <c r="R61"/>
  <c r="S61"/>
  <c r="L106"/>
  <c r="K106"/>
  <c r="I107" s="1"/>
  <c r="L65"/>
  <c r="K65"/>
  <c r="I66" s="1"/>
  <c r="K68"/>
  <c r="L68"/>
  <c r="N156"/>
  <c r="P156" s="1"/>
  <c r="S108"/>
  <c r="K91"/>
  <c r="R63"/>
  <c r="L12"/>
  <c r="S152"/>
  <c r="S110"/>
  <c r="S165"/>
  <c r="R138"/>
  <c r="R92"/>
  <c r="R55"/>
  <c r="R65"/>
  <c r="R77"/>
  <c r="S163"/>
  <c r="L186"/>
  <c r="S116"/>
  <c r="S120"/>
  <c r="K202"/>
  <c r="I203" s="1"/>
  <c r="L92"/>
  <c r="L142"/>
  <c r="K142"/>
  <c r="I143" s="1"/>
  <c r="L98"/>
  <c r="K98"/>
  <c r="I99" s="1"/>
  <c r="L75"/>
  <c r="K75"/>
  <c r="I76" s="1"/>
  <c r="R12"/>
  <c r="K130"/>
  <c r="I131" s="1"/>
  <c r="L130"/>
  <c r="L71"/>
  <c r="K71"/>
  <c r="I72" s="1"/>
  <c r="K72" s="1"/>
  <c r="L22"/>
  <c r="K22"/>
  <c r="I23" s="1"/>
  <c r="L150"/>
  <c r="K150"/>
  <c r="I151" s="1"/>
  <c r="L81"/>
  <c r="K81"/>
  <c r="I82" s="1"/>
  <c r="K64"/>
  <c r="L64"/>
  <c r="K12"/>
  <c r="S167"/>
  <c r="L24"/>
  <c r="N83"/>
  <c r="P83" s="1"/>
  <c r="R83" s="1"/>
  <c r="R211" i="4"/>
  <c r="R219"/>
  <c r="S219"/>
  <c r="S259"/>
  <c r="R131"/>
  <c r="I62"/>
  <c r="R227"/>
  <c r="S147"/>
  <c r="I94"/>
  <c r="I78"/>
  <c r="I54"/>
  <c r="I30"/>
  <c r="S227"/>
  <c r="S25"/>
  <c r="R61"/>
  <c r="R147"/>
  <c r="I38"/>
  <c r="S107"/>
  <c r="K276"/>
  <c r="I277" s="1"/>
  <c r="S211"/>
  <c r="R115"/>
  <c r="S183"/>
  <c r="R53"/>
  <c r="R243"/>
  <c r="S123"/>
  <c r="R21"/>
  <c r="S189"/>
  <c r="R81"/>
  <c r="S243"/>
  <c r="R195"/>
  <c r="R25"/>
  <c r="S49"/>
  <c r="S193"/>
  <c r="I90"/>
  <c r="R155"/>
  <c r="S155"/>
  <c r="S191"/>
  <c r="R251"/>
  <c r="S163"/>
  <c r="R93"/>
  <c r="S181"/>
  <c r="R101"/>
  <c r="S251"/>
  <c r="R235"/>
  <c r="R179"/>
  <c r="R123"/>
  <c r="S65"/>
  <c r="S101"/>
  <c r="I70"/>
  <c r="S93"/>
  <c r="R33"/>
  <c r="S197"/>
  <c r="R89"/>
  <c r="S235"/>
  <c r="R163"/>
  <c r="S115"/>
  <c r="L98"/>
  <c r="S21"/>
  <c r="K102"/>
  <c r="S33"/>
  <c r="S45"/>
  <c r="S29"/>
  <c r="R107"/>
  <c r="S103"/>
  <c r="L104"/>
  <c r="L102"/>
  <c r="R49"/>
  <c r="S89"/>
  <c r="S97"/>
  <c r="S179"/>
  <c r="S131"/>
  <c r="K70"/>
  <c r="R97"/>
  <c r="R85"/>
  <c r="R203"/>
  <c r="R187"/>
  <c r="R29"/>
  <c r="K98"/>
  <c r="R259"/>
  <c r="K104"/>
  <c r="R65"/>
  <c r="S85"/>
  <c r="R75"/>
  <c r="R43"/>
  <c r="I92"/>
  <c r="R263"/>
  <c r="I250"/>
  <c r="R199"/>
  <c r="I186"/>
  <c r="R167"/>
  <c r="I154"/>
  <c r="R135"/>
  <c r="I122"/>
  <c r="I266"/>
  <c r="K232"/>
  <c r="R217"/>
  <c r="K256"/>
  <c r="R239"/>
  <c r="R207"/>
  <c r="I194"/>
  <c r="R177"/>
  <c r="R35"/>
  <c r="I84"/>
  <c r="R245"/>
  <c r="I196"/>
  <c r="I118"/>
  <c r="I68"/>
  <c r="I60"/>
  <c r="I44"/>
  <c r="R149"/>
  <c r="I138"/>
  <c r="R119"/>
  <c r="I270"/>
  <c r="R255"/>
  <c r="K240"/>
  <c r="R223"/>
  <c r="I206"/>
  <c r="I178"/>
  <c r="R127"/>
  <c r="I26"/>
  <c r="K140"/>
  <c r="L140"/>
  <c r="K108"/>
  <c r="L108"/>
  <c r="I24"/>
  <c r="I262"/>
  <c r="K136"/>
  <c r="R121"/>
  <c r="R221"/>
  <c r="I210"/>
  <c r="K176"/>
  <c r="R129"/>
  <c r="I40"/>
  <c r="R67"/>
  <c r="R51"/>
  <c r="R27"/>
  <c r="I88"/>
  <c r="I260"/>
  <c r="I152"/>
  <c r="I132"/>
  <c r="I82"/>
  <c r="I74"/>
  <c r="I66"/>
  <c r="I58"/>
  <c r="I50"/>
  <c r="I42"/>
  <c r="R185"/>
  <c r="K168"/>
  <c r="R153"/>
  <c r="K148"/>
  <c r="L148"/>
  <c r="R117"/>
  <c r="I106"/>
  <c r="R257"/>
  <c r="R253"/>
  <c r="I238"/>
  <c r="K208"/>
  <c r="R161"/>
  <c r="K156"/>
  <c r="L278" s="1"/>
  <c r="L156"/>
  <c r="K144"/>
  <c r="R125"/>
  <c r="K112"/>
  <c r="I72"/>
  <c r="I32"/>
  <c r="I158"/>
  <c r="R145"/>
  <c r="R141"/>
  <c r="I130"/>
  <c r="I126"/>
  <c r="R113"/>
  <c r="R109"/>
  <c r="R71"/>
  <c r="R63"/>
  <c r="R55"/>
  <c r="S47"/>
  <c r="S39"/>
  <c r="R31"/>
  <c r="T31" s="1"/>
  <c r="K264"/>
  <c r="I234"/>
  <c r="R215"/>
  <c r="K212"/>
  <c r="L212"/>
  <c r="K200"/>
  <c r="K180"/>
  <c r="L180"/>
  <c r="I170"/>
  <c r="R151"/>
  <c r="I134"/>
  <c r="I242"/>
  <c r="R225"/>
  <c r="K220"/>
  <c r="L220"/>
  <c r="K188"/>
  <c r="L188"/>
  <c r="I174"/>
  <c r="R159"/>
  <c r="I146"/>
  <c r="I114"/>
  <c r="I56"/>
  <c r="S239"/>
  <c r="S35"/>
  <c r="S77"/>
  <c r="L256"/>
  <c r="L240"/>
  <c r="L176"/>
  <c r="S119"/>
  <c r="R77"/>
  <c r="R267"/>
  <c r="R171"/>
  <c r="R139"/>
  <c r="L94"/>
  <c r="R57"/>
  <c r="S245"/>
  <c r="S149"/>
  <c r="S255"/>
  <c r="S223"/>
  <c r="S127"/>
  <c r="R45"/>
  <c r="S267"/>
  <c r="S203"/>
  <c r="S171"/>
  <c r="S139"/>
  <c r="R69"/>
  <c r="R103"/>
  <c r="K94"/>
  <c r="L46"/>
  <c r="L30"/>
  <c r="S73"/>
  <c r="S57"/>
  <c r="S41"/>
  <c r="S177"/>
  <c r="S81"/>
  <c r="S69"/>
  <c r="S53"/>
  <c r="S37"/>
  <c r="R59"/>
  <c r="I184"/>
  <c r="I164"/>
  <c r="I22"/>
  <c r="R231"/>
  <c r="I218"/>
  <c r="I36"/>
  <c r="R249"/>
  <c r="I202"/>
  <c r="K236"/>
  <c r="L236"/>
  <c r="K224"/>
  <c r="K204"/>
  <c r="L204"/>
  <c r="I190"/>
  <c r="R173"/>
  <c r="I162"/>
  <c r="I100"/>
  <c r="I96"/>
  <c r="I216"/>
  <c r="I86"/>
  <c r="R105"/>
  <c r="I76"/>
  <c r="I52"/>
  <c r="K116"/>
  <c r="L116"/>
  <c r="K252"/>
  <c r="L252"/>
  <c r="R157"/>
  <c r="I142"/>
  <c r="K124"/>
  <c r="L124"/>
  <c r="I110"/>
  <c r="I48"/>
  <c r="R143"/>
  <c r="K128"/>
  <c r="R111"/>
  <c r="R247"/>
  <c r="R213"/>
  <c r="I166"/>
  <c r="I64"/>
  <c r="I80"/>
  <c r="I248"/>
  <c r="I228"/>
  <c r="I120"/>
  <c r="R265"/>
  <c r="R261"/>
  <c r="I246"/>
  <c r="R233"/>
  <c r="R229"/>
  <c r="I214"/>
  <c r="R201"/>
  <c r="I182"/>
  <c r="R169"/>
  <c r="R165"/>
  <c r="I150"/>
  <c r="R137"/>
  <c r="R133"/>
  <c r="I28"/>
  <c r="K244"/>
  <c r="L244"/>
  <c r="I230"/>
  <c r="I198"/>
  <c r="R19"/>
  <c r="R269"/>
  <c r="K268"/>
  <c r="L268"/>
  <c r="I258"/>
  <c r="I254"/>
  <c r="R241"/>
  <c r="R237"/>
  <c r="I226"/>
  <c r="I222"/>
  <c r="R209"/>
  <c r="R205"/>
  <c r="K192"/>
  <c r="R175"/>
  <c r="K172"/>
  <c r="L172"/>
  <c r="K160"/>
  <c r="S173"/>
  <c r="S207"/>
  <c r="L128"/>
  <c r="S247"/>
  <c r="R37"/>
  <c r="S67"/>
  <c r="K46"/>
  <c r="K30"/>
  <c r="R73"/>
  <c r="R41"/>
  <c r="S249"/>
  <c r="S217"/>
  <c r="S121"/>
  <c r="K167" i="5"/>
  <c r="I168" s="1"/>
  <c r="L167"/>
  <c r="R183"/>
  <c r="S183"/>
  <c r="K162"/>
  <c r="L162"/>
  <c r="K123"/>
  <c r="L123"/>
  <c r="L39"/>
  <c r="K39"/>
  <c r="K132"/>
  <c r="I133" s="1"/>
  <c r="L132"/>
  <c r="K113"/>
  <c r="L113"/>
  <c r="K103"/>
  <c r="L103"/>
  <c r="K78"/>
  <c r="L78"/>
  <c r="L31"/>
  <c r="K31"/>
  <c r="L93"/>
  <c r="K93"/>
  <c r="K169"/>
  <c r="I170" s="1"/>
  <c r="L169"/>
  <c r="L14"/>
  <c r="K14"/>
  <c r="P88"/>
  <c r="R185"/>
  <c r="S185"/>
  <c r="K32"/>
  <c r="L32"/>
  <c r="K184"/>
  <c r="L184"/>
  <c r="K49"/>
  <c r="I83"/>
  <c r="L83" s="1"/>
  <c r="L49"/>
  <c r="K189"/>
  <c r="I190" s="1"/>
  <c r="L189"/>
  <c r="L40"/>
  <c r="K40"/>
  <c r="I41" s="1"/>
  <c r="L129"/>
  <c r="K129"/>
  <c r="R175"/>
  <c r="S175"/>
  <c r="R38"/>
  <c r="S38"/>
  <c r="G201"/>
  <c r="G8"/>
  <c r="K193"/>
  <c r="I194" s="1"/>
  <c r="L193"/>
  <c r="L42"/>
  <c r="K42"/>
  <c r="R30"/>
  <c r="S30"/>
  <c r="K155"/>
  <c r="L155"/>
  <c r="K147"/>
  <c r="L147"/>
  <c r="K88"/>
  <c r="I89" s="1"/>
  <c r="L88"/>
  <c r="K62"/>
  <c r="L62"/>
  <c r="R128"/>
  <c r="S128"/>
  <c r="I195"/>
  <c r="L195" s="1"/>
  <c r="S140"/>
  <c r="S148"/>
  <c r="G9"/>
  <c r="I9" s="1"/>
  <c r="S114"/>
  <c r="S69"/>
  <c r="S179"/>
  <c r="G6"/>
  <c r="I6" s="1"/>
  <c r="S57"/>
  <c r="S124"/>
  <c r="L202"/>
  <c r="K28"/>
  <c r="L28"/>
  <c r="S95" i="4"/>
  <c r="R95"/>
  <c r="S79"/>
  <c r="R79"/>
  <c r="S99"/>
  <c r="R99"/>
  <c r="R91"/>
  <c r="S91"/>
  <c r="R23"/>
  <c r="S23"/>
  <c r="S87"/>
  <c r="R87"/>
  <c r="K272"/>
  <c r="L272"/>
  <c r="R83"/>
  <c r="S83"/>
  <c r="S75"/>
  <c r="S43"/>
  <c r="S51"/>
  <c r="S59"/>
  <c r="S27"/>
  <c r="R271" l="1"/>
  <c r="T271" s="1"/>
  <c r="L172" i="5"/>
  <c r="R161"/>
  <c r="G208"/>
  <c r="I208" s="1"/>
  <c r="L188"/>
  <c r="L204"/>
  <c r="R94"/>
  <c r="R16"/>
  <c r="K166"/>
  <c r="S40"/>
  <c r="L19"/>
  <c r="K192"/>
  <c r="K19"/>
  <c r="K207"/>
  <c r="R18"/>
  <c r="L174"/>
  <c r="L178"/>
  <c r="L37"/>
  <c r="R26"/>
  <c r="I27"/>
  <c r="L56"/>
  <c r="I25"/>
  <c r="L25" s="1"/>
  <c r="R195"/>
  <c r="L72"/>
  <c r="L139"/>
  <c r="I35"/>
  <c r="K203"/>
  <c r="L203"/>
  <c r="I43"/>
  <c r="R42"/>
  <c r="S42"/>
  <c r="L205"/>
  <c r="R34"/>
  <c r="S34"/>
  <c r="I15"/>
  <c r="K151"/>
  <c r="L151"/>
  <c r="K99"/>
  <c r="L99"/>
  <c r="R28"/>
  <c r="L131"/>
  <c r="K131"/>
  <c r="K66"/>
  <c r="L66"/>
  <c r="L23"/>
  <c r="K23"/>
  <c r="K76"/>
  <c r="L76"/>
  <c r="L156"/>
  <c r="K156"/>
  <c r="I157" s="1"/>
  <c r="K107"/>
  <c r="L107"/>
  <c r="I13"/>
  <c r="S83"/>
  <c r="S28"/>
  <c r="I29"/>
  <c r="I33"/>
  <c r="S32"/>
  <c r="R32"/>
  <c r="K82"/>
  <c r="L82"/>
  <c r="K143"/>
  <c r="L143"/>
  <c r="R14"/>
  <c r="S14"/>
  <c r="K62" i="4"/>
  <c r="K78"/>
  <c r="K54"/>
  <c r="L38"/>
  <c r="L62"/>
  <c r="L78"/>
  <c r="K38"/>
  <c r="L54"/>
  <c r="K90"/>
  <c r="K278"/>
  <c r="I279" s="1"/>
  <c r="K279" s="1"/>
  <c r="L276"/>
  <c r="L70"/>
  <c r="H280"/>
  <c r="K100"/>
  <c r="L90"/>
  <c r="K88"/>
  <c r="L84"/>
  <c r="K92"/>
  <c r="K84"/>
  <c r="K96"/>
  <c r="L100"/>
  <c r="L182"/>
  <c r="K182"/>
  <c r="L214"/>
  <c r="K214"/>
  <c r="K48"/>
  <c r="L48"/>
  <c r="K218"/>
  <c r="L218"/>
  <c r="K184"/>
  <c r="L184"/>
  <c r="L158"/>
  <c r="K158"/>
  <c r="K106"/>
  <c r="L106"/>
  <c r="L262"/>
  <c r="K262"/>
  <c r="K266"/>
  <c r="L266"/>
  <c r="L230"/>
  <c r="K230"/>
  <c r="L166"/>
  <c r="K166"/>
  <c r="K76"/>
  <c r="L76"/>
  <c r="K130"/>
  <c r="L130"/>
  <c r="K50"/>
  <c r="L50"/>
  <c r="K66"/>
  <c r="L66"/>
  <c r="K152"/>
  <c r="L152"/>
  <c r="K40"/>
  <c r="L40"/>
  <c r="L24"/>
  <c r="K24"/>
  <c r="L178"/>
  <c r="K178"/>
  <c r="K60"/>
  <c r="L60"/>
  <c r="L222"/>
  <c r="K222"/>
  <c r="K226"/>
  <c r="L226"/>
  <c r="L258"/>
  <c r="K258"/>
  <c r="L198"/>
  <c r="K198"/>
  <c r="K28"/>
  <c r="L28"/>
  <c r="L110"/>
  <c r="K110"/>
  <c r="L52"/>
  <c r="K52"/>
  <c r="K216"/>
  <c r="L216"/>
  <c r="K202"/>
  <c r="L202"/>
  <c r="K56"/>
  <c r="L56"/>
  <c r="K146"/>
  <c r="L146"/>
  <c r="L170"/>
  <c r="K170"/>
  <c r="L234"/>
  <c r="K234"/>
  <c r="L238"/>
  <c r="K238"/>
  <c r="K42"/>
  <c r="L42"/>
  <c r="L58"/>
  <c r="K58"/>
  <c r="L74"/>
  <c r="K74"/>
  <c r="K132"/>
  <c r="L132"/>
  <c r="K260"/>
  <c r="L260"/>
  <c r="K210"/>
  <c r="L210"/>
  <c r="K138"/>
  <c r="L138"/>
  <c r="K44"/>
  <c r="L44"/>
  <c r="K68"/>
  <c r="L68"/>
  <c r="L88"/>
  <c r="L92"/>
  <c r="L96"/>
  <c r="K228"/>
  <c r="L228"/>
  <c r="K22"/>
  <c r="L22"/>
  <c r="L174"/>
  <c r="K174"/>
  <c r="L134"/>
  <c r="K134"/>
  <c r="L126"/>
  <c r="K126"/>
  <c r="L32"/>
  <c r="K32"/>
  <c r="L206"/>
  <c r="K206"/>
  <c r="L270"/>
  <c r="K270"/>
  <c r="K194"/>
  <c r="L194"/>
  <c r="K86"/>
  <c r="L86"/>
  <c r="L162"/>
  <c r="K162"/>
  <c r="K114"/>
  <c r="L114"/>
  <c r="K242"/>
  <c r="L242"/>
  <c r="K26"/>
  <c r="L26"/>
  <c r="L254"/>
  <c r="K254"/>
  <c r="L150"/>
  <c r="K150"/>
  <c r="L246"/>
  <c r="K246"/>
  <c r="K120"/>
  <c r="L120"/>
  <c r="K248"/>
  <c r="L248"/>
  <c r="K64"/>
  <c r="L64"/>
  <c r="L142"/>
  <c r="K142"/>
  <c r="L190"/>
  <c r="K190"/>
  <c r="L36"/>
  <c r="K36"/>
  <c r="K164"/>
  <c r="L164"/>
  <c r="L72"/>
  <c r="K72"/>
  <c r="K82"/>
  <c r="L82"/>
  <c r="L118"/>
  <c r="K118"/>
  <c r="K196"/>
  <c r="L196"/>
  <c r="L122"/>
  <c r="K122"/>
  <c r="L154"/>
  <c r="K154"/>
  <c r="K186"/>
  <c r="L186"/>
  <c r="L250"/>
  <c r="K250"/>
  <c r="K80"/>
  <c r="L80"/>
  <c r="K41" i="5"/>
  <c r="L41"/>
  <c r="K83"/>
  <c r="I50"/>
  <c r="S88"/>
  <c r="R88"/>
  <c r="K170"/>
  <c r="L170"/>
  <c r="R24"/>
  <c r="S24"/>
  <c r="K195"/>
  <c r="L133"/>
  <c r="K133"/>
  <c r="K194"/>
  <c r="L194"/>
  <c r="K89"/>
  <c r="L89"/>
  <c r="K190"/>
  <c r="L190"/>
  <c r="R156"/>
  <c r="S156"/>
  <c r="R44"/>
  <c r="S44"/>
  <c r="K168"/>
  <c r="L168"/>
  <c r="I196"/>
  <c r="L196" s="1"/>
  <c r="D8" i="1" l="1"/>
  <c r="I280" i="4"/>
  <c r="E9" i="1"/>
  <c r="K43" i="5"/>
  <c r="L29"/>
  <c r="L27"/>
  <c r="K27"/>
  <c r="L33"/>
  <c r="K25"/>
  <c r="K13"/>
  <c r="K35"/>
  <c r="L35"/>
  <c r="L43"/>
  <c r="L15"/>
  <c r="K33"/>
  <c r="K15"/>
  <c r="L157"/>
  <c r="K157"/>
  <c r="K196"/>
  <c r="L13"/>
  <c r="K29"/>
  <c r="L279" i="4"/>
  <c r="K277"/>
  <c r="L277"/>
  <c r="J280"/>
  <c r="L50" i="5"/>
  <c r="K50"/>
  <c r="K84" s="1"/>
  <c r="I84"/>
  <c r="L84" s="1"/>
  <c r="L280" i="4" l="1"/>
  <c r="K280"/>
  <c r="H37" i="3"/>
  <c r="F37"/>
  <c r="E37"/>
  <c r="G37" s="1"/>
  <c r="H36"/>
  <c r="F36"/>
  <c r="E36"/>
  <c r="O34"/>
  <c r="M34"/>
  <c r="L34"/>
  <c r="J34"/>
  <c r="G34"/>
  <c r="G33"/>
  <c r="O32"/>
  <c r="M32"/>
  <c r="L32"/>
  <c r="G32"/>
  <c r="J32" s="1"/>
  <c r="O30"/>
  <c r="M30"/>
  <c r="L30"/>
  <c r="G30"/>
  <c r="O28"/>
  <c r="M28"/>
  <c r="L28"/>
  <c r="J28"/>
  <c r="G28"/>
  <c r="O26"/>
  <c r="M26"/>
  <c r="L26"/>
  <c r="G26"/>
  <c r="I26" s="1"/>
  <c r="O24"/>
  <c r="M24"/>
  <c r="L24"/>
  <c r="G24"/>
  <c r="I24" s="1"/>
  <c r="O22"/>
  <c r="M22"/>
  <c r="L22"/>
  <c r="G22"/>
  <c r="O20"/>
  <c r="M20"/>
  <c r="L20"/>
  <c r="G20"/>
  <c r="I20" s="1"/>
  <c r="O18"/>
  <c r="M18"/>
  <c r="L18"/>
  <c r="J18"/>
  <c r="I18"/>
  <c r="G18"/>
  <c r="O16"/>
  <c r="N16"/>
  <c r="M16"/>
  <c r="L16"/>
  <c r="G16"/>
  <c r="I16" s="1"/>
  <c r="O14"/>
  <c r="M14"/>
  <c r="L14"/>
  <c r="G14"/>
  <c r="I14" s="1"/>
  <c r="G15" s="1"/>
  <c r="O12"/>
  <c r="M12"/>
  <c r="L12"/>
  <c r="G12"/>
  <c r="J12" s="1"/>
  <c r="O10"/>
  <c r="M10"/>
  <c r="L10"/>
  <c r="I10"/>
  <c r="G10"/>
  <c r="O8"/>
  <c r="M8"/>
  <c r="L8"/>
  <c r="G8"/>
  <c r="O6"/>
  <c r="M6"/>
  <c r="L6"/>
  <c r="G6"/>
  <c r="I6" s="1"/>
  <c r="I61" i="2"/>
  <c r="G61"/>
  <c r="I60"/>
  <c r="G60"/>
  <c r="F59"/>
  <c r="O58"/>
  <c r="M58"/>
  <c r="F58"/>
  <c r="L58" s="1"/>
  <c r="F57"/>
  <c r="O56"/>
  <c r="M56"/>
  <c r="F56"/>
  <c r="L56" s="1"/>
  <c r="F55"/>
  <c r="O54"/>
  <c r="M54"/>
  <c r="H54"/>
  <c r="J54" s="1"/>
  <c r="F54"/>
  <c r="L54" s="1"/>
  <c r="F53"/>
  <c r="O52"/>
  <c r="M52"/>
  <c r="F52"/>
  <c r="L52" s="1"/>
  <c r="F51"/>
  <c r="O50"/>
  <c r="M50"/>
  <c r="H50"/>
  <c r="J50" s="1"/>
  <c r="F50"/>
  <c r="L50" s="1"/>
  <c r="F49"/>
  <c r="O48"/>
  <c r="M48"/>
  <c r="F48"/>
  <c r="D44"/>
  <c r="D60" s="1"/>
  <c r="I35"/>
  <c r="G35"/>
  <c r="I34"/>
  <c r="G34"/>
  <c r="E14" i="1" s="1"/>
  <c r="E15" s="1"/>
  <c r="D34" i="2"/>
  <c r="F33"/>
  <c r="O32"/>
  <c r="M32"/>
  <c r="F32"/>
  <c r="F31"/>
  <c r="O30"/>
  <c r="M30"/>
  <c r="F30"/>
  <c r="L30" s="1"/>
  <c r="F29"/>
  <c r="O28"/>
  <c r="M28"/>
  <c r="F28"/>
  <c r="F27"/>
  <c r="O26"/>
  <c r="M26"/>
  <c r="L26"/>
  <c r="F26"/>
  <c r="H26" s="1"/>
  <c r="J26" s="1"/>
  <c r="H27" s="1"/>
  <c r="J27" s="1"/>
  <c r="F25"/>
  <c r="O24"/>
  <c r="M24"/>
  <c r="F24"/>
  <c r="H24" s="1"/>
  <c r="F23"/>
  <c r="O22"/>
  <c r="M22"/>
  <c r="F22"/>
  <c r="H22" s="1"/>
  <c r="J22" s="1"/>
  <c r="F21"/>
  <c r="O20"/>
  <c r="M20"/>
  <c r="H20"/>
  <c r="J20" s="1"/>
  <c r="F20"/>
  <c r="L20" s="1"/>
  <c r="F19"/>
  <c r="O18"/>
  <c r="M18"/>
  <c r="F18"/>
  <c r="F17"/>
  <c r="O16"/>
  <c r="M16"/>
  <c r="F16"/>
  <c r="L16" s="1"/>
  <c r="F15"/>
  <c r="O14"/>
  <c r="M14"/>
  <c r="F14"/>
  <c r="F13"/>
  <c r="O12"/>
  <c r="M12"/>
  <c r="F12"/>
  <c r="H12" s="1"/>
  <c r="J12" s="1"/>
  <c r="D9"/>
  <c r="H29" i="1"/>
  <c r="G29"/>
  <c r="I29" s="1"/>
  <c r="H28"/>
  <c r="I16"/>
  <c r="H16"/>
  <c r="F16"/>
  <c r="F11"/>
  <c r="H11" s="1"/>
  <c r="F9"/>
  <c r="F8"/>
  <c r="N26" i="3" l="1"/>
  <c r="N10"/>
  <c r="Q10" s="1"/>
  <c r="M36"/>
  <c r="E7" i="1" s="1"/>
  <c r="E10" s="1"/>
  <c r="E12" s="1"/>
  <c r="F35" i="2"/>
  <c r="H35" s="1"/>
  <c r="J35" s="1"/>
  <c r="N26"/>
  <c r="P26" s="1"/>
  <c r="N30"/>
  <c r="N56"/>
  <c r="P56" s="1"/>
  <c r="N58"/>
  <c r="H16"/>
  <c r="J16" s="1"/>
  <c r="L18"/>
  <c r="O34"/>
  <c r="M34"/>
  <c r="O60"/>
  <c r="L48"/>
  <c r="N48" s="1"/>
  <c r="P48" s="1"/>
  <c r="F63"/>
  <c r="D14" i="1" s="1"/>
  <c r="F14" s="1"/>
  <c r="N18" i="2"/>
  <c r="P18" s="1"/>
  <c r="N20"/>
  <c r="P20" s="1"/>
  <c r="N52"/>
  <c r="P52" s="1"/>
  <c r="N54"/>
  <c r="Q54" s="1"/>
  <c r="L14"/>
  <c r="N14" s="1"/>
  <c r="P14" s="1"/>
  <c r="N16"/>
  <c r="H30"/>
  <c r="J30" s="1"/>
  <c r="H31" s="1"/>
  <c r="L32"/>
  <c r="N32" s="1"/>
  <c r="P32" s="1"/>
  <c r="N50"/>
  <c r="P50" s="1"/>
  <c r="H51"/>
  <c r="Q56"/>
  <c r="L12"/>
  <c r="N12" s="1"/>
  <c r="Q12" s="1"/>
  <c r="F37"/>
  <c r="D13" i="1" s="1"/>
  <c r="K35" i="2"/>
  <c r="L22"/>
  <c r="N22" s="1"/>
  <c r="P22" s="1"/>
  <c r="L28"/>
  <c r="N28" s="1"/>
  <c r="P28" s="1"/>
  <c r="F61"/>
  <c r="H61" s="1"/>
  <c r="K61" s="1"/>
  <c r="H58"/>
  <c r="J58" s="1"/>
  <c r="H59" s="1"/>
  <c r="M60"/>
  <c r="N18" i="3"/>
  <c r="Q18" s="1"/>
  <c r="G36"/>
  <c r="I36" s="1"/>
  <c r="N8"/>
  <c r="P8" s="1"/>
  <c r="J10"/>
  <c r="J20"/>
  <c r="N24"/>
  <c r="Q24" s="1"/>
  <c r="J26"/>
  <c r="J37"/>
  <c r="G21"/>
  <c r="J21" s="1"/>
  <c r="P16"/>
  <c r="G25"/>
  <c r="I25" s="1"/>
  <c r="P24"/>
  <c r="Q26"/>
  <c r="G7"/>
  <c r="P18"/>
  <c r="J6"/>
  <c r="N6"/>
  <c r="I12"/>
  <c r="N12"/>
  <c r="Q12" s="1"/>
  <c r="J14"/>
  <c r="N20"/>
  <c r="Q20" s="1"/>
  <c r="J22"/>
  <c r="I28"/>
  <c r="N28"/>
  <c r="J30"/>
  <c r="J33"/>
  <c r="J8"/>
  <c r="G17"/>
  <c r="J17" s="1"/>
  <c r="G11"/>
  <c r="P10"/>
  <c r="G19"/>
  <c r="J19" s="1"/>
  <c r="G27"/>
  <c r="J27" s="1"/>
  <c r="P26"/>
  <c r="I34"/>
  <c r="Q16"/>
  <c r="L36"/>
  <c r="D7" i="1" s="1"/>
  <c r="N34" i="3"/>
  <c r="Q34" s="1"/>
  <c r="O36"/>
  <c r="G7" i="1" s="1"/>
  <c r="I37" i="3"/>
  <c r="I8"/>
  <c r="N14"/>
  <c r="P14" s="1"/>
  <c r="J16"/>
  <c r="I22"/>
  <c r="N22"/>
  <c r="Q22" s="1"/>
  <c r="J24"/>
  <c r="I30"/>
  <c r="N30"/>
  <c r="I33"/>
  <c r="E17" i="1"/>
  <c r="H9"/>
  <c r="I17" i="3"/>
  <c r="J15"/>
  <c r="I15"/>
  <c r="P6"/>
  <c r="N32"/>
  <c r="Q50" i="2"/>
  <c r="K51"/>
  <c r="J51"/>
  <c r="Q20"/>
  <c r="P16"/>
  <c r="Q16"/>
  <c r="Q58"/>
  <c r="P58"/>
  <c r="J24"/>
  <c r="H25" s="1"/>
  <c r="K24"/>
  <c r="P30"/>
  <c r="Q30"/>
  <c r="H23"/>
  <c r="J23" s="1"/>
  <c r="H21"/>
  <c r="H17"/>
  <c r="H13"/>
  <c r="H55"/>
  <c r="K12"/>
  <c r="H14"/>
  <c r="K16"/>
  <c r="H18"/>
  <c r="K20"/>
  <c r="H28"/>
  <c r="H32"/>
  <c r="H37"/>
  <c r="H48"/>
  <c r="K50"/>
  <c r="H52"/>
  <c r="K54"/>
  <c r="H56"/>
  <c r="F60"/>
  <c r="L24"/>
  <c r="N24" s="1"/>
  <c r="P24" s="1"/>
  <c r="F34"/>
  <c r="I9" i="1"/>
  <c r="I11"/>
  <c r="I28"/>
  <c r="P12" i="2" l="1"/>
  <c r="H63"/>
  <c r="K63" s="1"/>
  <c r="P54"/>
  <c r="Q32"/>
  <c r="Q28"/>
  <c r="J36" i="3"/>
  <c r="D10" i="1"/>
  <c r="F7"/>
  <c r="H7" s="1"/>
  <c r="I19" i="3"/>
  <c r="I27"/>
  <c r="D15" i="1"/>
  <c r="F13"/>
  <c r="Q24" i="2"/>
  <c r="J61"/>
  <c r="Q52"/>
  <c r="Q18"/>
  <c r="K58"/>
  <c r="K30"/>
  <c r="Q48"/>
  <c r="Q14"/>
  <c r="I7" i="3"/>
  <c r="Q8"/>
  <c r="J7"/>
  <c r="G9"/>
  <c r="G35"/>
  <c r="J35" s="1"/>
  <c r="G29"/>
  <c r="P28"/>
  <c r="Q6"/>
  <c r="P32"/>
  <c r="G31"/>
  <c r="N36"/>
  <c r="Q36" s="1"/>
  <c r="P20"/>
  <c r="G13"/>
  <c r="I21"/>
  <c r="Q14"/>
  <c r="J11"/>
  <c r="J25"/>
  <c r="Q28"/>
  <c r="P22"/>
  <c r="P34"/>
  <c r="P30"/>
  <c r="G23"/>
  <c r="P12"/>
  <c r="I11"/>
  <c r="Q30"/>
  <c r="G14" i="1"/>
  <c r="G15" s="1"/>
  <c r="Q32" i="3"/>
  <c r="J13" i="2"/>
  <c r="K13"/>
  <c r="L60"/>
  <c r="N60" s="1"/>
  <c r="H60"/>
  <c r="J52"/>
  <c r="H53" s="1"/>
  <c r="K52"/>
  <c r="J32"/>
  <c r="H33" s="1"/>
  <c r="K32"/>
  <c r="J18"/>
  <c r="H19" s="1"/>
  <c r="K18"/>
  <c r="J17"/>
  <c r="K17"/>
  <c r="J37"/>
  <c r="K37"/>
  <c r="K31"/>
  <c r="J31"/>
  <c r="K25"/>
  <c r="J25"/>
  <c r="L34"/>
  <c r="N34" s="1"/>
  <c r="H34"/>
  <c r="J56"/>
  <c r="H57" s="1"/>
  <c r="K56"/>
  <c r="J48"/>
  <c r="H49" s="1"/>
  <c r="K48"/>
  <c r="J28"/>
  <c r="H29" s="1"/>
  <c r="K28"/>
  <c r="K14"/>
  <c r="J14"/>
  <c r="H15" s="1"/>
  <c r="K55"/>
  <c r="J55"/>
  <c r="J59"/>
  <c r="K59"/>
  <c r="K21"/>
  <c r="J21"/>
  <c r="J63"/>
  <c r="I7" i="1" l="1"/>
  <c r="D12"/>
  <c r="F12" s="1"/>
  <c r="F10"/>
  <c r="F15"/>
  <c r="I13"/>
  <c r="H13"/>
  <c r="I13" i="3"/>
  <c r="J13"/>
  <c r="I29"/>
  <c r="J29"/>
  <c r="J9"/>
  <c r="I23"/>
  <c r="J23"/>
  <c r="P36"/>
  <c r="I31"/>
  <c r="J31"/>
  <c r="I35"/>
  <c r="I14" i="1"/>
  <c r="H14"/>
  <c r="J49" i="2"/>
  <c r="K49"/>
  <c r="P60"/>
  <c r="Q60"/>
  <c r="J29"/>
  <c r="K29"/>
  <c r="J57"/>
  <c r="K57"/>
  <c r="J19"/>
  <c r="K19"/>
  <c r="J53"/>
  <c r="K53"/>
  <c r="P34"/>
  <c r="Q34"/>
  <c r="J33"/>
  <c r="K33"/>
  <c r="J15"/>
  <c r="K15"/>
  <c r="J34"/>
  <c r="K34"/>
  <c r="J60"/>
  <c r="K60"/>
  <c r="D17" i="1" l="1"/>
  <c r="F17" s="1"/>
  <c r="I15"/>
  <c r="H15"/>
  <c r="L20" i="5"/>
  <c r="Q20"/>
  <c r="S20" s="1"/>
  <c r="K20"/>
  <c r="K44" s="1"/>
  <c r="J44"/>
  <c r="J9" s="1"/>
  <c r="R20" l="1"/>
  <c r="L9"/>
  <c r="K9"/>
  <c r="J6"/>
  <c r="L44"/>
  <c r="J200"/>
  <c r="I21"/>
  <c r="J208" l="1"/>
  <c r="L200"/>
  <c r="K200"/>
  <c r="I201" s="1"/>
  <c r="L21"/>
  <c r="I45"/>
  <c r="L45" s="1"/>
  <c r="K21"/>
  <c r="K45" s="1"/>
  <c r="L6"/>
  <c r="K6"/>
  <c r="I8" s="1"/>
  <c r="K8" l="1"/>
  <c r="L8"/>
  <c r="G8" i="1"/>
  <c r="K208" i="5"/>
  <c r="L208"/>
  <c r="L201"/>
  <c r="K201"/>
  <c r="H8" i="1" l="1"/>
  <c r="I8"/>
  <c r="G10"/>
  <c r="I10" l="1"/>
  <c r="G12"/>
  <c r="G17" s="1"/>
  <c r="H10"/>
  <c r="I17" l="1"/>
  <c r="H17"/>
  <c r="I12"/>
  <c r="H12"/>
</calcChain>
</file>

<file path=xl/comments1.xml><?xml version="1.0" encoding="utf-8"?>
<comments xmlns="http://schemas.openxmlformats.org/spreadsheetml/2006/main">
  <authors>
    <author>Autor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446-2019 Cesión 27,254 ton desde XII Región EMB POLY EMB VICTOR ALEJANDRO-AREA PTO NATALES  a EMDEPES SA.
532-2019 Cesión 1402,741 t Merluza del sur de ORGANIZACIONES Región de Aysén a EMDEPES SA.
564-2019 Cesión 1363,311 t Merluza del sur desde XII Region-Embarcaciones Area Natales y Punta Arenas a EMDEPES SA.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392-2019 Cesión 305,556 ton de AREA CALBUCO B Región de Los Lagos a PESQ GRIMAR
396-2019 Cesión 106 ton de AREA PALENA Región de Los Lagos a PESQ GRIMAR
442-2019 Cesión 193,879 ton de ORGANIZACIONES Región de AISEN  a PESQ GRIMAR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531-2019 Cesión 722.274 t Merluza del sur de ORGANIZACIONES Región de Aysén a PESQ SUR AUSTRAL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392-2019 Cesión 305,556 ton de AREA CALBUCO B Región de Los Lagos a PESQ GRIMAR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396-2019 Cesión 106 ton de AREA PALENA Región de Los Lagos a PESQ GRIMAR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13_02-2019 _Cierre de Cuota Merluza del sur, X Región_PALENA_Enero-Julio 2019 [ 497 ]
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10-01-2019 _ Cierre de Cuota Merluza del sur, X Región_RESIDUAL_Enero-Julio 2019 [ 112 ]
14-01-2019 _ Cierre de Cuota Merluza del sur, X Región_BOLSON RESIDUAL_Año 2019 [ 122 ]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10-01-2019 _ Cierre de Cuota Merluza del sur, X Región_RESIDUAL_Enero-Julio 2019 [ 112 ]
14-01-2019 _ Cierre de Cuota Merluza del sur, X Región_BOLSON RESIDUAL_Año 2019 [ 122 ]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H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531-2019 Cesión 50,662  ton de ORG A PESQ SUR AUSTRAL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17218 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531-2019 Cesión 59,545  ton de ORG A PESQ SUR AUSTRAL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531-2019 Cesión 62,183 ton de ORG A PESQ SUR AUSTRAL</t>
        </r>
      </text>
    </comment>
    <comment ref="M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17218 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49,031  ton de ORG A EMDEPES SA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531-2019 Cesión 97,352 ton de ORG A PESQ SUR AUSTRAL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67,207 ton de ORG A EMDEPES SA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13,840 ton de ORG A EMDEPES SA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66,110 ton de ORG A EMDEPES SA</t>
        </r>
      </text>
    </comment>
    <comment ref="M6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13,840 ton de ORG A EMDEPES SA</t>
        </r>
      </text>
    </comment>
    <comment ref="M6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54,294 ton de ORG A EMDEPES SA</t>
        </r>
      </text>
    </comment>
    <comment ref="M6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13,997 ton de ORG A EMDEPES SA</t>
        </r>
      </text>
    </comment>
    <comment ref="M6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22,302 ton de ORG A EMDEPES SA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24,238 ton de ORG A EMDEPES SA</t>
        </r>
      </text>
    </comment>
    <comment ref="H7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4,316  ton de ORG A EMDEPES SA</t>
        </r>
      </text>
    </comment>
    <comment ref="M7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8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531-2019 Cesión 40,854 ton de ORG A PESQ SUR AUSTRAL</t>
        </r>
      </text>
    </comment>
    <comment ref="M8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17218 </t>
        </r>
      </text>
    </comment>
    <comment ref="H9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7,728  ton de ORG A A EMDEPES SA</t>
        </r>
      </text>
    </comment>
    <comment ref="M9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9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5 ton de ORG A A EMDEPES SA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9,427 ton de ORG A A EMDEPES SA</t>
        </r>
      </text>
    </comment>
    <comment ref="M10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M1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10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44,368 on de ORG A A EMDEPES SA</t>
        </r>
      </text>
    </comment>
    <comment ref="H1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531-2019 Cesión 34,481 ton de ORG A PESQ SUR AUSTRAL</t>
        </r>
      </text>
    </comment>
    <comment ref="M1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17218 </t>
        </r>
      </text>
    </comment>
    <comment ref="H11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49,556 ton de ORG A A EMDEPES SA</t>
        </r>
      </text>
    </comment>
    <comment ref="M11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1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531-2019 Cesión 46,205 ton de ORG A PESQ SUR AUSTRAL</t>
        </r>
      </text>
    </comment>
    <comment ref="M1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17218 </t>
        </r>
      </text>
    </comment>
    <comment ref="H1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86,635 ton de ORG A A EMDEPES SA</t>
        </r>
      </text>
    </comment>
    <comment ref="M1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1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79,788 ton de ORG A A EMDEPES SA</t>
        </r>
      </text>
    </comment>
    <comment ref="M1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1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442-2019 Cesión 46,652 ton de ORGANIZACIONES Región de AISEN  a PESQ GRIMAR</t>
        </r>
      </text>
    </comment>
    <comment ref="H12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49,481 ton de ORG A A EMDEPES SA</t>
        </r>
      </text>
    </comment>
    <comment ref="H1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75,880 ton de ORG A A EMDEPES SA</t>
        </r>
      </text>
    </comment>
    <comment ref="M1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1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531-2019 Cesión 73,206 ton de ORG A PESQ SUR AUSTRAL</t>
        </r>
      </text>
    </comment>
    <comment ref="M1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17218 </t>
        </r>
      </text>
    </comment>
    <comment ref="H13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442-2019 Cesión 108,840 ton de ORGANIZACIONES Región de AISEN  a PESQ GRIMAR</t>
        </r>
      </text>
    </comment>
    <comment ref="H1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531-2019 Cesión 93,687 ton de ORG A PESQ SUR AUSTRAL</t>
        </r>
      </text>
    </comment>
    <comment ref="H13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531-2019 Cesión 23,331 ton de ORG A PESQ SUR AUSTRAL</t>
        </r>
      </text>
    </comment>
    <comment ref="M13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17218 </t>
        </r>
      </text>
    </comment>
    <comment ref="H1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531-2019 Cesión 21,249 ton de ORG A PESQ SUR AUSTRAL</t>
        </r>
      </text>
    </comment>
    <comment ref="M1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17218 </t>
        </r>
      </text>
    </comment>
    <comment ref="H14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5,133
 ton de ORG A A EMDEPES SA</t>
        </r>
      </text>
    </comment>
    <comment ref="M14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14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442-2019 Cesión 3,662 ton de ORGANIZACIONES Región de AISEN  a PESQ GRIMAR</t>
        </r>
      </text>
    </comment>
    <comment ref="H16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61,342 ton de ORG A A EMDEPES SA</t>
        </r>
      </text>
    </comment>
    <comment ref="H16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37,068 ton de ORG A A EMDEPES SA</t>
        </r>
      </text>
    </comment>
    <comment ref="H16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35,898  ton de ORG A A EMDEPES SA</t>
        </r>
      </text>
    </comment>
    <comment ref="M16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M17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17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531-2019 Cesión 119,519 ton de ORG A PESQ SUR AUSTRAL</t>
        </r>
      </text>
    </comment>
    <comment ref="M17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17218 </t>
        </r>
      </text>
    </comment>
    <comment ref="H18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69,151 ton de ORG A A EMDEPES SA</t>
        </r>
      </text>
    </comment>
    <comment ref="H18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48,413 ton de ORG A A EMDEPES SA</t>
        </r>
      </text>
    </comment>
    <comment ref="M18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M18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18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26,097 ton de ORG A A EMDEPES SA</t>
        </r>
      </text>
    </comment>
    <comment ref="M18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18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90,336 ton de ORG A A EMDEPES SA</t>
        </r>
      </text>
    </comment>
    <comment ref="M18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18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57,424  ton de ORG A A EMDEPES SA</t>
        </r>
      </text>
    </comment>
    <comment ref="M18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H19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2,557  ton de ORG A A EMDEPES SA</t>
        </r>
      </text>
    </comment>
    <comment ref="M19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Ord N° 17221 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442-2019 Cesión 34,725 ton de ORGANIZACIONES Región de AISEN  a PESQ GRIMAR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90,336 ton de ORG A A EMDEPES SA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532-2019 Cesión 20,890 ton de ORG A A EMDEPES SA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H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446-2019 Cesión 13,627 ton de Embarcacion VICTOR ALEJANDRO AREA PTO NATALES  a EMDEPES SA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7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8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9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9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9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0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0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0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0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2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3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446-2019 Cesión 13,627 ton de Embarcacion POLY AREA PTO NATALES   a EMDEPES SA</t>
        </r>
      </text>
    </comment>
    <comment ref="H1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4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4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4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4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5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5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5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5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5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6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6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6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6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6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7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7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7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7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8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8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8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8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9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9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19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0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0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0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4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4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4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5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5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5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5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6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6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6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  <comment ref="H26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564-2019 Cesión 13,627 ton de Embarcacion  a EMDEPES SA</t>
        </r>
      </text>
    </comment>
  </commentList>
</comments>
</file>

<file path=xl/sharedStrings.xml><?xml version="1.0" encoding="utf-8"?>
<sst xmlns="http://schemas.openxmlformats.org/spreadsheetml/2006/main" count="2617" uniqueCount="477">
  <si>
    <t>RESUMEN ANUAL CONSUMO GLOBAL DE CUOTA MERLUZA DEL SUR  41°28,6' al 57° L.S. AÑO 2019</t>
  </si>
  <si>
    <t>SECTOR</t>
  </si>
  <si>
    <t>Región/Area</t>
  </si>
  <si>
    <t>Cuota asignada</t>
  </si>
  <si>
    <t>Movimientos</t>
  </si>
  <si>
    <t>Cuota Efectiva</t>
  </si>
  <si>
    <t>Captura</t>
  </si>
  <si>
    <t>Saldo</t>
  </si>
  <si>
    <t>Consumo</t>
  </si>
  <si>
    <t>Artesanal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</si>
  <si>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</si>
  <si>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</si>
  <si>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</si>
  <si>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</si>
  <si>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</si>
  <si>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</t>
  </si>
  <si>
    <t>Industrial</t>
  </si>
  <si>
    <t>TOTAL FRACCION INDUSTRIAL</t>
  </si>
  <si>
    <t xml:space="preserve">             Investigacion</t>
  </si>
  <si>
    <t>CUOTA GLOBAL MERLUZA DEL SUR  41°28,6' al 57° L.S.</t>
  </si>
  <si>
    <t>FACTOR 0,9 (ENTERAS EVISCERADAS)</t>
  </si>
  <si>
    <t>Cuota Anual de Captura Merluza del Sur Fuera de Unidades de Pesquería 2019</t>
  </si>
  <si>
    <t>Unidad de Pesquería</t>
  </si>
  <si>
    <t>Sector/Fracción</t>
  </si>
  <si>
    <t>Cuota Global asignada (t)</t>
  </si>
  <si>
    <t>Capturas</t>
  </si>
  <si>
    <t>Total Captura</t>
  </si>
  <si>
    <t>Saldo (t)</t>
  </si>
  <si>
    <t>% Consumo</t>
  </si>
  <si>
    <t>Fecha cierre</t>
  </si>
  <si>
    <t>Merluza del sur (D. Ex. N°806/27-12-2017)</t>
  </si>
  <si>
    <t xml:space="preserve"> Industrial - Artesanal</t>
  </si>
  <si>
    <t>-</t>
  </si>
  <si>
    <t>Fauna Acompañante</t>
  </si>
  <si>
    <t>CONTROL DE CUOTA MERLUZA DEL SUR POR TITULAR LTP CLASE A Y B, AÑO 2019</t>
  </si>
  <si>
    <t>Unidad pesqueria</t>
  </si>
  <si>
    <t>Periodo</t>
  </si>
  <si>
    <t>Merluza del Sur paralelo  (NORTE)</t>
  </si>
  <si>
    <t>Ene-Jul</t>
  </si>
  <si>
    <t>Agosto</t>
  </si>
  <si>
    <t>VEDA</t>
  </si>
  <si>
    <t>Feb-Dic</t>
  </si>
  <si>
    <t>TOTAL</t>
  </si>
  <si>
    <t xml:space="preserve">Unidad Pesquería </t>
  </si>
  <si>
    <t>Titular Ltp</t>
  </si>
  <si>
    <t>Coeficientes A y B</t>
  </si>
  <si>
    <t>Cuota Asignada</t>
  </si>
  <si>
    <t xml:space="preserve">Cuota efectiva </t>
  </si>
  <si>
    <t>Saldo periodo</t>
  </si>
  <si>
    <t>Consumo periodo</t>
  </si>
  <si>
    <t>Cuota asignada Año</t>
  </si>
  <si>
    <t>Captura Año</t>
  </si>
  <si>
    <t>Saldo Año</t>
  </si>
  <si>
    <t>Consumo Año</t>
  </si>
  <si>
    <t>Merluza del Sur paralelo  41°28,6' al 47° L.S. (NE)</t>
  </si>
  <si>
    <t>EMDEPES S.A.</t>
  </si>
  <si>
    <t>Ene</t>
  </si>
  <si>
    <t>GRIMAR S.A. PESQ.</t>
  </si>
  <si>
    <t>PESCA CISNE S.A.</t>
  </si>
  <si>
    <t>SUR AUSTRAL S.A. PESQ.</t>
  </si>
  <si>
    <t>DERIS S.A.</t>
  </si>
  <si>
    <t>CONGELADOS PACIFICO SpA hoy PACIFICBLU SpA.</t>
  </si>
  <si>
    <t>ALIMENTOS MARINOS S.A. ALIMAR</t>
  </si>
  <si>
    <t>PESQUERA BIO BIO S.A. hoy PESQUERA BIO BIO SpA.</t>
  </si>
  <si>
    <t>PESCA FINA SpA. hoy PACIFICBLU SpA.</t>
  </si>
  <si>
    <t>ISLA QUIHUA S.A. PESQ.</t>
  </si>
  <si>
    <t>LOTE DESIERTO</t>
  </si>
  <si>
    <t>TOTAL PERIODOS</t>
  </si>
  <si>
    <t xml:space="preserve">TOTAL OBJETIVO </t>
  </si>
  <si>
    <t>Merluza del Sur paralelo  (SUR)</t>
  </si>
  <si>
    <t xml:space="preserve"> Merluza del Sur paralelo 47° al 57° L.S. (SE)</t>
  </si>
  <si>
    <t>ALEXIS CABRERA VALLEJOS</t>
  </si>
  <si>
    <t>PESQ. GRIMAR S.A.</t>
  </si>
  <si>
    <t>PESQ. SUR AUSTRAL S.A.</t>
  </si>
  <si>
    <t/>
  </si>
  <si>
    <t xml:space="preserve"> </t>
  </si>
  <si>
    <t>REGION</t>
  </si>
  <si>
    <t>Id</t>
  </si>
  <si>
    <t>AREA ASIGNACION</t>
  </si>
  <si>
    <t>PERIODO</t>
  </si>
  <si>
    <t>%Consumo periodo</t>
  </si>
  <si>
    <t>Fecha de Cierre</t>
  </si>
  <si>
    <t>%Consumo Año</t>
  </si>
  <si>
    <t>CALBUCO A</t>
  </si>
  <si>
    <t>Ene - Jul</t>
  </si>
  <si>
    <t>Sept - Dic</t>
  </si>
  <si>
    <t>CALBUCO B</t>
  </si>
  <si>
    <t>CALBUCO C</t>
  </si>
  <si>
    <t>CALBUCO D</t>
  </si>
  <si>
    <t>CHILOE A</t>
  </si>
  <si>
    <t>CHILOE B</t>
  </si>
  <si>
    <t>CHILOE C</t>
  </si>
  <si>
    <t>CHILOE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</si>
  <si>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</si>
  <si>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</si>
  <si>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</si>
  <si>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</si>
  <si>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</si>
  <si>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</si>
  <si>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</si>
  <si>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CONTROL CUOTA MERLUZA DEL SUR ARTESANAL REGION DE MAGALLANES Y ANTARTICA CHILENA, AÑO 2019</t>
  </si>
  <si>
    <t>XII Región de Magallanes</t>
  </si>
  <si>
    <t>Sep-Dic</t>
  </si>
  <si>
    <t>AREA</t>
  </si>
  <si>
    <t>Coeficiente asignacion Individual</t>
  </si>
  <si>
    <t>Cierre</t>
  </si>
  <si>
    <t>PUERTO NATALES</t>
  </si>
  <si>
    <t>70 Embarcaciones</t>
  </si>
  <si>
    <t>PUNTA ARENAS</t>
  </si>
  <si>
    <t>56 Embarcaciones</t>
  </si>
  <si>
    <t>Id control</t>
  </si>
  <si>
    <t>Id Emb</t>
  </si>
  <si>
    <t>Embarcacion Asignataria</t>
  </si>
  <si>
    <t>Rpa</t>
  </si>
  <si>
    <t xml:space="preserve">Saldo </t>
  </si>
  <si>
    <t>CALETA VIRTUDES I</t>
  </si>
  <si>
    <t>NANAY</t>
  </si>
  <si>
    <t>NICOL FERNANDA</t>
  </si>
  <si>
    <t>PABLA</t>
  </si>
  <si>
    <t>SAN JOAQUIN</t>
  </si>
  <si>
    <t>SAN JUAN I</t>
  </si>
  <si>
    <t>AGALLADITO</t>
  </si>
  <si>
    <t>ALCIDES</t>
  </si>
  <si>
    <t>ANESTI II</t>
  </si>
  <si>
    <t>DON ADRIAN</t>
  </si>
  <si>
    <t>REY MAR</t>
  </si>
  <si>
    <t>SANTA CATALINA I</t>
  </si>
  <si>
    <t>SOR TERESA</t>
  </si>
  <si>
    <t>VICTOR ALEJANDRO</t>
  </si>
  <si>
    <t>VICMAR I</t>
  </si>
  <si>
    <t>COMO PUDIERA</t>
  </si>
  <si>
    <t>SAN PEDRO</t>
  </si>
  <si>
    <t>TEMERARIO I</t>
  </si>
  <si>
    <t>VUELVO POR TI</t>
  </si>
  <si>
    <t>CORALITO</t>
  </si>
  <si>
    <t>ICEBERG I</t>
  </si>
  <si>
    <t>JORGE II</t>
  </si>
  <si>
    <t>NO ME OLVIDES</t>
  </si>
  <si>
    <t>REY DE CORAZONES</t>
  </si>
  <si>
    <t>SANTA ELENA</t>
  </si>
  <si>
    <t>PAKITO</t>
  </si>
  <si>
    <t>PARRANDERO</t>
  </si>
  <si>
    <t>PETREL I</t>
  </si>
  <si>
    <t>PETREL II</t>
  </si>
  <si>
    <t>RIO BUENO</t>
  </si>
  <si>
    <t>RODOLFITO</t>
  </si>
  <si>
    <t>PATITO</t>
  </si>
  <si>
    <t>PETREL III</t>
  </si>
  <si>
    <t xml:space="preserve">SAN NICOLÁS </t>
  </si>
  <si>
    <t>SOLARI</t>
  </si>
  <si>
    <t>ANGEL MATÍAS</t>
  </si>
  <si>
    <t>CAPRICHOSA</t>
  </si>
  <si>
    <t>CARLOS FABIÁN</t>
  </si>
  <si>
    <t>CHINGAO</t>
  </si>
  <si>
    <t>EL BASILON</t>
  </si>
  <si>
    <t>FRESIA</t>
  </si>
  <si>
    <t>MABEL</t>
  </si>
  <si>
    <t>GREY</t>
  </si>
  <si>
    <t>ISRAEL</t>
  </si>
  <si>
    <t>LOLA</t>
  </si>
  <si>
    <t>VICTORIA III</t>
  </si>
  <si>
    <t>MENTIROSA</t>
  </si>
  <si>
    <t>MONSON</t>
  </si>
  <si>
    <t>PINGUINO I</t>
  </si>
  <si>
    <t>PINGUINO II</t>
  </si>
  <si>
    <t xml:space="preserve">YHONATAN NIETO </t>
  </si>
  <si>
    <t>YORDANA</t>
  </si>
  <si>
    <t>YORDANA II</t>
  </si>
  <si>
    <t>PULPO</t>
  </si>
  <si>
    <t>CRISTO SALVA I</t>
  </si>
  <si>
    <t>DOÑA MONSE</t>
  </si>
  <si>
    <t>FRANCISCA I</t>
  </si>
  <si>
    <t>LUGOR</t>
  </si>
  <si>
    <t>MACARENA</t>
  </si>
  <si>
    <t>POLY</t>
  </si>
  <si>
    <t>SOL DE AMÉRICA</t>
  </si>
  <si>
    <t>CHANBERLEY</t>
  </si>
  <si>
    <t>PANGA</t>
  </si>
  <si>
    <t>VICTOR I</t>
  </si>
  <si>
    <t>GATUNOS</t>
  </si>
  <si>
    <t>BAHÍA PERALES</t>
  </si>
  <si>
    <t>DIEMAR II</t>
  </si>
  <si>
    <t>STEFANY</t>
  </si>
  <si>
    <t>VAMPIRO</t>
  </si>
  <si>
    <t>ROMANE ISAIAS</t>
  </si>
  <si>
    <t>ALBATROS II</t>
  </si>
  <si>
    <t>ALFA HUARA</t>
  </si>
  <si>
    <t>BERNARDITA I</t>
  </si>
  <si>
    <t>BORIS</t>
  </si>
  <si>
    <t>CARANCO</t>
  </si>
  <si>
    <t>CECILIA I</t>
  </si>
  <si>
    <t>CECILIA II</t>
  </si>
  <si>
    <t>VALENT</t>
  </si>
  <si>
    <t>VALENT I</t>
  </si>
  <si>
    <t>CORRAL</t>
  </si>
  <si>
    <t>DANIELA III</t>
  </si>
  <si>
    <t>EBEN-EZER</t>
  </si>
  <si>
    <t>LONCOYEN</t>
  </si>
  <si>
    <t>NATIVA</t>
  </si>
  <si>
    <t>TIBURON I</t>
  </si>
  <si>
    <t>TOBY I</t>
  </si>
  <si>
    <t>EMMANUEL</t>
  </si>
  <si>
    <t>JADU</t>
  </si>
  <si>
    <t>HURACAN II</t>
  </si>
  <si>
    <t>CISNE III</t>
  </si>
  <si>
    <t>El TATA</t>
  </si>
  <si>
    <t>NUEVO MILENIO</t>
  </si>
  <si>
    <t>JESUS MARIA</t>
  </si>
  <si>
    <t xml:space="preserve">ARIEL </t>
  </si>
  <si>
    <t>ANGELA RENEE</t>
  </si>
  <si>
    <t>AMANECER</t>
  </si>
  <si>
    <t>PAJARO AZUL</t>
  </si>
  <si>
    <t>SIETE MARES</t>
  </si>
  <si>
    <t>VAGABUNDO I</t>
  </si>
  <si>
    <t>LA FORTUNA</t>
  </si>
  <si>
    <t>ARAUCANO</t>
  </si>
  <si>
    <t>CHINGAO II</t>
  </si>
  <si>
    <t>CRISHNA I</t>
  </si>
  <si>
    <t>TUAMAPU</t>
  </si>
  <si>
    <t>GEMINIS</t>
  </si>
  <si>
    <t>HIMALAYA</t>
  </si>
  <si>
    <t>CLAUDIO I</t>
  </si>
  <si>
    <t>LA KARLITA</t>
  </si>
  <si>
    <t>NATALIA BEATRIZ</t>
  </si>
  <si>
    <t>SOL NACIENTE</t>
  </si>
  <si>
    <t>OLIMPO I</t>
  </si>
  <si>
    <t>NICOLAS</t>
  </si>
  <si>
    <t>NICOL I</t>
  </si>
  <si>
    <t>SAN SEBASTIAN XVI</t>
  </si>
  <si>
    <t>BELL II</t>
  </si>
  <si>
    <t>CAUTIN</t>
  </si>
  <si>
    <t>COBRA</t>
  </si>
  <si>
    <t>DAMAR II</t>
  </si>
  <si>
    <t>DON IGNACIO</t>
  </si>
  <si>
    <t>EL BACAN</t>
  </si>
  <si>
    <t>CORCOVADO II</t>
  </si>
  <si>
    <t>TOPACIO</t>
  </si>
  <si>
    <t>SANTA VALENTINA</t>
  </si>
  <si>
    <t>YOVY</t>
  </si>
  <si>
    <t>CHUKAKU</t>
  </si>
  <si>
    <t>CONTROL CUOTA MERLUZA DEL SUR ARTESANAL RAE XI REGION DE AYSEN, AÑO 2019</t>
  </si>
  <si>
    <t>Región</t>
  </si>
  <si>
    <t>Cuota asignada periodo</t>
  </si>
  <si>
    <t>Captura periodo</t>
  </si>
  <si>
    <t>XII Región de Aysen</t>
  </si>
  <si>
    <t>TOTAL AÑO</t>
  </si>
  <si>
    <t>Area</t>
  </si>
  <si>
    <t>Asignatario de la Cuota</t>
  </si>
  <si>
    <t>Cod. Organización</t>
  </si>
  <si>
    <t>Coeficiente</t>
  </si>
  <si>
    <t>Periodos</t>
  </si>
  <si>
    <t>Cuota asignada año</t>
  </si>
  <si>
    <t>Consumo año</t>
  </si>
  <si>
    <t xml:space="preserve"> FLOTA NORTE 1</t>
  </si>
  <si>
    <t>87-11</t>
  </si>
  <si>
    <t xml:space="preserve">COOPEFISH      </t>
  </si>
  <si>
    <t xml:space="preserve">COOPERATIVA ULTIMA ESPERANZA GALA  </t>
  </si>
  <si>
    <t xml:space="preserve">COOPESGAL     </t>
  </si>
  <si>
    <t>11.02.0047</t>
  </si>
  <si>
    <t>11.02.0048</t>
  </si>
  <si>
    <t>11.05.0009</t>
  </si>
  <si>
    <t xml:space="preserve">SIND GALA N° 1  </t>
  </si>
  <si>
    <t>11.02.0024</t>
  </si>
  <si>
    <t>11.05.0002</t>
  </si>
  <si>
    <t>11.02.0022</t>
  </si>
  <si>
    <t>11.05.0014</t>
  </si>
  <si>
    <t>11.02.0030</t>
  </si>
  <si>
    <t>76.580.226-1</t>
  </si>
  <si>
    <t>76.304.988-4</t>
  </si>
  <si>
    <t>76.257.407-1</t>
  </si>
  <si>
    <t>RESIDUAL FLOTA NORTE 1</t>
  </si>
  <si>
    <t>TOTAL FLOTA NORTE 1</t>
  </si>
  <si>
    <t>FLOTA NORTE 2</t>
  </si>
  <si>
    <t>85-11</t>
  </si>
  <si>
    <t xml:space="preserve">COOPERATIVA PIONEROS DEL MAR DE PTO CISNES COOPACIS   </t>
  </si>
  <si>
    <t>11.05.0005</t>
  </si>
  <si>
    <t>11.05.0017</t>
  </si>
  <si>
    <t>11.05.0024</t>
  </si>
  <si>
    <t>11.05.0022</t>
  </si>
  <si>
    <t>ene-julo</t>
  </si>
  <si>
    <t>sept-Dic</t>
  </si>
  <si>
    <t xml:space="preserve">STI FRUTOS DE DIOS     </t>
  </si>
  <si>
    <t>11.05.0021</t>
  </si>
  <si>
    <t xml:space="preserve">SIND CISNES - LA UNION   </t>
  </si>
  <si>
    <t>11.05.0001</t>
  </si>
  <si>
    <t>11.05.0013</t>
  </si>
  <si>
    <t>11.05.0006</t>
  </si>
  <si>
    <t>11.05.0015</t>
  </si>
  <si>
    <t>11.05.0018</t>
  </si>
  <si>
    <t>11.02.0025</t>
  </si>
  <si>
    <t>11.05.0019</t>
  </si>
  <si>
    <t>76.665.337-5</t>
  </si>
  <si>
    <t>76.288,822-k</t>
  </si>
  <si>
    <t>RESIDUAL FLOTA NORTE 2</t>
  </si>
  <si>
    <t>TOTAL FLOTA NORTE 2</t>
  </si>
  <si>
    <t xml:space="preserve"> FLOTA SUR 1</t>
  </si>
  <si>
    <t>11.02.0041</t>
  </si>
  <si>
    <t>11.02.0074</t>
  </si>
  <si>
    <t xml:space="preserve"> SOCIEDAD PA MAR ADENTRO LTDA   </t>
  </si>
  <si>
    <t xml:space="preserve"> 76.292.169-3</t>
  </si>
  <si>
    <t xml:space="preserve">SERVICIO EVENECER LTDA   </t>
  </si>
  <si>
    <t xml:space="preserve"> 76.304.204-9</t>
  </si>
  <si>
    <t xml:space="preserve">NINIVE LTDA  </t>
  </si>
  <si>
    <t xml:space="preserve"> 76.313.647-7</t>
  </si>
  <si>
    <t>SOCIEDAD SUSANA LTDA</t>
  </si>
  <si>
    <t xml:space="preserve"> 76.290.196-K</t>
  </si>
  <si>
    <t>MAYORGA  Y MAYORGA LTDA</t>
  </si>
  <si>
    <t xml:space="preserve"> 76.469.761-8</t>
  </si>
  <si>
    <t>SOCIEDAD PESCA ARTESANAL BLANCO Y NEGRO LTDA</t>
  </si>
  <si>
    <t xml:space="preserve"> 76.298.763-5</t>
  </si>
  <si>
    <t>BAHIA MAR</t>
  </si>
  <si>
    <t>11.02.0106</t>
  </si>
  <si>
    <t xml:space="preserve">COPENAY </t>
  </si>
  <si>
    <t xml:space="preserve">   ROL - 4650</t>
  </si>
  <si>
    <t>11.02.0021</t>
  </si>
  <si>
    <t xml:space="preserve">COPEPAY  </t>
  </si>
  <si>
    <t xml:space="preserve">     ROL 4569</t>
  </si>
  <si>
    <t>STI ESTUARIO DE AYSEN</t>
  </si>
  <si>
    <t>11.02.0099</t>
  </si>
  <si>
    <t xml:space="preserve"> 11.02.0070</t>
  </si>
  <si>
    <t xml:space="preserve">STI PESCADORES ARTESANALES ULTIMA ESPERANZA </t>
  </si>
  <si>
    <t xml:space="preserve"> 11.02.0065</t>
  </si>
  <si>
    <t>SIND AYSEN - ESFUERZO DEL MAR</t>
  </si>
  <si>
    <t xml:space="preserve"> 11.02.0100</t>
  </si>
  <si>
    <t>11.02.0084</t>
  </si>
  <si>
    <t>STI PESCADORES ARTESANALES PLAYAS BLANCAS</t>
  </si>
  <si>
    <t>11.02.0075</t>
  </si>
  <si>
    <t>STI PESCADORES ARTESANALES LIBERTAD DEL MAR</t>
  </si>
  <si>
    <t>11.02.0073</t>
  </si>
  <si>
    <t xml:space="preserve">STI PESCADORES ARTESANALES LITORAL SUR </t>
  </si>
  <si>
    <t xml:space="preserve"> 11.02.0043</t>
  </si>
  <si>
    <t>STI MARES AUSTRALES N° 3 PTO AYSEN</t>
  </si>
  <si>
    <t xml:space="preserve"> 11.02.0044</t>
  </si>
  <si>
    <t xml:space="preserve">STI RIO AYSEN </t>
  </si>
  <si>
    <t>11.02.0110</t>
  </si>
  <si>
    <t xml:space="preserve">AG AYSEN  </t>
  </si>
  <si>
    <t>AG   833-1981</t>
  </si>
  <si>
    <t>SOCIEDAD DE PESCADORES ARTESANALES LTDA</t>
  </si>
  <si>
    <t xml:space="preserve"> 76.458.859-2</t>
  </si>
  <si>
    <t xml:space="preserve">   11.02.0028</t>
  </si>
  <si>
    <t>SIND AYSEN - LOS ETERNOS NAVEGANTES</t>
  </si>
  <si>
    <t>11.02.0126</t>
  </si>
  <si>
    <t xml:space="preserve">COOPERATIVA DE PESCADORES PILCOSTA  </t>
  </si>
  <si>
    <t xml:space="preserve"> ROL 4759</t>
  </si>
  <si>
    <t xml:space="preserve">TURISMO SUR AYSEN LTDA </t>
  </si>
  <si>
    <t xml:space="preserve"> 76.518.703-6</t>
  </si>
  <si>
    <t>SOCIEDAD MININEA LTDA</t>
  </si>
  <si>
    <t xml:space="preserve"> 76.210.264-1</t>
  </si>
  <si>
    <t>SOCIEDAD ARCHIPIELAGO DE LOS CHONOS LIMITADA</t>
  </si>
  <si>
    <t xml:space="preserve"> 76,287.241-2</t>
  </si>
  <si>
    <t xml:space="preserve">SOCIEDAD HUIQUEN Y POBLETE LTDA </t>
  </si>
  <si>
    <t xml:space="preserve"> 76.726.181-0</t>
  </si>
  <si>
    <t>SOCIEDAD ANALUZ LTDA</t>
  </si>
  <si>
    <t xml:space="preserve"> 76.726.561-1</t>
  </si>
  <si>
    <t>SOCIEDAD OCAMPOS URIBE Y LTDA</t>
  </si>
  <si>
    <t>SOCIEDAD PUINAO Y MONTIEL LTDA</t>
  </si>
  <si>
    <t>SOCIEDAD SUBIABRE E HIJOS LTDA</t>
  </si>
  <si>
    <t>RESIDUAL FLOTA SUR I</t>
  </si>
  <si>
    <t>TOTAL FLOTA SUR 1</t>
  </si>
  <si>
    <t>FLOTA SUR 2</t>
  </si>
  <si>
    <t>CODEMAIH</t>
  </si>
  <si>
    <t xml:space="preserve">COOPESUR    </t>
  </si>
  <si>
    <t xml:space="preserve">COOPERATIVA DE PTO AGUIRRE COPEAGU    </t>
  </si>
  <si>
    <t>4257 - 11414257</t>
  </si>
  <si>
    <t>11.02.0066</t>
  </si>
  <si>
    <t>11.02.0069</t>
  </si>
  <si>
    <t>11.02.0029</t>
  </si>
  <si>
    <t>11.02.0054</t>
  </si>
  <si>
    <t>11.02.0122</t>
  </si>
  <si>
    <t>11.02.0019</t>
  </si>
  <si>
    <t>11.02.0034</t>
  </si>
  <si>
    <t>11.02.0042</t>
  </si>
  <si>
    <t>11.02.0051</t>
  </si>
  <si>
    <t>11.02.0077</t>
  </si>
  <si>
    <t>11.02.0082</t>
  </si>
  <si>
    <t>11.02.0147</t>
  </si>
  <si>
    <t>76.133.677-0</t>
  </si>
  <si>
    <t>RESIDUAL FLOTA SUR 2</t>
  </si>
  <si>
    <t>TOTAL FLOTA SUR 2</t>
  </si>
  <si>
    <t>RESUMEN POR AREA</t>
  </si>
  <si>
    <t>MERLUZA DEL SUR 41°28,6' al 47° L.S. (NE)</t>
  </si>
  <si>
    <t>MERLUZA DEL SUR 47° al 57° L.S. (SE)</t>
  </si>
  <si>
    <t xml:space="preserve">TOTAL OBJETIVO REGION </t>
  </si>
  <si>
    <t>TOTAL OBJETIVO REGION</t>
  </si>
  <si>
    <t>CONTROL CUOTA MERLUZA DEL SUR ARTESANAL RAE X REGION DE LOS LAGOS, AÑO 2019</t>
  </si>
  <si>
    <t>STI FRANCISCO ANDRADE</t>
  </si>
  <si>
    <t>STI HEREDEROS DEL ARTE</t>
  </si>
  <si>
    <t>STI ISLAS HUICHAS N°1</t>
  </si>
  <si>
    <t xml:space="preserve">STI ANDRADE DE ISLAS HUICHAS N°3 </t>
  </si>
  <si>
    <t xml:space="preserve"> STI AGUIRRE - MARES DEL SUR</t>
  </si>
  <si>
    <t>STI MORALEDA DE AGUIRRE</t>
  </si>
  <si>
    <t>STI NUEVO AMANECER</t>
  </si>
  <si>
    <t>STI PROA AL FUTURO</t>
  </si>
  <si>
    <t xml:space="preserve">STI CANAL PUYUHUAPI    </t>
  </si>
  <si>
    <t xml:space="preserve">AG ISLA TOTO </t>
  </si>
  <si>
    <t xml:space="preserve">AG DEMERSAL    </t>
  </si>
  <si>
    <t xml:space="preserve">STI AMPARO DE PUERTO GAVIOTA    </t>
  </si>
  <si>
    <t>STI EL PITICO</t>
  </si>
  <si>
    <t xml:space="preserve">STI ELEFANTES  </t>
  </si>
  <si>
    <t xml:space="preserve">STI LITORAL NORTE     </t>
  </si>
  <si>
    <t xml:space="preserve">STI MORALEDA DE GAVIOTA  </t>
  </si>
  <si>
    <t>STI MORALEDA DE PUERTO CISNES</t>
  </si>
  <si>
    <t>STI PUERTO GAVIOTA</t>
  </si>
  <si>
    <t>STI SAN PEDRO</t>
  </si>
  <si>
    <t>SOCIEDAD MAYORGA DIAZ LTDA.</t>
  </si>
  <si>
    <t>SOCIEDAD SERVICIOS PESCA CISNES LTDA</t>
  </si>
  <si>
    <t xml:space="preserve">SINDICATO CHACABUCO-WALTER MONTIEL      </t>
  </si>
  <si>
    <t xml:space="preserve">SINDICATO AYSEN-CANAL COSTA </t>
  </si>
  <si>
    <t>SINDICATO AYSEN-LOS CHONOS</t>
  </si>
  <si>
    <t>PESCADORES ART. AYSEN</t>
  </si>
  <si>
    <t>SOCIEDAD ALMONACID ANDRADE E HIJOS LTDA</t>
  </si>
  <si>
    <t>SIND GALA ANTONIO RONCHI</t>
  </si>
  <si>
    <t>STI PUERTO RAUL MARIN BALMACEDA</t>
  </si>
  <si>
    <t>SOCIEDAD DE PESCADORES PUERTO GALA LTDA</t>
  </si>
  <si>
    <t xml:space="preserve">SOCIEDAD AMAROMAR LTDA </t>
  </si>
  <si>
    <t xml:space="preserve">STI PUERTO PUYUHUAPI LOS DELFINES </t>
  </si>
  <si>
    <t>SIND PUYUHUAPI  B M PESC ARTES</t>
  </si>
  <si>
    <t>MERLUZA DEL SUR INDUSTRIAL</t>
  </si>
  <si>
    <t>NORTE EXTERIOR</t>
  </si>
  <si>
    <t>SUR EXTERIOR</t>
  </si>
  <si>
    <t>Total general</t>
  </si>
  <si>
    <t>CUOTA ASIGNADA</t>
  </si>
  <si>
    <t>SumaDeCAPTURA</t>
  </si>
  <si>
    <t>76,779,789-3</t>
  </si>
  <si>
    <t>SIND AYSEN - BM PESC ARTES</t>
  </si>
  <si>
    <t>STI AGUIRRE - AGUAS CLARAS</t>
  </si>
  <si>
    <t>STI N° 1 PUERTO DE PUYUHUAPI</t>
  </si>
  <si>
    <t xml:space="preserve">SIND PUYUHUAPI - NUEVO HORIZONTE   </t>
  </si>
  <si>
    <t xml:space="preserve">STI BAHIA CHACABUCO   </t>
  </si>
  <si>
    <t>531-2019 Cesión 722.274 t Merluza del sur Región de Aysén a PESQ SUR AUSTRAL</t>
  </si>
  <si>
    <t>442-2019 Cesión 193.879 t Merluza del sur Región de Aysén a PESQ GRIMAR</t>
  </si>
  <si>
    <t xml:space="preserve">Total </t>
  </si>
  <si>
    <t>STI NUEVA AVENTURA</t>
  </si>
  <si>
    <t>SOCIEDAD LEVIÑANCO HNOS LTDA</t>
  </si>
  <si>
    <t>STI DE LA PESCA ARTESANAL DE CALETA ANDRADE</t>
  </si>
  <si>
    <t>STI AGUIRRE - ARCHIPIELAGOS DEL SUR</t>
  </si>
  <si>
    <t xml:space="preserve">SIND CISNES PESC ART Y B M     </t>
  </si>
  <si>
    <t>STI N° 1  PUERTO CISNES</t>
  </si>
  <si>
    <t>532-2019 Cesión 1402.471 t Merluza del sur Región de Aysén a EMDEPES SA</t>
  </si>
  <si>
    <t>Cierre N° 17218</t>
  </si>
  <si>
    <t>Cierre N° 17221</t>
  </si>
  <si>
    <t>sin cierre de cuotas</t>
  </si>
  <si>
    <t>SUR II (17 organizaciones)</t>
  </si>
  <si>
    <t>SUR I 36 organizaciones</t>
  </si>
  <si>
    <t>NORTE I (16 organizaciones)</t>
  </si>
  <si>
    <t>NORTE II (17 organizaciones)</t>
  </si>
  <si>
    <t xml:space="preserve">Total Organizaciones </t>
  </si>
  <si>
    <t xml:space="preserve"> 76.292.169-2</t>
  </si>
  <si>
    <t>PESCADORES ART AYSEN</t>
  </si>
  <si>
    <t>SINDICATO AYSEN - LOS CHONOS</t>
  </si>
  <si>
    <t>RAG   833-1981</t>
  </si>
  <si>
    <t>SOCIEDAD ARCHIPIELAGO DE LOS CHONOS LTDA</t>
  </si>
  <si>
    <t>SOCIEDAD OCAMPOS URIBE LTDA</t>
  </si>
  <si>
    <t>76.874.454-8</t>
  </si>
  <si>
    <t>76.295.623-3</t>
  </si>
  <si>
    <t>SOCIEDAD PESQUERA LEVIÑANCO HNOS LTDA</t>
  </si>
  <si>
    <t>STI ANDRADE - FRANCISCO ANDRADE</t>
  </si>
  <si>
    <t>STI AGUIRRE - NUEVAVENTURA</t>
  </si>
  <si>
    <t xml:space="preserve">STI ANDRADE - ISLAS HUICHAS N°3 </t>
  </si>
  <si>
    <t xml:space="preserve">SIND AGUIRRE DE MORALEDA </t>
  </si>
  <si>
    <t>SIND NUEVO AMANECER</t>
  </si>
  <si>
    <t>SIND AGUIRRE - ARCHIPIELAGOS DEL SUR</t>
  </si>
  <si>
    <t>STI BAHIA MAR</t>
  </si>
  <si>
    <t xml:space="preserve">STI N°1  PUERTO PUYUHUAPI </t>
  </si>
  <si>
    <t>SIND GALA - ANTONIO RONCHI</t>
  </si>
  <si>
    <t>SOCIEDAD PESCADORES PUERTO GALA LTDA</t>
  </si>
  <si>
    <t xml:space="preserve">COOPERATIVA PIONEROS DEL MAR DE PTO CISNES - COOPACIS   </t>
  </si>
  <si>
    <t xml:space="preserve">STI MORALEDA DE PTO GAVIOTA  </t>
  </si>
  <si>
    <t xml:space="preserve">STI AMPARO DE PTO GAVIOTA    </t>
  </si>
  <si>
    <t>STI DE LA PESCA ARTESANAL DE PTO GAVIOTA</t>
  </si>
  <si>
    <t>SOCIEDAD MAYORGA DIAZ LTDA</t>
  </si>
  <si>
    <t>PACIFICBLU SpA</t>
  </si>
  <si>
    <t>TOTAL TITULARES LTP</t>
  </si>
  <si>
    <t>Consumo captura Año</t>
  </si>
  <si>
    <t>Consumo Cuota Año</t>
  </si>
  <si>
    <t>RAE X REGION</t>
  </si>
  <si>
    <t>1049,406</t>
  </si>
</sst>
</file>

<file path=xl/styles.xml><?xml version="1.0" encoding="utf-8"?>
<styleSheet xmlns="http://schemas.openxmlformats.org/spreadsheetml/2006/main">
  <numFmts count="16">
    <numFmt numFmtId="43" formatCode="_-* #,##0.00_-;\-* #,##0.00_-;_-* &quot;-&quot;??_-;_-@_-"/>
    <numFmt numFmtId="164" formatCode="[$-F800]dddd\,\ mmmm\ dd\,\ yyyy"/>
    <numFmt numFmtId="165" formatCode="0.0"/>
    <numFmt numFmtId="166" formatCode="0.000"/>
    <numFmt numFmtId="167" formatCode="#,##0_ ;[Red]\-#,##0\ "/>
    <numFmt numFmtId="168" formatCode="#,##0.000_ ;[Red]\-#,##0.000\ "/>
    <numFmt numFmtId="169" formatCode="#,##0.00_ ;[Red]\-#,##0.00\ "/>
    <numFmt numFmtId="170" formatCode="_-* #,##0.0_-;\-* #,##0.0_-;_-* &quot;-&quot;??_-;_-@_-"/>
    <numFmt numFmtId="171" formatCode="0.000_ ;[Red]\-0.000\ "/>
    <numFmt numFmtId="172" formatCode="0.0%"/>
    <numFmt numFmtId="173" formatCode="yyyy/mm/dd;@"/>
    <numFmt numFmtId="174" formatCode="0.000%"/>
    <numFmt numFmtId="175" formatCode="0.0000000"/>
    <numFmt numFmtId="176" formatCode="_-* #,##0.000_-;\-* #,##0.000_-;_-* &quot;-&quot;??_-;_-@_-"/>
    <numFmt numFmtId="177" formatCode="0.0000"/>
    <numFmt numFmtId="178" formatCode="0.00000000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6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name val="@Arial Unicode MS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0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" fillId="0" borderId="0"/>
    <xf numFmtId="0" fontId="15" fillId="0" borderId="0"/>
  </cellStyleXfs>
  <cellXfs count="1151">
    <xf numFmtId="0" fontId="0" fillId="0" borderId="0" xfId="0"/>
    <xf numFmtId="0" fontId="0" fillId="0" borderId="0" xfId="0" applyFont="1" applyFill="1"/>
    <xf numFmtId="0" fontId="0" fillId="2" borderId="0" xfId="0" applyFont="1" applyFill="1"/>
    <xf numFmtId="0" fontId="0" fillId="0" borderId="0" xfId="0" applyFont="1" applyFill="1" applyAlignment="1">
      <alignment horizontal="center" vertical="center"/>
    </xf>
    <xf numFmtId="0" fontId="3" fillId="0" borderId="0" xfId="0" applyFont="1" applyFill="1"/>
    <xf numFmtId="165" fontId="0" fillId="0" borderId="0" xfId="0" applyNumberFormat="1" applyFont="1" applyFill="1"/>
    <xf numFmtId="14" fontId="3" fillId="2" borderId="12" xfId="0" applyNumberFormat="1" applyFont="1" applyFill="1" applyBorder="1" applyAlignment="1">
      <alignment horizontal="center"/>
    </xf>
    <xf numFmtId="14" fontId="3" fillId="2" borderId="13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165" fontId="9" fillId="7" borderId="7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 vertical="center"/>
    </xf>
    <xf numFmtId="166" fontId="9" fillId="7" borderId="7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/>
    </xf>
    <xf numFmtId="166" fontId="10" fillId="10" borderId="7" xfId="0" applyNumberFormat="1" applyFont="1" applyFill="1" applyBorder="1" applyAlignment="1">
      <alignment horizontal="center" vertical="center"/>
    </xf>
    <xf numFmtId="170" fontId="10" fillId="0" borderId="7" xfId="1" applyNumberFormat="1" applyFont="1" applyBorder="1" applyAlignment="1">
      <alignment horizontal="center" vertical="center"/>
    </xf>
    <xf numFmtId="9" fontId="11" fillId="9" borderId="7" xfId="2" applyFont="1" applyFill="1" applyBorder="1" applyAlignment="1">
      <alignment horizontal="center" vertical="center"/>
    </xf>
    <xf numFmtId="9" fontId="10" fillId="0" borderId="0" xfId="2" applyFont="1" applyFill="1" applyAlignment="1">
      <alignment horizontal="center" vertical="center"/>
    </xf>
    <xf numFmtId="2" fontId="11" fillId="9" borderId="7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9" fillId="7" borderId="7" xfId="0" applyNumberFormat="1" applyFont="1" applyFill="1" applyBorder="1" applyAlignment="1">
      <alignment horizontal="center" vertical="center" wrapText="1"/>
    </xf>
    <xf numFmtId="9" fontId="9" fillId="7" borderId="7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/>
    </xf>
    <xf numFmtId="10" fontId="10" fillId="2" borderId="0" xfId="2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10" fontId="0" fillId="2" borderId="0" xfId="2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166" fontId="0" fillId="10" borderId="7" xfId="0" applyNumberForma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10" fontId="0" fillId="10" borderId="7" xfId="2" applyNumberFormat="1" applyFont="1" applyFill="1" applyBorder="1" applyAlignment="1">
      <alignment horizontal="center" vertical="center"/>
    </xf>
    <xf numFmtId="0" fontId="0" fillId="2" borderId="0" xfId="0" applyFill="1"/>
    <xf numFmtId="1" fontId="9" fillId="7" borderId="17" xfId="0" applyNumberFormat="1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9" fontId="9" fillId="7" borderId="17" xfId="2" applyFont="1" applyFill="1" applyBorder="1" applyAlignment="1">
      <alignment horizontal="center" vertical="center" wrapText="1"/>
    </xf>
    <xf numFmtId="0" fontId="0" fillId="12" borderId="0" xfId="0" applyFill="1"/>
    <xf numFmtId="0" fontId="0" fillId="0" borderId="0" xfId="0" applyFont="1" applyFill="1" applyAlignment="1">
      <alignment vertical="center"/>
    </xf>
    <xf numFmtId="166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64" fontId="8" fillId="0" borderId="0" xfId="0" applyNumberFormat="1" applyFont="1" applyFill="1" applyBorder="1" applyAlignment="1">
      <alignment horizontal="center" vertical="center"/>
    </xf>
    <xf numFmtId="166" fontId="23" fillId="7" borderId="2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2" borderId="25" xfId="0" applyFont="1" applyFill="1" applyBorder="1" applyAlignment="1">
      <alignment horizontal="center" vertical="center"/>
    </xf>
    <xf numFmtId="0" fontId="0" fillId="17" borderId="2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 vertical="center" wrapText="1"/>
    </xf>
    <xf numFmtId="166" fontId="23" fillId="7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2" fillId="8" borderId="25" xfId="0" applyFont="1" applyFill="1" applyBorder="1" applyAlignment="1">
      <alignment horizontal="center"/>
    </xf>
    <xf numFmtId="171" fontId="19" fillId="0" borderId="35" xfId="0" applyNumberFormat="1" applyFont="1" applyFill="1" applyBorder="1" applyAlignment="1" applyProtection="1">
      <alignment horizontal="right" vertical="center"/>
    </xf>
    <xf numFmtId="171" fontId="19" fillId="0" borderId="28" xfId="0" applyNumberFormat="1" applyFont="1" applyFill="1" applyBorder="1" applyAlignment="1" applyProtection="1">
      <alignment horizontal="right" vertical="center"/>
    </xf>
    <xf numFmtId="0" fontId="22" fillId="8" borderId="30" xfId="0" applyFont="1" applyFill="1" applyBorder="1" applyAlignment="1">
      <alignment horizontal="center"/>
    </xf>
    <xf numFmtId="171" fontId="19" fillId="0" borderId="3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12" borderId="0" xfId="0" applyFont="1" applyFill="1" applyAlignment="1">
      <alignment vertical="center"/>
    </xf>
    <xf numFmtId="166" fontId="0" fillId="17" borderId="39" xfId="0" applyNumberFormat="1" applyFont="1" applyFill="1" applyBorder="1" applyAlignment="1">
      <alignment horizontal="center" vertical="center"/>
    </xf>
    <xf numFmtId="171" fontId="19" fillId="0" borderId="39" xfId="0" applyNumberFormat="1" applyFont="1" applyFill="1" applyBorder="1" applyAlignment="1" applyProtection="1">
      <alignment horizontal="center" vertical="center"/>
    </xf>
    <xf numFmtId="0" fontId="0" fillId="18" borderId="39" xfId="0" applyFont="1" applyFill="1" applyBorder="1" applyAlignment="1">
      <alignment horizontal="center" vertical="center"/>
    </xf>
    <xf numFmtId="171" fontId="3" fillId="0" borderId="41" xfId="0" applyNumberFormat="1" applyFont="1" applyFill="1" applyBorder="1" applyAlignment="1">
      <alignment horizontal="center" vertical="center"/>
    </xf>
    <xf numFmtId="166" fontId="3" fillId="0" borderId="4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9" fillId="19" borderId="25" xfId="0" applyFont="1" applyFill="1" applyBorder="1" applyAlignment="1">
      <alignment horizontal="center" vertical="center" wrapText="1"/>
    </xf>
    <xf numFmtId="166" fontId="9" fillId="19" borderId="25" xfId="0" applyNumberFormat="1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  <xf numFmtId="0" fontId="9" fillId="19" borderId="23" xfId="0" applyFont="1" applyFill="1" applyBorder="1" applyAlignment="1">
      <alignment horizontal="center" vertical="center" wrapText="1"/>
    </xf>
    <xf numFmtId="0" fontId="9" fillId="19" borderId="49" xfId="0" applyFont="1" applyFill="1" applyBorder="1" applyAlignment="1">
      <alignment horizontal="center" vertical="center" wrapText="1"/>
    </xf>
    <xf numFmtId="166" fontId="9" fillId="19" borderId="23" xfId="0" applyNumberFormat="1" applyFont="1" applyFill="1" applyBorder="1" applyAlignment="1">
      <alignment horizontal="center" vertical="center" wrapText="1"/>
    </xf>
    <xf numFmtId="0" fontId="9" fillId="19" borderId="50" xfId="0" applyFont="1" applyFill="1" applyBorder="1" applyAlignment="1">
      <alignment horizontal="center" vertical="center" wrapText="1"/>
    </xf>
    <xf numFmtId="0" fontId="9" fillId="19" borderId="37" xfId="0" applyFont="1" applyFill="1" applyBorder="1" applyAlignment="1">
      <alignment horizontal="center" vertical="center" wrapText="1"/>
    </xf>
    <xf numFmtId="0" fontId="9" fillId="19" borderId="38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/>
    </xf>
    <xf numFmtId="171" fontId="12" fillId="5" borderId="54" xfId="0" applyNumberFormat="1" applyFont="1" applyFill="1" applyBorder="1" applyAlignment="1" applyProtection="1">
      <alignment horizontal="center" vertical="center"/>
    </xf>
    <xf numFmtId="166" fontId="19" fillId="2" borderId="25" xfId="0" applyNumberFormat="1" applyFont="1" applyFill="1" applyBorder="1" applyAlignment="1">
      <alignment horizontal="center" vertical="center"/>
    </xf>
    <xf numFmtId="171" fontId="19" fillId="0" borderId="25" xfId="0" applyNumberFormat="1" applyFont="1" applyFill="1" applyBorder="1" applyAlignment="1">
      <alignment horizontal="center" vertical="center"/>
    </xf>
    <xf numFmtId="166" fontId="0" fillId="2" borderId="25" xfId="0" applyNumberFormat="1" applyFill="1" applyBorder="1" applyAlignment="1">
      <alignment horizontal="center" vertical="center"/>
    </xf>
    <xf numFmtId="10" fontId="19" fillId="5" borderId="25" xfId="2" applyNumberFormat="1" applyFont="1" applyFill="1" applyBorder="1" applyAlignment="1">
      <alignment horizontal="center" vertical="center"/>
    </xf>
    <xf numFmtId="0" fontId="19" fillId="20" borderId="25" xfId="0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171" fontId="12" fillId="5" borderId="58" xfId="0" applyNumberFormat="1" applyFont="1" applyFill="1" applyBorder="1" applyAlignment="1" applyProtection="1">
      <alignment horizontal="center" vertical="center"/>
    </xf>
    <xf numFmtId="166" fontId="19" fillId="2" borderId="8" xfId="0" applyNumberFormat="1" applyFont="1" applyFill="1" applyBorder="1" applyAlignment="1">
      <alignment horizontal="center" vertical="center"/>
    </xf>
    <xf numFmtId="171" fontId="19" fillId="0" borderId="8" xfId="0" applyNumberFormat="1" applyFont="1" applyFill="1" applyBorder="1" applyAlignment="1">
      <alignment horizontal="center" vertical="center"/>
    </xf>
    <xf numFmtId="171" fontId="19" fillId="0" borderId="53" xfId="0" applyNumberFormat="1" applyFont="1" applyFill="1" applyBorder="1" applyAlignment="1">
      <alignment horizontal="center" vertical="center"/>
    </xf>
    <xf numFmtId="166" fontId="2" fillId="2" borderId="25" xfId="0" applyNumberFormat="1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10" fontId="19" fillId="5" borderId="8" xfId="2" applyNumberFormat="1" applyFont="1" applyFill="1" applyBorder="1" applyAlignment="1">
      <alignment horizontal="center" vertical="center"/>
    </xf>
    <xf numFmtId="166" fontId="9" fillId="19" borderId="39" xfId="0" applyNumberFormat="1" applyFont="1" applyFill="1" applyBorder="1" applyAlignment="1">
      <alignment horizontal="center" vertical="center" wrapText="1"/>
    </xf>
    <xf numFmtId="166" fontId="9" fillId="19" borderId="30" xfId="0" applyNumberFormat="1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 wrapText="1"/>
    </xf>
    <xf numFmtId="171" fontId="12" fillId="5" borderId="20" xfId="0" applyNumberFormat="1" applyFont="1" applyFill="1" applyBorder="1" applyAlignment="1" applyProtection="1">
      <alignment horizontal="center" vertical="center"/>
    </xf>
    <xf numFmtId="166" fontId="19" fillId="2" borderId="10" xfId="0" applyNumberFormat="1" applyFont="1" applyFill="1" applyBorder="1" applyAlignment="1">
      <alignment horizontal="center" vertical="center"/>
    </xf>
    <xf numFmtId="10" fontId="19" fillId="5" borderId="27" xfId="2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171" fontId="19" fillId="0" borderId="10" xfId="0" applyNumberFormat="1" applyFont="1" applyFill="1" applyBorder="1" applyAlignment="1">
      <alignment horizontal="center" vertical="center"/>
    </xf>
    <xf numFmtId="10" fontId="19" fillId="5" borderId="18" xfId="2" applyNumberFormat="1" applyFont="1" applyFill="1" applyBorder="1" applyAlignment="1">
      <alignment horizontal="center" vertical="center"/>
    </xf>
    <xf numFmtId="166" fontId="19" fillId="5" borderId="25" xfId="0" applyNumberFormat="1" applyFont="1" applyFill="1" applyBorder="1" applyAlignment="1">
      <alignment horizontal="center" vertical="center"/>
    </xf>
    <xf numFmtId="10" fontId="19" fillId="5" borderId="68" xfId="2" applyNumberFormat="1" applyFont="1" applyFill="1" applyBorder="1" applyAlignment="1">
      <alignment horizontal="center" vertical="center"/>
    </xf>
    <xf numFmtId="1" fontId="9" fillId="19" borderId="61" xfId="0" applyNumberFormat="1" applyFont="1" applyFill="1" applyBorder="1" applyAlignment="1">
      <alignment horizontal="center" vertical="center" wrapText="1"/>
    </xf>
    <xf numFmtId="1" fontId="9" fillId="19" borderId="64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171" fontId="19" fillId="5" borderId="10" xfId="0" applyNumberFormat="1" applyFont="1" applyFill="1" applyBorder="1" applyAlignment="1">
      <alignment horizontal="center" vertical="center"/>
    </xf>
    <xf numFmtId="171" fontId="19" fillId="5" borderId="25" xfId="0" applyNumberFormat="1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 wrapText="1"/>
    </xf>
    <xf numFmtId="171" fontId="19" fillId="5" borderId="25" xfId="0" applyNumberFormat="1" applyFont="1" applyFill="1" applyBorder="1" applyAlignment="1">
      <alignment horizontal="center" vertical="center" wrapText="1"/>
    </xf>
    <xf numFmtId="171" fontId="19" fillId="5" borderId="8" xfId="0" applyNumberFormat="1" applyFont="1" applyFill="1" applyBorder="1" applyAlignment="1">
      <alignment horizontal="center" vertical="center"/>
    </xf>
    <xf numFmtId="171" fontId="12" fillId="0" borderId="25" xfId="0" applyNumberFormat="1" applyFont="1" applyFill="1" applyBorder="1" applyAlignment="1" applyProtection="1">
      <alignment horizontal="center" vertical="center"/>
    </xf>
    <xf numFmtId="171" fontId="12" fillId="0" borderId="10" xfId="0" applyNumberFormat="1" applyFont="1" applyFill="1" applyBorder="1" applyAlignment="1" applyProtection="1">
      <alignment horizontal="center" vertical="center"/>
    </xf>
    <xf numFmtId="10" fontId="19" fillId="5" borderId="10" xfId="2" applyNumberFormat="1" applyFont="1" applyFill="1" applyBorder="1" applyAlignment="1">
      <alignment horizontal="center" vertical="center"/>
    </xf>
    <xf numFmtId="171" fontId="12" fillId="0" borderId="8" xfId="0" applyNumberFormat="1" applyFont="1" applyFill="1" applyBorder="1" applyAlignment="1" applyProtection="1">
      <alignment horizontal="center" vertical="center"/>
    </xf>
    <xf numFmtId="0" fontId="9" fillId="19" borderId="27" xfId="0" applyFont="1" applyFill="1" applyBorder="1" applyAlignment="1">
      <alignment horizontal="center" vertical="center" wrapText="1"/>
    </xf>
    <xf numFmtId="0" fontId="9" fillId="19" borderId="54" xfId="0" applyFont="1" applyFill="1" applyBorder="1" applyAlignment="1">
      <alignment horizontal="center" vertical="center" wrapText="1"/>
    </xf>
    <xf numFmtId="0" fontId="9" fillId="19" borderId="8" xfId="0" applyFont="1" applyFill="1" applyBorder="1" applyAlignment="1">
      <alignment horizontal="center" vertical="center" wrapText="1"/>
    </xf>
    <xf numFmtId="0" fontId="11" fillId="19" borderId="25" xfId="0" applyFont="1" applyFill="1" applyBorder="1" applyAlignment="1">
      <alignment horizontal="center" vertical="center" wrapText="1"/>
    </xf>
    <xf numFmtId="166" fontId="28" fillId="12" borderId="8" xfId="6" applyNumberFormat="1" applyFont="1" applyFill="1" applyBorder="1" applyAlignment="1">
      <alignment horizontal="center"/>
    </xf>
    <xf numFmtId="166" fontId="28" fillId="2" borderId="68" xfId="6" applyNumberFormat="1" applyFont="1" applyFill="1" applyBorder="1" applyAlignment="1">
      <alignment horizontal="center"/>
    </xf>
    <xf numFmtId="0" fontId="9" fillId="19" borderId="10" xfId="0" applyFont="1" applyFill="1" applyBorder="1" applyAlignment="1">
      <alignment horizontal="center" vertical="center" wrapText="1"/>
    </xf>
    <xf numFmtId="166" fontId="28" fillId="12" borderId="10" xfId="6" applyNumberFormat="1" applyFont="1" applyFill="1" applyBorder="1" applyAlignment="1">
      <alignment horizontal="center"/>
    </xf>
    <xf numFmtId="166" fontId="28" fillId="2" borderId="18" xfId="6" applyNumberFormat="1" applyFont="1" applyFill="1" applyBorder="1" applyAlignment="1">
      <alignment horizontal="center"/>
    </xf>
    <xf numFmtId="171" fontId="19" fillId="12" borderId="10" xfId="0" applyNumberFormat="1" applyFont="1" applyFill="1" applyBorder="1" applyAlignment="1">
      <alignment horizontal="center" vertical="center"/>
    </xf>
    <xf numFmtId="1" fontId="0" fillId="12" borderId="8" xfId="0" applyNumberFormat="1" applyFont="1" applyFill="1" applyBorder="1" applyAlignment="1">
      <alignment horizontal="center" vertical="center"/>
    </xf>
    <xf numFmtId="1" fontId="0" fillId="12" borderId="10" xfId="0" applyNumberFormat="1" applyFont="1" applyFill="1" applyBorder="1" applyAlignment="1">
      <alignment horizontal="center" vertical="center"/>
    </xf>
    <xf numFmtId="1" fontId="0" fillId="12" borderId="9" xfId="0" applyNumberFormat="1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23" fillId="9" borderId="38" xfId="0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9" fillId="2" borderId="0" xfId="0" applyFont="1" applyFill="1"/>
    <xf numFmtId="0" fontId="29" fillId="0" borderId="0" xfId="0" applyFont="1" applyFill="1"/>
    <xf numFmtId="0" fontId="29" fillId="2" borderId="0" xfId="0" quotePrefix="1" applyFont="1" applyFill="1"/>
    <xf numFmtId="43" fontId="29" fillId="2" borderId="0" xfId="0" applyNumberFormat="1" applyFont="1" applyFill="1"/>
    <xf numFmtId="1" fontId="29" fillId="2" borderId="0" xfId="0" applyNumberFormat="1" applyFont="1" applyFill="1"/>
    <xf numFmtId="0" fontId="9" fillId="19" borderId="39" xfId="0" applyFont="1" applyFill="1" applyBorder="1" applyAlignment="1">
      <alignment horizontal="center" vertical="center" wrapText="1"/>
    </xf>
    <xf numFmtId="0" fontId="9" fillId="19" borderId="30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9" fillId="19" borderId="60" xfId="0" applyFont="1" applyFill="1" applyBorder="1" applyAlignment="1">
      <alignment horizontal="center" vertical="center" wrapText="1"/>
    </xf>
    <xf numFmtId="0" fontId="9" fillId="19" borderId="4" xfId="0" applyFont="1" applyFill="1" applyBorder="1" applyAlignment="1">
      <alignment horizontal="center" vertical="center" wrapText="1"/>
    </xf>
    <xf numFmtId="0" fontId="9" fillId="19" borderId="63" xfId="0" applyFont="1" applyFill="1" applyBorder="1" applyAlignment="1">
      <alignment horizontal="center" vertical="center" wrapText="1"/>
    </xf>
    <xf numFmtId="166" fontId="0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9" fillId="0" borderId="25" xfId="0" applyFont="1" applyFill="1" applyBorder="1" applyAlignment="1">
      <alignment vertical="center"/>
    </xf>
    <xf numFmtId="166" fontId="23" fillId="7" borderId="49" xfId="0" applyNumberFormat="1" applyFont="1" applyFill="1" applyBorder="1" applyAlignment="1">
      <alignment horizontal="center" vertical="center" wrapText="1"/>
    </xf>
    <xf numFmtId="0" fontId="19" fillId="18" borderId="0" xfId="0" applyFont="1" applyFill="1" applyAlignment="1">
      <alignment vertical="center"/>
    </xf>
    <xf numFmtId="164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9" fillId="19" borderId="18" xfId="0" applyFont="1" applyFill="1" applyBorder="1" applyAlignment="1">
      <alignment horizontal="center" vertical="center" wrapText="1"/>
    </xf>
    <xf numFmtId="0" fontId="9" fillId="19" borderId="68" xfId="0" applyFont="1" applyFill="1" applyBorder="1" applyAlignment="1">
      <alignment horizontal="center" vertical="center" wrapText="1"/>
    </xf>
    <xf numFmtId="0" fontId="16" fillId="11" borderId="22" xfId="5" applyFont="1" applyFill="1" applyBorder="1" applyAlignment="1">
      <alignment horizontal="right" wrapText="1"/>
    </xf>
    <xf numFmtId="0" fontId="16" fillId="21" borderId="39" xfId="5" applyFont="1" applyFill="1" applyBorder="1" applyAlignment="1">
      <alignment horizontal="right"/>
    </xf>
    <xf numFmtId="0" fontId="16" fillId="11" borderId="39" xfId="5" applyFont="1" applyFill="1" applyBorder="1" applyAlignment="1">
      <alignment horizontal="right" wrapText="1"/>
    </xf>
    <xf numFmtId="0" fontId="9" fillId="7" borderId="25" xfId="0" applyFont="1" applyFill="1" applyBorder="1" applyAlignment="1">
      <alignment horizontal="center" vertical="center" wrapText="1"/>
    </xf>
    <xf numFmtId="166" fontId="23" fillId="7" borderId="25" xfId="0" applyNumberFormat="1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19" fillId="20" borderId="0" xfId="0" applyFont="1" applyFill="1" applyAlignment="1">
      <alignment vertical="center"/>
    </xf>
    <xf numFmtId="176" fontId="16" fillId="11" borderId="39" xfId="1" applyNumberFormat="1" applyFont="1" applyFill="1" applyBorder="1" applyAlignment="1">
      <alignment horizontal="center" wrapText="1"/>
    </xf>
    <xf numFmtId="10" fontId="28" fillId="12" borderId="8" xfId="2" applyNumberFormat="1" applyFont="1" applyFill="1" applyBorder="1" applyAlignment="1">
      <alignment horizontal="center"/>
    </xf>
    <xf numFmtId="10" fontId="19" fillId="12" borderId="10" xfId="2" applyNumberFormat="1" applyFont="1" applyFill="1" applyBorder="1" applyAlignment="1">
      <alignment horizontal="center" vertical="center"/>
    </xf>
    <xf numFmtId="166" fontId="9" fillId="14" borderId="25" xfId="0" applyNumberFormat="1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166" fontId="9" fillId="9" borderId="25" xfId="0" applyNumberFormat="1" applyFont="1" applyFill="1" applyBorder="1" applyAlignment="1">
      <alignment horizontal="center" vertical="center" wrapText="1"/>
    </xf>
    <xf numFmtId="0" fontId="9" fillId="9" borderId="54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166" fontId="9" fillId="22" borderId="25" xfId="0" applyNumberFormat="1" applyFont="1" applyFill="1" applyBorder="1" applyAlignment="1">
      <alignment horizontal="center" vertical="center" wrapText="1"/>
    </xf>
    <xf numFmtId="0" fontId="9" fillId="22" borderId="54" xfId="0" applyFont="1" applyFill="1" applyBorder="1" applyAlignment="1">
      <alignment horizontal="center" vertical="center" wrapText="1"/>
    </xf>
    <xf numFmtId="0" fontId="9" fillId="22" borderId="27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1" fillId="9" borderId="53" xfId="0" applyFont="1" applyFill="1" applyBorder="1" applyAlignment="1">
      <alignment horizontal="center" vertical="center" wrapText="1"/>
    </xf>
    <xf numFmtId="171" fontId="19" fillId="12" borderId="9" xfId="0" applyNumberFormat="1" applyFont="1" applyFill="1" applyBorder="1" applyAlignment="1">
      <alignment horizontal="center" vertical="center"/>
    </xf>
    <xf numFmtId="10" fontId="19" fillId="12" borderId="9" xfId="2" applyNumberFormat="1" applyFont="1" applyFill="1" applyBorder="1" applyAlignment="1">
      <alignment horizontal="center" vertical="center"/>
    </xf>
    <xf numFmtId="174" fontId="28" fillId="2" borderId="25" xfId="2" applyNumberFormat="1" applyFont="1" applyFill="1" applyBorder="1" applyAlignment="1">
      <alignment horizontal="center"/>
    </xf>
    <xf numFmtId="0" fontId="16" fillId="11" borderId="52" xfId="5" applyFont="1" applyFill="1" applyBorder="1" applyAlignment="1">
      <alignment horizontal="right" wrapText="1"/>
    </xf>
    <xf numFmtId="0" fontId="16" fillId="21" borderId="53" xfId="5" applyFont="1" applyFill="1" applyBorder="1" applyAlignment="1">
      <alignment horizontal="right"/>
    </xf>
    <xf numFmtId="0" fontId="16" fillId="11" borderId="53" xfId="5" applyFont="1" applyFill="1" applyBorder="1" applyAlignment="1">
      <alignment horizontal="right" wrapText="1"/>
    </xf>
    <xf numFmtId="176" fontId="16" fillId="11" borderId="53" xfId="1" applyNumberFormat="1" applyFont="1" applyFill="1" applyBorder="1" applyAlignment="1">
      <alignment horizontal="center" wrapText="1"/>
    </xf>
    <xf numFmtId="166" fontId="0" fillId="17" borderId="53" xfId="0" applyNumberFormat="1" applyFont="1" applyFill="1" applyBorder="1" applyAlignment="1">
      <alignment horizontal="center" vertical="center"/>
    </xf>
    <xf numFmtId="171" fontId="19" fillId="0" borderId="53" xfId="0" applyNumberFormat="1" applyFont="1" applyFill="1" applyBorder="1" applyAlignment="1" applyProtection="1">
      <alignment horizontal="center" vertical="center"/>
    </xf>
    <xf numFmtId="0" fontId="0" fillId="18" borderId="53" xfId="0" applyFont="1" applyFill="1" applyBorder="1" applyAlignment="1">
      <alignment horizontal="center" vertical="center"/>
    </xf>
    <xf numFmtId="166" fontId="9" fillId="9" borderId="39" xfId="0" applyNumberFormat="1" applyFont="1" applyFill="1" applyBorder="1" applyAlignment="1">
      <alignment horizontal="center" vertical="center" wrapText="1"/>
    </xf>
    <xf numFmtId="1" fontId="9" fillId="9" borderId="39" xfId="0" applyNumberFormat="1" applyFont="1" applyFill="1" applyBorder="1" applyAlignment="1">
      <alignment horizontal="center" vertical="center" wrapText="1"/>
    </xf>
    <xf numFmtId="174" fontId="9" fillId="9" borderId="39" xfId="2" applyNumberFormat="1" applyFont="1" applyFill="1" applyBorder="1" applyAlignment="1">
      <alignment horizontal="center" vertical="center" wrapText="1"/>
    </xf>
    <xf numFmtId="174" fontId="9" fillId="9" borderId="72" xfId="2" applyNumberFormat="1" applyFont="1" applyFill="1" applyBorder="1" applyAlignment="1">
      <alignment horizontal="center" vertical="center" wrapText="1"/>
    </xf>
    <xf numFmtId="166" fontId="9" fillId="9" borderId="30" xfId="0" applyNumberFormat="1" applyFont="1" applyFill="1" applyBorder="1" applyAlignment="1">
      <alignment horizontal="center" vertical="center" wrapText="1"/>
    </xf>
    <xf numFmtId="1" fontId="9" fillId="9" borderId="30" xfId="0" applyNumberFormat="1" applyFont="1" applyFill="1" applyBorder="1" applyAlignment="1">
      <alignment horizontal="center" vertical="center" wrapText="1"/>
    </xf>
    <xf numFmtId="174" fontId="9" fillId="9" borderId="30" xfId="2" applyNumberFormat="1" applyFont="1" applyFill="1" applyBorder="1" applyAlignment="1">
      <alignment horizontal="center" vertical="center" wrapText="1"/>
    </xf>
    <xf numFmtId="174" fontId="9" fillId="9" borderId="36" xfId="2" applyNumberFormat="1" applyFont="1" applyFill="1" applyBorder="1" applyAlignment="1">
      <alignment horizontal="center" vertical="center" wrapText="1"/>
    </xf>
    <xf numFmtId="171" fontId="19" fillId="0" borderId="26" xfId="0" applyNumberFormat="1" applyFont="1" applyFill="1" applyBorder="1" applyAlignment="1" applyProtection="1">
      <alignment horizontal="center" vertical="center"/>
    </xf>
    <xf numFmtId="171" fontId="19" fillId="0" borderId="68" xfId="0" applyNumberFormat="1" applyFont="1" applyFill="1" applyBorder="1" applyAlignment="1" applyProtection="1">
      <alignment horizontal="center" vertical="center"/>
    </xf>
    <xf numFmtId="10" fontId="0" fillId="2" borderId="51" xfId="2" applyNumberFormat="1" applyFont="1" applyFill="1" applyBorder="1" applyAlignment="1">
      <alignment horizontal="center" vertical="center"/>
    </xf>
    <xf numFmtId="10" fontId="0" fillId="2" borderId="48" xfId="2" applyNumberFormat="1" applyFont="1" applyFill="1" applyBorder="1" applyAlignment="1">
      <alignment horizontal="center" vertical="center"/>
    </xf>
    <xf numFmtId="174" fontId="9" fillId="9" borderId="51" xfId="2" applyNumberFormat="1" applyFont="1" applyFill="1" applyBorder="1" applyAlignment="1">
      <alignment horizontal="center" vertical="center" wrapText="1"/>
    </xf>
    <xf numFmtId="174" fontId="9" fillId="9" borderId="59" xfId="2" applyNumberFormat="1" applyFont="1" applyFill="1" applyBorder="1" applyAlignment="1">
      <alignment horizontal="center" vertical="center" wrapText="1"/>
    </xf>
    <xf numFmtId="0" fontId="9" fillId="14" borderId="37" xfId="0" applyFont="1" applyFill="1" applyBorder="1" applyAlignment="1">
      <alignment horizontal="center" vertical="center" wrapText="1"/>
    </xf>
    <xf numFmtId="0" fontId="9" fillId="14" borderId="23" xfId="0" applyFont="1" applyFill="1" applyBorder="1" applyAlignment="1">
      <alignment horizontal="center" vertical="center" wrapText="1"/>
    </xf>
    <xf numFmtId="0" fontId="9" fillId="14" borderId="38" xfId="0" applyFont="1" applyFill="1" applyBorder="1" applyAlignment="1">
      <alignment horizontal="center" vertical="center" wrapText="1"/>
    </xf>
    <xf numFmtId="1" fontId="9" fillId="14" borderId="25" xfId="0" applyNumberFormat="1" applyFont="1" applyFill="1" applyBorder="1" applyAlignment="1">
      <alignment horizontal="center" vertical="center" wrapText="1"/>
    </xf>
    <xf numFmtId="9" fontId="9" fillId="14" borderId="25" xfId="2" applyFont="1" applyFill="1" applyBorder="1" applyAlignment="1">
      <alignment horizontal="center" vertical="center" wrapText="1"/>
    </xf>
    <xf numFmtId="10" fontId="9" fillId="22" borderId="25" xfId="2" applyNumberFormat="1" applyFont="1" applyFill="1" applyBorder="1" applyAlignment="1">
      <alignment horizontal="center" vertical="center" wrapText="1"/>
    </xf>
    <xf numFmtId="166" fontId="9" fillId="19" borderId="26" xfId="0" applyNumberFormat="1" applyFont="1" applyFill="1" applyBorder="1" applyAlignment="1">
      <alignment horizontal="center" vertical="center" wrapText="1"/>
    </xf>
    <xf numFmtId="166" fontId="9" fillId="19" borderId="31" xfId="0" applyNumberFormat="1" applyFont="1" applyFill="1" applyBorder="1" applyAlignment="1">
      <alignment horizontal="center" vertical="center" wrapText="1"/>
    </xf>
    <xf numFmtId="43" fontId="19" fillId="5" borderId="25" xfId="1" applyFont="1" applyFill="1" applyBorder="1" applyAlignment="1">
      <alignment vertical="center"/>
    </xf>
    <xf numFmtId="0" fontId="19" fillId="5" borderId="25" xfId="0" applyFont="1" applyFill="1" applyBorder="1" applyAlignment="1">
      <alignment vertical="center"/>
    </xf>
    <xf numFmtId="166" fontId="19" fillId="2" borderId="53" xfId="0" applyNumberFormat="1" applyFont="1" applyFill="1" applyBorder="1" applyAlignment="1">
      <alignment horizontal="center" vertical="center"/>
    </xf>
    <xf numFmtId="10" fontId="9" fillId="19" borderId="26" xfId="2" applyNumberFormat="1" applyFont="1" applyFill="1" applyBorder="1" applyAlignment="1">
      <alignment horizontal="center" vertical="center" wrapText="1"/>
    </xf>
    <xf numFmtId="10" fontId="9" fillId="19" borderId="31" xfId="2" applyNumberFormat="1" applyFont="1" applyFill="1" applyBorder="1" applyAlignment="1">
      <alignment horizontal="center" vertical="center" wrapText="1"/>
    </xf>
    <xf numFmtId="0" fontId="9" fillId="22" borderId="37" xfId="0" applyFont="1" applyFill="1" applyBorder="1" applyAlignment="1">
      <alignment horizontal="center" vertical="center" wrapText="1"/>
    </xf>
    <xf numFmtId="0" fontId="9" fillId="22" borderId="23" xfId="0" applyFont="1" applyFill="1" applyBorder="1" applyAlignment="1">
      <alignment horizontal="center" vertical="center" wrapText="1"/>
    </xf>
    <xf numFmtId="0" fontId="9" fillId="22" borderId="38" xfId="0" applyFont="1" applyFill="1" applyBorder="1" applyAlignment="1">
      <alignment horizontal="center" vertical="center" wrapText="1"/>
    </xf>
    <xf numFmtId="0" fontId="9" fillId="19" borderId="61" xfId="0" applyFont="1" applyFill="1" applyBorder="1" applyAlignment="1">
      <alignment horizontal="center" vertical="center" wrapText="1"/>
    </xf>
    <xf numFmtId="174" fontId="9" fillId="19" borderId="26" xfId="2" applyNumberFormat="1" applyFont="1" applyFill="1" applyBorder="1" applyAlignment="1">
      <alignment horizontal="center" vertical="center" wrapText="1"/>
    </xf>
    <xf numFmtId="174" fontId="9" fillId="19" borderId="31" xfId="2" applyNumberFormat="1" applyFont="1" applyFill="1" applyBorder="1" applyAlignment="1">
      <alignment horizontal="center" vertical="center" wrapText="1"/>
    </xf>
    <xf numFmtId="10" fontId="19" fillId="16" borderId="18" xfId="2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textRotation="90"/>
    </xf>
    <xf numFmtId="0" fontId="3" fillId="0" borderId="0" xfId="0" applyFont="1" applyFill="1" applyAlignment="1">
      <alignment horizontal="center" vertical="center"/>
    </xf>
    <xf numFmtId="0" fontId="11" fillId="14" borderId="22" xfId="0" applyFont="1" applyFill="1" applyBorder="1" applyAlignment="1">
      <alignment horizontal="center" vertical="center" wrapText="1"/>
    </xf>
    <xf numFmtId="0" fontId="11" fillId="14" borderId="39" xfId="0" applyFont="1" applyFill="1" applyBorder="1" applyAlignment="1">
      <alignment horizontal="center" vertical="center" wrapText="1"/>
    </xf>
    <xf numFmtId="0" fontId="11" fillId="14" borderId="72" xfId="0" applyFont="1" applyFill="1" applyBorder="1" applyAlignment="1">
      <alignment horizontal="center" vertical="center" wrapText="1"/>
    </xf>
    <xf numFmtId="0" fontId="18" fillId="13" borderId="22" xfId="4" applyFont="1" applyFill="1" applyBorder="1" applyAlignment="1">
      <alignment horizontal="center" vertical="center"/>
    </xf>
    <xf numFmtId="0" fontId="18" fillId="13" borderId="39" xfId="4" applyFont="1" applyFill="1" applyBorder="1" applyAlignment="1">
      <alignment horizontal="center" vertical="center" wrapText="1"/>
    </xf>
    <xf numFmtId="0" fontId="11" fillId="9" borderId="39" xfId="0" applyFont="1" applyFill="1" applyBorder="1" applyAlignment="1">
      <alignment horizontal="center" vertical="center" wrapText="1"/>
    </xf>
    <xf numFmtId="0" fontId="11" fillId="9" borderId="72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/>
    </xf>
    <xf numFmtId="0" fontId="19" fillId="4" borderId="25" xfId="0" applyFont="1" applyFill="1" applyBorder="1" applyAlignment="1">
      <alignment horizontal="center"/>
    </xf>
    <xf numFmtId="0" fontId="33" fillId="4" borderId="25" xfId="4" applyFont="1" applyFill="1" applyBorder="1" applyAlignment="1">
      <alignment horizontal="right" wrapText="1"/>
    </xf>
    <xf numFmtId="0" fontId="16" fillId="15" borderId="25" xfId="4" applyFont="1" applyFill="1" applyBorder="1" applyAlignment="1">
      <alignment horizontal="right" wrapText="1"/>
    </xf>
    <xf numFmtId="0" fontId="16" fillId="16" borderId="25" xfId="4" applyFont="1" applyFill="1" applyBorder="1" applyAlignment="1">
      <alignment horizontal="right" wrapText="1"/>
    </xf>
    <xf numFmtId="0" fontId="0" fillId="0" borderId="25" xfId="0" applyFont="1" applyFill="1" applyBorder="1" applyAlignment="1">
      <alignment horizontal="center" vertical="center"/>
    </xf>
    <xf numFmtId="172" fontId="0" fillId="4" borderId="25" xfId="0" applyNumberFormat="1" applyFont="1" applyFill="1" applyBorder="1" applyAlignment="1">
      <alignment horizontal="center" vertical="center"/>
    </xf>
    <xf numFmtId="9" fontId="4" fillId="9" borderId="34" xfId="2" applyFont="1" applyFill="1" applyBorder="1" applyAlignment="1">
      <alignment horizontal="center" vertical="center"/>
    </xf>
    <xf numFmtId="173" fontId="4" fillId="9" borderId="34" xfId="2" applyNumberFormat="1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 vertical="center"/>
    </xf>
    <xf numFmtId="9" fontId="4" fillId="9" borderId="25" xfId="2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 vertical="center"/>
    </xf>
    <xf numFmtId="9" fontId="4" fillId="9" borderId="30" xfId="2" applyFont="1" applyFill="1" applyBorder="1" applyAlignment="1">
      <alignment horizontal="center" vertical="center"/>
    </xf>
    <xf numFmtId="9" fontId="4" fillId="9" borderId="36" xfId="2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left" vertical="center" wrapText="1"/>
    </xf>
    <xf numFmtId="165" fontId="5" fillId="2" borderId="25" xfId="0" applyNumberFormat="1" applyFont="1" applyFill="1" applyBorder="1" applyAlignment="1">
      <alignment horizontal="center" vertical="center"/>
    </xf>
    <xf numFmtId="2" fontId="5" fillId="2" borderId="25" xfId="0" applyNumberFormat="1" applyFont="1" applyFill="1" applyBorder="1" applyAlignment="1">
      <alignment horizontal="center" vertical="center"/>
    </xf>
    <xf numFmtId="10" fontId="5" fillId="2" borderId="34" xfId="2" applyNumberFormat="1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left" vertical="center" wrapText="1"/>
    </xf>
    <xf numFmtId="165" fontId="5" fillId="11" borderId="25" xfId="0" applyNumberFormat="1" applyFont="1" applyFill="1" applyBorder="1" applyAlignment="1">
      <alignment horizontal="center" vertical="center" wrapText="1"/>
    </xf>
    <xf numFmtId="2" fontId="5" fillId="11" borderId="25" xfId="0" applyNumberFormat="1" applyFont="1" applyFill="1" applyBorder="1" applyAlignment="1">
      <alignment horizontal="center" vertical="center"/>
    </xf>
    <xf numFmtId="10" fontId="5" fillId="11" borderId="34" xfId="2" applyNumberFormat="1" applyFont="1" applyFill="1" applyBorder="1" applyAlignment="1">
      <alignment horizontal="center" vertical="center"/>
    </xf>
    <xf numFmtId="9" fontId="5" fillId="11" borderId="34" xfId="2" applyFont="1" applyFill="1" applyBorder="1" applyAlignment="1">
      <alignment horizontal="center" vertical="center" wrapText="1"/>
    </xf>
    <xf numFmtId="0" fontId="5" fillId="20" borderId="25" xfId="0" applyFont="1" applyFill="1" applyBorder="1" applyAlignment="1">
      <alignment horizontal="left" vertical="center" wrapText="1"/>
    </xf>
    <xf numFmtId="165" fontId="5" fillId="2" borderId="25" xfId="0" applyNumberFormat="1" applyFont="1" applyFill="1" applyBorder="1" applyAlignment="1">
      <alignment horizontal="center" vertical="center" wrapText="1"/>
    </xf>
    <xf numFmtId="165" fontId="5" fillId="4" borderId="25" xfId="0" applyNumberFormat="1" applyFont="1" applyFill="1" applyBorder="1" applyAlignment="1">
      <alignment horizontal="center" vertical="center" wrapText="1"/>
    </xf>
    <xf numFmtId="9" fontId="5" fillId="4" borderId="34" xfId="2" applyFont="1" applyFill="1" applyBorder="1" applyAlignment="1">
      <alignment horizontal="center" vertical="center" wrapText="1"/>
    </xf>
    <xf numFmtId="165" fontId="5" fillId="4" borderId="34" xfId="0" applyNumberFormat="1" applyFont="1" applyFill="1" applyBorder="1" applyAlignment="1">
      <alignment horizontal="center" vertical="center" wrapText="1"/>
    </xf>
    <xf numFmtId="165" fontId="24" fillId="3" borderId="30" xfId="0" applyNumberFormat="1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166" fontId="24" fillId="3" borderId="30" xfId="0" applyNumberFormat="1" applyFont="1" applyFill="1" applyBorder="1" applyAlignment="1">
      <alignment horizontal="center" vertical="center" wrapText="1"/>
    </xf>
    <xf numFmtId="9" fontId="24" fillId="3" borderId="36" xfId="2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 vertical="center"/>
    </xf>
    <xf numFmtId="167" fontId="6" fillId="2" borderId="25" xfId="0" applyNumberFormat="1" applyFont="1" applyFill="1" applyBorder="1" applyAlignment="1">
      <alignment horizontal="center" vertical="center"/>
    </xf>
    <xf numFmtId="168" fontId="6" fillId="2" borderId="25" xfId="0" applyNumberFormat="1" applyFont="1" applyFill="1" applyBorder="1" applyAlignment="1">
      <alignment horizontal="center" vertical="center"/>
    </xf>
    <xf numFmtId="168" fontId="6" fillId="2" borderId="25" xfId="0" applyNumberFormat="1" applyFont="1" applyFill="1" applyBorder="1" applyAlignment="1">
      <alignment horizontal="center" vertical="center" wrapText="1"/>
    </xf>
    <xf numFmtId="169" fontId="6" fillId="2" borderId="25" xfId="0" applyNumberFormat="1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167" fontId="6" fillId="2" borderId="30" xfId="0" applyNumberFormat="1" applyFont="1" applyFill="1" applyBorder="1" applyAlignment="1">
      <alignment horizontal="center" vertical="center"/>
    </xf>
    <xf numFmtId="168" fontId="6" fillId="2" borderId="30" xfId="0" applyNumberFormat="1" applyFont="1" applyFill="1" applyBorder="1" applyAlignment="1">
      <alignment horizontal="center" vertical="center"/>
    </xf>
    <xf numFmtId="168" fontId="6" fillId="2" borderId="30" xfId="0" applyNumberFormat="1" applyFont="1" applyFill="1" applyBorder="1" applyAlignment="1">
      <alignment horizontal="center" vertical="center" wrapText="1"/>
    </xf>
    <xf numFmtId="169" fontId="6" fillId="2" borderId="30" xfId="0" applyNumberFormat="1" applyFont="1" applyFill="1" applyBorder="1" applyAlignment="1">
      <alignment horizontal="center" vertical="center"/>
    </xf>
    <xf numFmtId="10" fontId="6" fillId="2" borderId="36" xfId="3" applyNumberFormat="1" applyFont="1" applyFill="1" applyBorder="1" applyAlignment="1">
      <alignment horizontal="center"/>
    </xf>
    <xf numFmtId="0" fontId="10" fillId="0" borderId="0" xfId="0" applyFont="1"/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9" fontId="13" fillId="0" borderId="0" xfId="2" applyFont="1" applyFill="1" applyBorder="1" applyAlignment="1">
      <alignment horizontal="center" vertical="center"/>
    </xf>
    <xf numFmtId="0" fontId="9" fillId="22" borderId="70" xfId="0" applyFont="1" applyFill="1" applyBorder="1" applyAlignment="1">
      <alignment horizontal="center" vertical="center" wrapText="1"/>
    </xf>
    <xf numFmtId="171" fontId="34" fillId="0" borderId="25" xfId="0" applyNumberFormat="1" applyFont="1" applyFill="1" applyBorder="1" applyAlignment="1">
      <alignment horizontal="center" vertical="center"/>
    </xf>
    <xf numFmtId="166" fontId="19" fillId="0" borderId="25" xfId="0" applyNumberFormat="1" applyFont="1" applyFill="1" applyBorder="1" applyAlignment="1">
      <alignment horizontal="center" vertical="center"/>
    </xf>
    <xf numFmtId="0" fontId="9" fillId="19" borderId="60" xfId="0" applyFont="1" applyFill="1" applyBorder="1" applyAlignment="1">
      <alignment horizontal="center" vertical="center" wrapText="1"/>
    </xf>
    <xf numFmtId="0" fontId="9" fillId="19" borderId="25" xfId="0" applyFont="1" applyFill="1" applyBorder="1" applyAlignment="1">
      <alignment horizontal="center" vertical="center" wrapText="1"/>
    </xf>
    <xf numFmtId="0" fontId="35" fillId="15" borderId="25" xfId="4" applyFont="1" applyFill="1" applyBorder="1" applyAlignment="1">
      <alignment horizontal="center" wrapText="1"/>
    </xf>
    <xf numFmtId="166" fontId="2" fillId="12" borderId="8" xfId="6" applyNumberFormat="1" applyFont="1" applyFill="1" applyBorder="1" applyAlignment="1">
      <alignment horizontal="center"/>
    </xf>
    <xf numFmtId="166" fontId="10" fillId="25" borderId="7" xfId="0" applyNumberFormat="1" applyFont="1" applyFill="1" applyBorder="1" applyAlignment="1">
      <alignment horizontal="center" vertical="center"/>
    </xf>
    <xf numFmtId="166" fontId="2" fillId="26" borderId="25" xfId="0" applyNumberFormat="1" applyFont="1" applyFill="1" applyBorder="1" applyAlignment="1">
      <alignment horizontal="center" vertical="center"/>
    </xf>
    <xf numFmtId="166" fontId="19" fillId="27" borderId="25" xfId="0" applyNumberFormat="1" applyFont="1" applyFill="1" applyBorder="1" applyAlignment="1">
      <alignment horizontal="center" vertical="center"/>
    </xf>
    <xf numFmtId="0" fontId="36" fillId="19" borderId="25" xfId="0" applyFont="1" applyFill="1" applyBorder="1" applyAlignment="1">
      <alignment horizontal="center" vertical="center" wrapText="1"/>
    </xf>
    <xf numFmtId="0" fontId="36" fillId="19" borderId="23" xfId="0" applyFont="1" applyFill="1" applyBorder="1" applyAlignment="1">
      <alignment horizontal="center" vertical="center" wrapText="1"/>
    </xf>
    <xf numFmtId="0" fontId="36" fillId="19" borderId="2" xfId="0" applyFont="1" applyFill="1" applyBorder="1" applyAlignment="1">
      <alignment horizontal="center" vertical="center" wrapText="1"/>
    </xf>
    <xf numFmtId="0" fontId="36" fillId="19" borderId="5" xfId="0" applyFont="1" applyFill="1" applyBorder="1" applyAlignment="1">
      <alignment horizontal="center" vertical="center" wrapText="1"/>
    </xf>
    <xf numFmtId="0" fontId="19" fillId="12" borderId="0" xfId="0" applyFont="1" applyFill="1" applyAlignment="1">
      <alignment vertical="center"/>
    </xf>
    <xf numFmtId="0" fontId="36" fillId="19" borderId="1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36" fillId="22" borderId="70" xfId="0" applyFont="1" applyFill="1" applyBorder="1" applyAlignment="1">
      <alignment horizontal="center" vertical="center" wrapText="1"/>
    </xf>
    <xf numFmtId="0" fontId="19" fillId="0" borderId="0" xfId="0" applyFont="1"/>
    <xf numFmtId="0" fontId="36" fillId="19" borderId="0" xfId="0" applyFont="1" applyFill="1" applyBorder="1" applyAlignment="1">
      <alignment horizontal="center" vertical="center" wrapText="1"/>
    </xf>
    <xf numFmtId="0" fontId="36" fillId="19" borderId="45" xfId="0" applyFont="1" applyFill="1" applyBorder="1" applyAlignment="1">
      <alignment horizontal="center" vertical="center" wrapText="1"/>
    </xf>
    <xf numFmtId="0" fontId="9" fillId="19" borderId="45" xfId="0" applyFont="1" applyFill="1" applyBorder="1" applyAlignment="1">
      <alignment horizontal="center" vertical="center" wrapText="1"/>
    </xf>
    <xf numFmtId="0" fontId="9" fillId="19" borderId="65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10" fontId="19" fillId="15" borderId="68" xfId="2" applyNumberFormat="1" applyFont="1" applyFill="1" applyBorder="1" applyAlignment="1">
      <alignment horizontal="center" vertical="center"/>
    </xf>
    <xf numFmtId="10" fontId="19" fillId="15" borderId="27" xfId="2" applyNumberFormat="1" applyFont="1" applyFill="1" applyBorder="1" applyAlignment="1">
      <alignment horizontal="center" vertical="center"/>
    </xf>
    <xf numFmtId="0" fontId="22" fillId="19" borderId="25" xfId="0" applyFont="1" applyFill="1" applyBorder="1" applyAlignment="1">
      <alignment horizontal="center" vertical="center" wrapText="1"/>
    </xf>
    <xf numFmtId="0" fontId="30" fillId="19" borderId="25" xfId="0" applyFont="1" applyFill="1" applyBorder="1" applyAlignment="1">
      <alignment horizontal="center" vertical="center" wrapText="1"/>
    </xf>
    <xf numFmtId="165" fontId="22" fillId="19" borderId="25" xfId="0" applyNumberFormat="1" applyFont="1" applyFill="1" applyBorder="1" applyAlignment="1">
      <alignment horizontal="center" vertical="center" wrapText="1"/>
    </xf>
    <xf numFmtId="166" fontId="22" fillId="19" borderId="25" xfId="0" applyNumberFormat="1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/>
    </xf>
    <xf numFmtId="166" fontId="0" fillId="12" borderId="25" xfId="0" applyNumberFormat="1" applyFont="1" applyFill="1" applyBorder="1" applyAlignment="1">
      <alignment horizontal="center" vertical="center"/>
    </xf>
    <xf numFmtId="166" fontId="0" fillId="12" borderId="25" xfId="0" applyNumberFormat="1" applyFont="1" applyFill="1" applyBorder="1" applyAlignment="1">
      <alignment vertical="center"/>
    </xf>
    <xf numFmtId="171" fontId="19" fillId="12" borderId="25" xfId="0" applyNumberFormat="1" applyFont="1" applyFill="1" applyBorder="1" applyAlignment="1">
      <alignment horizontal="center" vertical="center"/>
    </xf>
    <xf numFmtId="174" fontId="22" fillId="19" borderId="25" xfId="2" applyNumberFormat="1" applyFont="1" applyFill="1" applyBorder="1" applyAlignment="1">
      <alignment horizontal="center" vertical="center" wrapText="1"/>
    </xf>
    <xf numFmtId="166" fontId="19" fillId="27" borderId="25" xfId="0" applyNumberFormat="1" applyFont="1" applyFill="1" applyBorder="1" applyAlignment="1">
      <alignment horizontal="center" vertical="center"/>
    </xf>
    <xf numFmtId="0" fontId="0" fillId="0" borderId="0" xfId="0"/>
    <xf numFmtId="0" fontId="19" fillId="5" borderId="25" xfId="0" applyFont="1" applyFill="1" applyBorder="1" applyAlignment="1">
      <alignment horizontal="center" vertical="center"/>
    </xf>
    <xf numFmtId="0" fontId="0" fillId="0" borderId="25" xfId="0" applyBorder="1"/>
    <xf numFmtId="166" fontId="19" fillId="27" borderId="25" xfId="0" applyNumberFormat="1" applyFont="1" applyFill="1" applyBorder="1" applyAlignment="1">
      <alignment horizontal="center" vertical="center"/>
    </xf>
    <xf numFmtId="166" fontId="2" fillId="30" borderId="25" xfId="0" applyNumberFormat="1" applyFont="1" applyFill="1" applyBorder="1" applyAlignment="1">
      <alignment horizontal="center" vertical="center"/>
    </xf>
    <xf numFmtId="0" fontId="0" fillId="30" borderId="25" xfId="0" applyFill="1" applyBorder="1"/>
    <xf numFmtId="0" fontId="0" fillId="27" borderId="25" xfId="0" applyFill="1" applyBorder="1"/>
    <xf numFmtId="0" fontId="0" fillId="31" borderId="25" xfId="0" applyFill="1" applyBorder="1"/>
    <xf numFmtId="166" fontId="19" fillId="31" borderId="25" xfId="0" applyNumberFormat="1" applyFont="1" applyFill="1" applyBorder="1" applyAlignment="1">
      <alignment horizontal="center" vertical="center"/>
    </xf>
    <xf numFmtId="166" fontId="0" fillId="0" borderId="25" xfId="0" applyNumberFormat="1" applyBorder="1"/>
    <xf numFmtId="166" fontId="0" fillId="31" borderId="25" xfId="0" applyNumberFormat="1" applyFill="1" applyBorder="1"/>
    <xf numFmtId="0" fontId="37" fillId="0" borderId="0" xfId="0" applyFont="1"/>
    <xf numFmtId="0" fontId="38" fillId="19" borderId="14" xfId="0" applyFont="1" applyFill="1" applyBorder="1" applyAlignment="1">
      <alignment horizontal="center" vertical="center" wrapText="1"/>
    </xf>
    <xf numFmtId="0" fontId="38" fillId="19" borderId="45" xfId="0" applyFont="1" applyFill="1" applyBorder="1" applyAlignment="1">
      <alignment horizontal="center" vertical="center" wrapText="1"/>
    </xf>
    <xf numFmtId="0" fontId="38" fillId="22" borderId="37" xfId="0" applyFont="1" applyFill="1" applyBorder="1" applyAlignment="1">
      <alignment horizontal="center" vertical="center" wrapText="1"/>
    </xf>
    <xf numFmtId="0" fontId="38" fillId="22" borderId="23" xfId="0" applyFont="1" applyFill="1" applyBorder="1" applyAlignment="1">
      <alignment horizontal="center" vertical="center" wrapText="1"/>
    </xf>
    <xf numFmtId="0" fontId="38" fillId="22" borderId="38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41" fillId="19" borderId="0" xfId="0" applyFont="1" applyFill="1" applyBorder="1" applyAlignment="1">
      <alignment horizontal="center" vertical="center" wrapText="1"/>
    </xf>
    <xf numFmtId="0" fontId="38" fillId="19" borderId="65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41" fillId="19" borderId="5" xfId="0" applyFont="1" applyFill="1" applyBorder="1" applyAlignment="1">
      <alignment horizontal="center" vertical="center" wrapText="1"/>
    </xf>
    <xf numFmtId="0" fontId="38" fillId="19" borderId="63" xfId="0" applyFont="1" applyFill="1" applyBorder="1" applyAlignment="1">
      <alignment horizontal="center" vertical="center" wrapText="1"/>
    </xf>
    <xf numFmtId="0" fontId="37" fillId="12" borderId="0" xfId="0" applyFont="1" applyFill="1" applyAlignment="1">
      <alignment vertical="center"/>
    </xf>
    <xf numFmtId="0" fontId="39" fillId="12" borderId="0" xfId="0" applyFont="1" applyFill="1" applyAlignment="1">
      <alignment vertical="center"/>
    </xf>
    <xf numFmtId="0" fontId="38" fillId="19" borderId="17" xfId="0" applyFont="1" applyFill="1" applyBorder="1" applyAlignment="1">
      <alignment horizontal="center" vertical="center" wrapText="1"/>
    </xf>
    <xf numFmtId="0" fontId="41" fillId="19" borderId="14" xfId="0" applyFont="1" applyFill="1" applyBorder="1" applyAlignment="1">
      <alignment horizontal="center" vertical="center" wrapText="1"/>
    </xf>
    <xf numFmtId="0" fontId="38" fillId="19" borderId="23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41" fillId="19" borderId="23" xfId="0" applyFont="1" applyFill="1" applyBorder="1" applyAlignment="1">
      <alignment horizontal="center" vertical="center" wrapText="1"/>
    </xf>
    <xf numFmtId="0" fontId="38" fillId="22" borderId="41" xfId="0" applyFont="1" applyFill="1" applyBorder="1" applyAlignment="1">
      <alignment horizontal="center" vertical="center" wrapText="1"/>
    </xf>
    <xf numFmtId="0" fontId="38" fillId="22" borderId="45" xfId="0" applyFont="1" applyFill="1" applyBorder="1" applyAlignment="1">
      <alignment horizontal="center" vertical="center" wrapText="1"/>
    </xf>
    <xf numFmtId="0" fontId="38" fillId="22" borderId="62" xfId="0" applyFont="1" applyFill="1" applyBorder="1" applyAlignment="1">
      <alignment horizontal="center" vertical="center" wrapText="1"/>
    </xf>
    <xf numFmtId="0" fontId="41" fillId="19" borderId="2" xfId="0" applyFont="1" applyFill="1" applyBorder="1" applyAlignment="1">
      <alignment horizontal="center" vertical="center" wrapText="1"/>
    </xf>
    <xf numFmtId="0" fontId="38" fillId="19" borderId="6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textRotation="90"/>
    </xf>
    <xf numFmtId="0" fontId="39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38" fillId="19" borderId="37" xfId="0" applyFont="1" applyFill="1" applyBorder="1" applyAlignment="1">
      <alignment horizontal="center" vertical="center" wrapText="1"/>
    </xf>
    <xf numFmtId="0" fontId="38" fillId="19" borderId="38" xfId="0" applyFont="1" applyFill="1" applyBorder="1" applyAlignment="1">
      <alignment horizontal="center" vertical="center" wrapText="1"/>
    </xf>
    <xf numFmtId="0" fontId="43" fillId="19" borderId="45" xfId="0" applyFont="1" applyFill="1" applyBorder="1" applyAlignment="1">
      <alignment horizontal="center" vertical="center" wrapText="1"/>
    </xf>
    <xf numFmtId="0" fontId="43" fillId="22" borderId="37" xfId="0" applyFont="1" applyFill="1" applyBorder="1" applyAlignment="1">
      <alignment horizontal="center" vertical="center" wrapText="1"/>
    </xf>
    <xf numFmtId="0" fontId="43" fillId="22" borderId="23" xfId="0" applyFont="1" applyFill="1" applyBorder="1" applyAlignment="1">
      <alignment horizontal="center" vertical="center" wrapText="1"/>
    </xf>
    <xf numFmtId="0" fontId="44" fillId="0" borderId="0" xfId="0" applyFont="1"/>
    <xf numFmtId="0" fontId="43" fillId="19" borderId="23" xfId="0" applyFont="1" applyFill="1" applyBorder="1" applyAlignment="1">
      <alignment horizontal="center" vertical="center" wrapText="1"/>
    </xf>
    <xf numFmtId="0" fontId="43" fillId="22" borderId="38" xfId="0" applyFont="1" applyFill="1" applyBorder="1" applyAlignment="1">
      <alignment horizontal="center" vertical="center" wrapText="1"/>
    </xf>
    <xf numFmtId="0" fontId="0" fillId="0" borderId="10" xfId="0" applyBorder="1"/>
    <xf numFmtId="166" fontId="0" fillId="0" borderId="10" xfId="0" applyNumberFormat="1" applyBorder="1"/>
    <xf numFmtId="0" fontId="19" fillId="5" borderId="25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166" fontId="19" fillId="0" borderId="25" xfId="0" applyNumberFormat="1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9" fillId="19" borderId="60" xfId="0" applyFont="1" applyFill="1" applyBorder="1" applyAlignment="1">
      <alignment horizontal="center" vertical="center" wrapText="1"/>
    </xf>
    <xf numFmtId="0" fontId="9" fillId="19" borderId="4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9" fillId="19" borderId="63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/>
    </xf>
    <xf numFmtId="166" fontId="32" fillId="0" borderId="25" xfId="0" applyNumberFormat="1" applyFont="1" applyFill="1" applyBorder="1" applyAlignment="1">
      <alignment horizontal="center" vertical="center" wrapText="1"/>
    </xf>
    <xf numFmtId="0" fontId="43" fillId="19" borderId="6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2" fillId="2" borderId="25" xfId="0" applyFont="1" applyFill="1" applyBorder="1" applyAlignment="1">
      <alignment horizontal="center" vertical="center" wrapText="1"/>
    </xf>
    <xf numFmtId="171" fontId="12" fillId="2" borderId="54" xfId="0" applyNumberFormat="1" applyFont="1" applyFill="1" applyBorder="1" applyAlignment="1" applyProtection="1">
      <alignment horizontal="center" vertical="center"/>
    </xf>
    <xf numFmtId="171" fontId="19" fillId="2" borderId="25" xfId="0" applyNumberFormat="1" applyFont="1" applyFill="1" applyBorder="1" applyAlignment="1">
      <alignment horizontal="center" vertical="center"/>
    </xf>
    <xf numFmtId="10" fontId="19" fillId="2" borderId="27" xfId="2" applyNumberFormat="1" applyFont="1" applyFill="1" applyBorder="1" applyAlignment="1">
      <alignment horizontal="center" vertical="center"/>
    </xf>
    <xf numFmtId="173" fontId="9" fillId="9" borderId="27" xfId="0" applyNumberFormat="1" applyFont="1" applyFill="1" applyBorder="1" applyAlignment="1">
      <alignment horizontal="center" vertical="center" wrapText="1"/>
    </xf>
    <xf numFmtId="173" fontId="9" fillId="34" borderId="27" xfId="0" applyNumberFormat="1" applyFont="1" applyFill="1" applyBorder="1" applyAlignment="1">
      <alignment horizontal="center" vertical="center" wrapText="1"/>
    </xf>
    <xf numFmtId="0" fontId="43" fillId="19" borderId="14" xfId="0" applyFont="1" applyFill="1" applyBorder="1" applyAlignment="1">
      <alignment horizontal="center" vertical="center" wrapText="1"/>
    </xf>
    <xf numFmtId="0" fontId="31" fillId="19" borderId="45" xfId="0" applyFont="1" applyFill="1" applyBorder="1" applyAlignment="1">
      <alignment horizontal="center" vertical="center" wrapText="1"/>
    </xf>
    <xf numFmtId="166" fontId="43" fillId="19" borderId="23" xfId="0" applyNumberFormat="1" applyFont="1" applyFill="1" applyBorder="1" applyAlignment="1">
      <alignment horizontal="center" vertical="center" wrapText="1"/>
    </xf>
    <xf numFmtId="0" fontId="43" fillId="19" borderId="50" xfId="0" applyFont="1" applyFill="1" applyBorder="1" applyAlignment="1">
      <alignment horizontal="center" vertical="center" wrapText="1"/>
    </xf>
    <xf numFmtId="0" fontId="43" fillId="19" borderId="61" xfId="0" applyFont="1" applyFill="1" applyBorder="1" applyAlignment="1">
      <alignment horizontal="center" vertical="center" wrapText="1"/>
    </xf>
    <xf numFmtId="0" fontId="32" fillId="5" borderId="20" xfId="0" applyFont="1" applyFill="1" applyBorder="1" applyAlignment="1">
      <alignment horizontal="center" vertical="center"/>
    </xf>
    <xf numFmtId="171" fontId="32" fillId="5" borderId="20" xfId="0" applyNumberFormat="1" applyFont="1" applyFill="1" applyBorder="1" applyAlignment="1" applyProtection="1">
      <alignment horizontal="center" vertical="center"/>
    </xf>
    <xf numFmtId="166" fontId="32" fillId="2" borderId="10" xfId="0" applyNumberFormat="1" applyFont="1" applyFill="1" applyBorder="1" applyAlignment="1">
      <alignment horizontal="center" vertical="center"/>
    </xf>
    <xf numFmtId="171" fontId="32" fillId="0" borderId="10" xfId="0" applyNumberFormat="1" applyFont="1" applyFill="1" applyBorder="1" applyAlignment="1">
      <alignment horizontal="center" vertical="center"/>
    </xf>
    <xf numFmtId="166" fontId="44" fillId="2" borderId="10" xfId="0" applyNumberFormat="1" applyFont="1" applyFill="1" applyBorder="1" applyAlignment="1">
      <alignment horizontal="center" vertical="center"/>
    </xf>
    <xf numFmtId="10" fontId="32" fillId="5" borderId="18" xfId="2" applyNumberFormat="1" applyFont="1" applyFill="1" applyBorder="1" applyAlignment="1">
      <alignment horizontal="center" vertical="center"/>
    </xf>
    <xf numFmtId="0" fontId="43" fillId="19" borderId="25" xfId="0" applyFont="1" applyFill="1" applyBorder="1" applyAlignment="1">
      <alignment horizontal="center" vertical="center" wrapText="1"/>
    </xf>
    <xf numFmtId="0" fontId="32" fillId="5" borderId="54" xfId="0" applyFont="1" applyFill="1" applyBorder="1" applyAlignment="1">
      <alignment horizontal="center" vertical="center"/>
    </xf>
    <xf numFmtId="171" fontId="32" fillId="5" borderId="54" xfId="0" applyNumberFormat="1" applyFont="1" applyFill="1" applyBorder="1" applyAlignment="1" applyProtection="1">
      <alignment horizontal="center" vertical="center"/>
    </xf>
    <xf numFmtId="166" fontId="32" fillId="2" borderId="25" xfId="0" applyNumberFormat="1" applyFont="1" applyFill="1" applyBorder="1" applyAlignment="1">
      <alignment horizontal="center" vertical="center"/>
    </xf>
    <xf numFmtId="171" fontId="32" fillId="0" borderId="25" xfId="0" applyNumberFormat="1" applyFont="1" applyFill="1" applyBorder="1" applyAlignment="1">
      <alignment horizontal="center" vertical="center"/>
    </xf>
    <xf numFmtId="0" fontId="32" fillId="20" borderId="25" xfId="0" applyFont="1" applyFill="1" applyBorder="1" applyAlignment="1">
      <alignment horizontal="center" vertical="center"/>
    </xf>
    <xf numFmtId="10" fontId="32" fillId="5" borderId="27" xfId="2" applyNumberFormat="1" applyFont="1" applyFill="1" applyBorder="1" applyAlignment="1">
      <alignment horizontal="center" vertical="center"/>
    </xf>
    <xf numFmtId="166" fontId="44" fillId="2" borderId="25" xfId="0" applyNumberFormat="1" applyFont="1" applyFill="1" applyBorder="1" applyAlignment="1">
      <alignment horizontal="center" vertical="center"/>
    </xf>
    <xf numFmtId="0" fontId="32" fillId="5" borderId="58" xfId="0" applyFont="1" applyFill="1" applyBorder="1" applyAlignment="1">
      <alignment horizontal="center" vertical="center"/>
    </xf>
    <xf numFmtId="171" fontId="32" fillId="5" borderId="58" xfId="0" applyNumberFormat="1" applyFont="1" applyFill="1" applyBorder="1" applyAlignment="1" applyProtection="1">
      <alignment horizontal="center" vertical="center"/>
    </xf>
    <xf numFmtId="166" fontId="32" fillId="2" borderId="8" xfId="0" applyNumberFormat="1" applyFont="1" applyFill="1" applyBorder="1" applyAlignment="1">
      <alignment horizontal="center" vertical="center"/>
    </xf>
    <xf numFmtId="171" fontId="32" fillId="0" borderId="8" xfId="0" applyNumberFormat="1" applyFont="1" applyFill="1" applyBorder="1" applyAlignment="1">
      <alignment horizontal="center" vertical="center"/>
    </xf>
    <xf numFmtId="171" fontId="32" fillId="0" borderId="53" xfId="0" applyNumberFormat="1" applyFont="1" applyFill="1" applyBorder="1" applyAlignment="1">
      <alignment horizontal="center" vertical="center"/>
    </xf>
    <xf numFmtId="10" fontId="32" fillId="15" borderId="68" xfId="2" applyNumberFormat="1" applyFont="1" applyFill="1" applyBorder="1" applyAlignment="1">
      <alignment horizontal="center" vertical="center"/>
    </xf>
    <xf numFmtId="10" fontId="32" fillId="15" borderId="27" xfId="2" applyNumberFormat="1" applyFont="1" applyFill="1" applyBorder="1" applyAlignment="1">
      <alignment horizontal="center" vertical="center"/>
    </xf>
    <xf numFmtId="166" fontId="32" fillId="2" borderId="53" xfId="0" applyNumberFormat="1" applyFont="1" applyFill="1" applyBorder="1" applyAlignment="1">
      <alignment horizontal="center" vertical="center"/>
    </xf>
    <xf numFmtId="0" fontId="32" fillId="20" borderId="53" xfId="0" applyFont="1" applyFill="1" applyBorder="1" applyAlignment="1">
      <alignment horizontal="center" vertical="center"/>
    </xf>
    <xf numFmtId="10" fontId="32" fillId="5" borderId="68" xfId="2" applyNumberFormat="1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/>
    </xf>
    <xf numFmtId="0" fontId="32" fillId="5" borderId="53" xfId="0" applyFont="1" applyFill="1" applyBorder="1" applyAlignment="1">
      <alignment horizontal="center" vertical="center"/>
    </xf>
    <xf numFmtId="166" fontId="45" fillId="26" borderId="25" xfId="0" applyNumberFormat="1" applyFont="1" applyFill="1" applyBorder="1" applyAlignment="1">
      <alignment horizontal="center" vertical="center"/>
    </xf>
    <xf numFmtId="173" fontId="43" fillId="9" borderId="27" xfId="0" applyNumberFormat="1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/>
    </xf>
    <xf numFmtId="171" fontId="32" fillId="2" borderId="54" xfId="0" applyNumberFormat="1" applyFont="1" applyFill="1" applyBorder="1" applyAlignment="1" applyProtection="1">
      <alignment horizontal="center" vertical="center"/>
    </xf>
    <xf numFmtId="166" fontId="45" fillId="2" borderId="25" xfId="0" applyNumberFormat="1" applyFont="1" applyFill="1" applyBorder="1" applyAlignment="1">
      <alignment horizontal="center" vertical="center"/>
    </xf>
    <xf numFmtId="171" fontId="32" fillId="2" borderId="25" xfId="0" applyNumberFormat="1" applyFont="1" applyFill="1" applyBorder="1" applyAlignment="1">
      <alignment horizontal="center" vertical="center"/>
    </xf>
    <xf numFmtId="10" fontId="32" fillId="2" borderId="27" xfId="2" applyNumberFormat="1" applyFont="1" applyFill="1" applyBorder="1" applyAlignment="1">
      <alignment horizontal="center" vertical="center"/>
    </xf>
    <xf numFmtId="0" fontId="43" fillId="2" borderId="25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/>
    </xf>
    <xf numFmtId="166" fontId="45" fillId="26" borderId="10" xfId="0" applyNumberFormat="1" applyFont="1" applyFill="1" applyBorder="1" applyAlignment="1">
      <alignment horizontal="center" vertical="center"/>
    </xf>
    <xf numFmtId="171" fontId="47" fillId="0" borderId="10" xfId="0" applyNumberFormat="1" applyFont="1" applyFill="1" applyBorder="1" applyAlignment="1">
      <alignment horizontal="center" vertical="center"/>
    </xf>
    <xf numFmtId="171" fontId="47" fillId="0" borderId="25" xfId="0" applyNumberFormat="1" applyFont="1" applyFill="1" applyBorder="1" applyAlignment="1">
      <alignment horizontal="center" vertical="center"/>
    </xf>
    <xf numFmtId="166" fontId="32" fillId="27" borderId="25" xfId="0" applyNumberFormat="1" applyFont="1" applyFill="1" applyBorder="1" applyAlignment="1">
      <alignment horizontal="center" vertical="center"/>
    </xf>
    <xf numFmtId="10" fontId="32" fillId="16" borderId="18" xfId="2" applyNumberFormat="1" applyFont="1" applyFill="1" applyBorder="1" applyAlignment="1">
      <alignment horizontal="center" vertical="center"/>
    </xf>
    <xf numFmtId="173" fontId="43" fillId="34" borderId="27" xfId="0" applyNumberFormat="1" applyFont="1" applyFill="1" applyBorder="1" applyAlignment="1">
      <alignment horizontal="center" vertical="center" wrapText="1"/>
    </xf>
    <xf numFmtId="0" fontId="43" fillId="19" borderId="27" xfId="0" applyFont="1" applyFill="1" applyBorder="1" applyAlignment="1">
      <alignment horizontal="center" vertical="center" wrapText="1"/>
    </xf>
    <xf numFmtId="166" fontId="32" fillId="5" borderId="25" xfId="0" applyNumberFormat="1" applyFont="1" applyFill="1" applyBorder="1" applyAlignment="1">
      <alignment horizontal="center" vertical="center"/>
    </xf>
    <xf numFmtId="0" fontId="48" fillId="15" borderId="27" xfId="0" applyFont="1" applyFill="1" applyBorder="1" applyAlignment="1">
      <alignment horizontal="center" vertical="center" wrapText="1"/>
    </xf>
    <xf numFmtId="166" fontId="45" fillId="30" borderId="25" xfId="0" applyNumberFormat="1" applyFont="1" applyFill="1" applyBorder="1" applyAlignment="1">
      <alignment horizontal="center" vertical="center"/>
    </xf>
    <xf numFmtId="0" fontId="43" fillId="19" borderId="68" xfId="0" applyFont="1" applyFill="1" applyBorder="1" applyAlignment="1">
      <alignment horizontal="center" vertical="center" wrapText="1"/>
    </xf>
    <xf numFmtId="171" fontId="32" fillId="5" borderId="10" xfId="0" applyNumberFormat="1" applyFont="1" applyFill="1" applyBorder="1" applyAlignment="1">
      <alignment horizontal="center" vertical="center"/>
    </xf>
    <xf numFmtId="171" fontId="32" fillId="5" borderId="25" xfId="0" applyNumberFormat="1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 wrapText="1"/>
    </xf>
    <xf numFmtId="171" fontId="32" fillId="5" borderId="25" xfId="0" applyNumberFormat="1" applyFont="1" applyFill="1" applyBorder="1" applyAlignment="1">
      <alignment horizontal="center" vertical="center" wrapText="1"/>
    </xf>
    <xf numFmtId="166" fontId="32" fillId="31" borderId="25" xfId="0" applyNumberFormat="1" applyFont="1" applyFill="1" applyBorder="1" applyAlignment="1">
      <alignment horizontal="center" vertical="center"/>
    </xf>
    <xf numFmtId="43" fontId="32" fillId="5" borderId="25" xfId="1" applyFont="1" applyFill="1" applyBorder="1" applyAlignment="1">
      <alignment vertical="center"/>
    </xf>
    <xf numFmtId="0" fontId="32" fillId="5" borderId="25" xfId="0" applyFont="1" applyFill="1" applyBorder="1" applyAlignment="1">
      <alignment vertical="center"/>
    </xf>
    <xf numFmtId="0" fontId="32" fillId="5" borderId="53" xfId="0" applyFont="1" applyFill="1" applyBorder="1" applyAlignment="1">
      <alignment vertical="center"/>
    </xf>
    <xf numFmtId="171" fontId="32" fillId="5" borderId="53" xfId="0" applyNumberFormat="1" applyFont="1" applyFill="1" applyBorder="1" applyAlignment="1">
      <alignment horizontal="center" vertical="center"/>
    </xf>
    <xf numFmtId="171" fontId="32" fillId="0" borderId="10" xfId="0" applyNumberFormat="1" applyFont="1" applyFill="1" applyBorder="1" applyAlignment="1" applyProtection="1">
      <alignment horizontal="center" vertical="center"/>
    </xf>
    <xf numFmtId="10" fontId="32" fillId="5" borderId="10" xfId="2" applyNumberFormat="1" applyFont="1" applyFill="1" applyBorder="1" applyAlignment="1">
      <alignment horizontal="center" vertical="center"/>
    </xf>
    <xf numFmtId="0" fontId="43" fillId="19" borderId="18" xfId="0" applyFont="1" applyFill="1" applyBorder="1" applyAlignment="1">
      <alignment horizontal="center" vertical="center" wrapText="1"/>
    </xf>
    <xf numFmtId="171" fontId="32" fillId="0" borderId="25" xfId="0" applyNumberFormat="1" applyFont="1" applyFill="1" applyBorder="1" applyAlignment="1" applyProtection="1">
      <alignment horizontal="center" vertical="center"/>
    </xf>
    <xf numFmtId="10" fontId="32" fillId="5" borderId="25" xfId="2" applyNumberFormat="1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171" fontId="32" fillId="0" borderId="8" xfId="0" applyNumberFormat="1" applyFont="1" applyFill="1" applyBorder="1" applyAlignment="1" applyProtection="1">
      <alignment horizontal="center" vertical="center"/>
    </xf>
    <xf numFmtId="171" fontId="32" fillId="5" borderId="8" xfId="0" applyNumberFormat="1" applyFont="1" applyFill="1" applyBorder="1" applyAlignment="1">
      <alignment horizontal="center" vertical="center"/>
    </xf>
    <xf numFmtId="10" fontId="32" fillId="5" borderId="8" xfId="2" applyNumberFormat="1" applyFont="1" applyFill="1" applyBorder="1" applyAlignment="1">
      <alignment horizontal="center" vertical="center"/>
    </xf>
    <xf numFmtId="171" fontId="11" fillId="19" borderId="25" xfId="0" applyNumberFormat="1" applyFont="1" applyFill="1" applyBorder="1" applyAlignment="1">
      <alignment horizontal="center" vertical="center"/>
    </xf>
    <xf numFmtId="171" fontId="12" fillId="5" borderId="25" xfId="0" applyNumberFormat="1" applyFont="1" applyFill="1" applyBorder="1" applyAlignment="1" applyProtection="1">
      <alignment horizontal="center" vertical="center"/>
    </xf>
    <xf numFmtId="173" fontId="9" fillId="9" borderId="25" xfId="0" applyNumberFormat="1" applyFont="1" applyFill="1" applyBorder="1" applyAlignment="1">
      <alignment horizontal="center" vertical="center" wrapText="1"/>
    </xf>
    <xf numFmtId="173" fontId="9" fillId="34" borderId="25" xfId="0" applyNumberFormat="1" applyFont="1" applyFill="1" applyBorder="1" applyAlignment="1">
      <alignment horizontal="center" vertical="center" wrapText="1"/>
    </xf>
    <xf numFmtId="0" fontId="9" fillId="22" borderId="25" xfId="0" applyFont="1" applyFill="1" applyBorder="1" applyAlignment="1">
      <alignment horizontal="center" vertical="center" wrapText="1"/>
    </xf>
    <xf numFmtId="0" fontId="9" fillId="19" borderId="58" xfId="0" applyFont="1" applyFill="1" applyBorder="1" applyAlignment="1">
      <alignment horizontal="center" vertical="center" wrapText="1"/>
    </xf>
    <xf numFmtId="0" fontId="9" fillId="19" borderId="20" xfId="0" applyFont="1" applyFill="1" applyBorder="1" applyAlignment="1">
      <alignment horizontal="center" vertical="center" wrapText="1"/>
    </xf>
    <xf numFmtId="0" fontId="0" fillId="30" borderId="27" xfId="0" applyFill="1" applyBorder="1" applyAlignment="1">
      <alignment horizontal="center"/>
    </xf>
    <xf numFmtId="0" fontId="0" fillId="30" borderId="70" xfId="0" applyFill="1" applyBorder="1" applyAlignment="1">
      <alignment horizontal="center"/>
    </xf>
    <xf numFmtId="0" fontId="0" fillId="30" borderId="54" xfId="0" applyFill="1" applyBorder="1" applyAlignment="1">
      <alignment horizontal="center"/>
    </xf>
    <xf numFmtId="0" fontId="0" fillId="31" borderId="27" xfId="0" applyFill="1" applyBorder="1" applyAlignment="1">
      <alignment horizontal="center"/>
    </xf>
    <xf numFmtId="0" fontId="0" fillId="31" borderId="70" xfId="0" applyFill="1" applyBorder="1" applyAlignment="1">
      <alignment horizontal="center"/>
    </xf>
    <xf numFmtId="0" fontId="0" fillId="31" borderId="54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70" xfId="0" applyFill="1" applyBorder="1" applyAlignment="1">
      <alignment horizontal="center"/>
    </xf>
    <xf numFmtId="0" fontId="0" fillId="27" borderId="54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54" xfId="0" applyBorder="1" applyAlignment="1">
      <alignment horizontal="center"/>
    </xf>
    <xf numFmtId="166" fontId="19" fillId="29" borderId="25" xfId="0" applyNumberFormat="1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 wrapText="1"/>
    </xf>
    <xf numFmtId="166" fontId="46" fillId="26" borderId="25" xfId="0" applyNumberFormat="1" applyFont="1" applyFill="1" applyBorder="1" applyAlignment="1">
      <alignment horizontal="center" vertical="center"/>
    </xf>
    <xf numFmtId="166" fontId="30" fillId="33" borderId="25" xfId="0" applyNumberFormat="1" applyFont="1" applyFill="1" applyBorder="1" applyAlignment="1">
      <alignment horizontal="center" vertical="center"/>
    </xf>
    <xf numFmtId="166" fontId="30" fillId="27" borderId="25" xfId="0" applyNumberFormat="1" applyFont="1" applyFill="1" applyBorder="1" applyAlignment="1">
      <alignment horizontal="center" vertical="center"/>
    </xf>
    <xf numFmtId="0" fontId="30" fillId="29" borderId="25" xfId="0" applyFont="1" applyFill="1" applyBorder="1" applyAlignment="1">
      <alignment horizontal="center" vertical="center" wrapText="1"/>
    </xf>
    <xf numFmtId="166" fontId="0" fillId="0" borderId="0" xfId="0" applyNumberFormat="1" applyFont="1" applyFill="1" applyAlignment="1">
      <alignment vertical="center"/>
    </xf>
    <xf numFmtId="0" fontId="9" fillId="19" borderId="69" xfId="0" applyFont="1" applyFill="1" applyBorder="1" applyAlignment="1">
      <alignment horizontal="center" vertical="center" wrapText="1"/>
    </xf>
    <xf numFmtId="0" fontId="9" fillId="19" borderId="19" xfId="0" applyFont="1" applyFill="1" applyBorder="1" applyAlignment="1">
      <alignment horizontal="center" vertical="center" wrapText="1"/>
    </xf>
    <xf numFmtId="0" fontId="9" fillId="19" borderId="53" xfId="0" applyFont="1" applyFill="1" applyBorder="1" applyAlignment="1">
      <alignment horizontal="center" vertical="center" wrapText="1"/>
    </xf>
    <xf numFmtId="168" fontId="49" fillId="0" borderId="25" xfId="7" applyNumberFormat="1" applyFont="1" applyFill="1" applyBorder="1" applyAlignment="1" applyProtection="1">
      <alignment horizontal="center"/>
    </xf>
    <xf numFmtId="0" fontId="0" fillId="35" borderId="0" xfId="0" applyFill="1"/>
    <xf numFmtId="0" fontId="0" fillId="35" borderId="25" xfId="0" applyFill="1" applyBorder="1"/>
    <xf numFmtId="164" fontId="22" fillId="3" borderId="4" xfId="0" applyNumberFormat="1" applyFont="1" applyFill="1" applyBorder="1" applyAlignment="1">
      <alignment horizontal="center" vertical="center"/>
    </xf>
    <xf numFmtId="164" fontId="22" fillId="3" borderId="5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164" fontId="22" fillId="3" borderId="6" xfId="0" applyNumberFormat="1" applyFont="1" applyFill="1" applyBorder="1" applyAlignment="1">
      <alignment horizontal="center" vertical="center"/>
    </xf>
    <xf numFmtId="165" fontId="5" fillId="11" borderId="52" xfId="0" applyNumberFormat="1" applyFont="1" applyFill="1" applyBorder="1" applyAlignment="1">
      <alignment horizontal="center" vertical="center" wrapText="1"/>
    </xf>
    <xf numFmtId="165" fontId="5" fillId="11" borderId="56" xfId="0" applyNumberFormat="1" applyFont="1" applyFill="1" applyBorder="1" applyAlignment="1">
      <alignment horizontal="center" vertical="center" wrapText="1"/>
    </xf>
    <xf numFmtId="165" fontId="5" fillId="11" borderId="42" xfId="0" applyNumberFormat="1" applyFont="1" applyFill="1" applyBorder="1" applyAlignment="1">
      <alignment horizontal="center" vertical="center" wrapText="1"/>
    </xf>
    <xf numFmtId="165" fontId="5" fillId="20" borderId="52" xfId="0" applyNumberFormat="1" applyFont="1" applyFill="1" applyBorder="1" applyAlignment="1">
      <alignment horizontal="center" vertical="center" wrapText="1"/>
    </xf>
    <xf numFmtId="165" fontId="5" fillId="20" borderId="56" xfId="0" applyNumberFormat="1" applyFont="1" applyFill="1" applyBorder="1" applyAlignment="1">
      <alignment horizontal="center" vertical="center" wrapText="1"/>
    </xf>
    <xf numFmtId="165" fontId="5" fillId="20" borderId="42" xfId="0" applyNumberFormat="1" applyFont="1" applyFill="1" applyBorder="1" applyAlignment="1">
      <alignment horizontal="center" vertical="center" wrapText="1"/>
    </xf>
    <xf numFmtId="165" fontId="5" fillId="5" borderId="74" xfId="0" applyNumberFormat="1" applyFont="1" applyFill="1" applyBorder="1" applyAlignment="1">
      <alignment horizontal="left" vertical="center" wrapText="1"/>
    </xf>
    <xf numFmtId="165" fontId="5" fillId="5" borderId="54" xfId="0" applyNumberFormat="1" applyFont="1" applyFill="1" applyBorder="1" applyAlignment="1">
      <alignment horizontal="left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3" fontId="5" fillId="5" borderId="22" xfId="0" applyNumberFormat="1" applyFont="1" applyFill="1" applyBorder="1" applyAlignment="1">
      <alignment horizontal="center" vertical="center" wrapText="1"/>
    </xf>
    <xf numFmtId="3" fontId="5" fillId="5" borderId="24" xfId="0" applyNumberFormat="1" applyFont="1" applyFill="1" applyBorder="1" applyAlignment="1">
      <alignment horizontal="center" vertical="center" wrapText="1"/>
    </xf>
    <xf numFmtId="3" fontId="5" fillId="5" borderId="39" xfId="0" applyNumberFormat="1" applyFont="1" applyFill="1" applyBorder="1" applyAlignment="1">
      <alignment horizontal="center" vertical="center" wrapText="1"/>
    </xf>
    <xf numFmtId="3" fontId="5" fillId="5" borderId="25" xfId="0" applyNumberFormat="1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3" fontId="5" fillId="5" borderId="39" xfId="0" applyNumberFormat="1" applyFont="1" applyFill="1" applyBorder="1" applyAlignment="1">
      <alignment horizontal="center" vertical="center"/>
    </xf>
    <xf numFmtId="3" fontId="5" fillId="5" borderId="25" xfId="0" applyNumberFormat="1" applyFont="1" applyFill="1" applyBorder="1" applyAlignment="1">
      <alignment horizontal="center" vertical="center"/>
    </xf>
    <xf numFmtId="3" fontId="5" fillId="5" borderId="72" xfId="0" applyNumberFormat="1" applyFont="1" applyFill="1" applyBorder="1" applyAlignment="1">
      <alignment horizontal="center" vertical="center" wrapText="1"/>
    </xf>
    <xf numFmtId="3" fontId="5" fillId="5" borderId="34" xfId="0" applyNumberFormat="1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vertical="center"/>
    </xf>
    <xf numFmtId="2" fontId="8" fillId="7" borderId="2" xfId="0" applyNumberFormat="1" applyFont="1" applyFill="1" applyBorder="1" applyAlignment="1">
      <alignment horizontal="center" vertical="center"/>
    </xf>
    <xf numFmtId="2" fontId="8" fillId="7" borderId="3" xfId="0" applyNumberFormat="1" applyFont="1" applyFill="1" applyBorder="1" applyAlignment="1">
      <alignment horizontal="center" vertical="center"/>
    </xf>
    <xf numFmtId="164" fontId="9" fillId="7" borderId="4" xfId="0" applyNumberFormat="1" applyFont="1" applyFill="1" applyBorder="1" applyAlignment="1">
      <alignment horizontal="center" vertical="center"/>
    </xf>
    <xf numFmtId="164" fontId="9" fillId="7" borderId="5" xfId="0" applyNumberFormat="1" applyFont="1" applyFill="1" applyBorder="1" applyAlignment="1">
      <alignment horizontal="center" vertical="center"/>
    </xf>
    <xf numFmtId="164" fontId="9" fillId="7" borderId="6" xfId="0" applyNumberFormat="1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9" fontId="10" fillId="2" borderId="7" xfId="2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2" fontId="9" fillId="7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171" fontId="0" fillId="10" borderId="7" xfId="0" applyNumberFormat="1" applyFill="1" applyBorder="1" applyAlignment="1">
      <alignment horizontal="center" vertical="center"/>
    </xf>
    <xf numFmtId="10" fontId="0" fillId="10" borderId="7" xfId="2" applyNumberFormat="1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164" fontId="8" fillId="9" borderId="1" xfId="0" applyNumberFormat="1" applyFont="1" applyFill="1" applyBorder="1" applyAlignment="1">
      <alignment horizontal="center" vertical="center"/>
    </xf>
    <xf numFmtId="164" fontId="8" fillId="9" borderId="2" xfId="0" applyNumberFormat="1" applyFont="1" applyFill="1" applyBorder="1" applyAlignment="1">
      <alignment horizontal="center" vertical="center"/>
    </xf>
    <xf numFmtId="164" fontId="8" fillId="9" borderId="3" xfId="0" applyNumberFormat="1" applyFont="1" applyFill="1" applyBorder="1" applyAlignment="1">
      <alignment horizontal="center" vertical="center"/>
    </xf>
    <xf numFmtId="164" fontId="17" fillId="9" borderId="4" xfId="0" applyNumberFormat="1" applyFont="1" applyFill="1" applyBorder="1" applyAlignment="1">
      <alignment horizontal="center" vertical="center"/>
    </xf>
    <xf numFmtId="164" fontId="17" fillId="9" borderId="5" xfId="0" applyNumberFormat="1" applyFont="1" applyFill="1" applyBorder="1" applyAlignment="1">
      <alignment horizontal="center" vertical="center"/>
    </xf>
    <xf numFmtId="164" fontId="17" fillId="9" borderId="6" xfId="0" applyNumberFormat="1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0" fillId="16" borderId="24" xfId="0" applyFont="1" applyFill="1" applyBorder="1" applyAlignment="1">
      <alignment horizontal="center" vertical="center"/>
    </xf>
    <xf numFmtId="0" fontId="0" fillId="16" borderId="25" xfId="0" applyFont="1" applyFill="1" applyBorder="1" applyAlignment="1">
      <alignment horizontal="center" vertical="center"/>
    </xf>
    <xf numFmtId="4" fontId="0" fillId="16" borderId="25" xfId="0" applyNumberFormat="1" applyFont="1" applyFill="1" applyBorder="1" applyAlignment="1">
      <alignment horizontal="center" vertical="center"/>
    </xf>
    <xf numFmtId="9" fontId="1" fillId="11" borderId="34" xfId="2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177" fontId="11" fillId="14" borderId="57" xfId="2" applyNumberFormat="1" applyFont="1" applyFill="1" applyBorder="1" applyAlignment="1">
      <alignment horizontal="center" vertical="center" wrapText="1"/>
    </xf>
    <xf numFmtId="177" fontId="11" fillId="14" borderId="44" xfId="2" applyNumberFormat="1" applyFont="1" applyFill="1" applyBorder="1" applyAlignment="1">
      <alignment horizontal="center" vertical="center" wrapText="1"/>
    </xf>
    <xf numFmtId="0" fontId="4" fillId="9" borderId="73" xfId="0" applyFont="1" applyFill="1" applyBorder="1" applyAlignment="1">
      <alignment horizontal="center" vertical="center"/>
    </xf>
    <xf numFmtId="0" fontId="4" fillId="9" borderId="58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63" xfId="0" applyFont="1" applyFill="1" applyBorder="1" applyAlignment="1">
      <alignment horizontal="center" vertical="center"/>
    </xf>
    <xf numFmtId="177" fontId="4" fillId="14" borderId="52" xfId="0" applyNumberFormat="1" applyFont="1" applyFill="1" applyBorder="1" applyAlignment="1">
      <alignment horizontal="center" vertical="center"/>
    </xf>
    <xf numFmtId="177" fontId="4" fillId="14" borderId="46" xfId="0" applyNumberFormat="1" applyFont="1" applyFill="1" applyBorder="1" applyAlignment="1">
      <alignment horizontal="center" vertical="center"/>
    </xf>
    <xf numFmtId="177" fontId="4" fillId="14" borderId="53" xfId="0" applyNumberFormat="1" applyFont="1" applyFill="1" applyBorder="1" applyAlignment="1">
      <alignment horizontal="center" vertical="center"/>
    </xf>
    <xf numFmtId="177" fontId="4" fillId="14" borderId="47" xfId="0" applyNumberFormat="1" applyFont="1" applyFill="1" applyBorder="1" applyAlignment="1">
      <alignment horizontal="center" vertical="center"/>
    </xf>
    <xf numFmtId="4" fontId="2" fillId="16" borderId="25" xfId="0" applyNumberFormat="1" applyFont="1" applyFill="1" applyBorder="1" applyAlignment="1">
      <alignment horizontal="center" vertical="center"/>
    </xf>
    <xf numFmtId="0" fontId="2" fillId="16" borderId="25" xfId="0" applyFont="1" applyFill="1" applyBorder="1" applyAlignment="1">
      <alignment horizontal="center" vertical="center"/>
    </xf>
    <xf numFmtId="9" fontId="2" fillId="11" borderId="34" xfId="2" applyFont="1" applyFill="1" applyBorder="1" applyAlignment="1">
      <alignment horizontal="center" vertical="center"/>
    </xf>
    <xf numFmtId="0" fontId="9" fillId="19" borderId="68" xfId="0" applyFont="1" applyFill="1" applyBorder="1" applyAlignment="1">
      <alignment horizontal="center" vertical="center" wrapText="1"/>
    </xf>
    <xf numFmtId="0" fontId="9" fillId="19" borderId="18" xfId="0" applyFont="1" applyFill="1" applyBorder="1" applyAlignment="1">
      <alignment horizontal="center" vertical="center" wrapText="1"/>
    </xf>
    <xf numFmtId="0" fontId="9" fillId="19" borderId="53" xfId="0" applyFont="1" applyFill="1" applyBorder="1" applyAlignment="1">
      <alignment horizontal="center" vertical="center"/>
    </xf>
    <xf numFmtId="0" fontId="9" fillId="19" borderId="10" xfId="0" applyFont="1" applyFill="1" applyBorder="1" applyAlignment="1">
      <alignment horizontal="center" vertical="center"/>
    </xf>
    <xf numFmtId="9" fontId="19" fillId="0" borderId="34" xfId="2" applyFont="1" applyFill="1" applyBorder="1" applyAlignment="1">
      <alignment horizontal="center" vertical="center"/>
    </xf>
    <xf numFmtId="9" fontId="19" fillId="0" borderId="57" xfId="2" applyFont="1" applyFill="1" applyBorder="1" applyAlignment="1">
      <alignment horizontal="center" vertical="center"/>
    </xf>
    <xf numFmtId="0" fontId="9" fillId="19" borderId="39" xfId="0" applyFont="1" applyFill="1" applyBorder="1" applyAlignment="1">
      <alignment horizontal="center" vertical="center" wrapText="1"/>
    </xf>
    <xf numFmtId="0" fontId="9" fillId="19" borderId="30" xfId="0" applyFont="1" applyFill="1" applyBorder="1" applyAlignment="1">
      <alignment horizontal="center" vertical="center" wrapText="1"/>
    </xf>
    <xf numFmtId="1" fontId="9" fillId="19" borderId="71" xfId="0" applyNumberFormat="1" applyFont="1" applyFill="1" applyBorder="1" applyAlignment="1">
      <alignment horizontal="center" vertical="center" wrapText="1"/>
    </xf>
    <xf numFmtId="1" fontId="9" fillId="19" borderId="64" xfId="0" applyNumberFormat="1" applyFont="1" applyFill="1" applyBorder="1" applyAlignment="1">
      <alignment horizontal="center" vertical="center" wrapText="1"/>
    </xf>
    <xf numFmtId="166" fontId="9" fillId="22" borderId="22" xfId="0" applyNumberFormat="1" applyFont="1" applyFill="1" applyBorder="1" applyAlignment="1">
      <alignment horizontal="center" vertical="center" wrapText="1"/>
    </xf>
    <xf numFmtId="166" fontId="9" fillId="22" borderId="29" xfId="0" applyNumberFormat="1" applyFont="1" applyFill="1" applyBorder="1" applyAlignment="1">
      <alignment horizontal="center" vertical="center" wrapText="1"/>
    </xf>
    <xf numFmtId="166" fontId="9" fillId="22" borderId="39" xfId="0" applyNumberFormat="1" applyFont="1" applyFill="1" applyBorder="1" applyAlignment="1">
      <alignment horizontal="center" vertical="center" wrapText="1"/>
    </xf>
    <xf numFmtId="166" fontId="9" fillId="22" borderId="30" xfId="0" applyNumberFormat="1" applyFont="1" applyFill="1" applyBorder="1" applyAlignment="1">
      <alignment horizontal="center" vertical="center" wrapText="1"/>
    </xf>
    <xf numFmtId="10" fontId="9" fillId="22" borderId="72" xfId="2" applyNumberFormat="1" applyFont="1" applyFill="1" applyBorder="1" applyAlignment="1">
      <alignment horizontal="center" vertical="center" wrapText="1"/>
    </xf>
    <xf numFmtId="10" fontId="9" fillId="22" borderId="36" xfId="2" applyNumberFormat="1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166" fontId="19" fillId="0" borderId="24" xfId="0" applyNumberFormat="1" applyFont="1" applyFill="1" applyBorder="1" applyAlignment="1">
      <alignment horizontal="center" vertical="center"/>
    </xf>
    <xf numFmtId="166" fontId="19" fillId="0" borderId="52" xfId="0" applyNumberFormat="1" applyFont="1" applyFill="1" applyBorder="1" applyAlignment="1">
      <alignment horizontal="center" vertical="center"/>
    </xf>
    <xf numFmtId="166" fontId="19" fillId="0" borderId="25" xfId="0" applyNumberFormat="1" applyFont="1" applyFill="1" applyBorder="1" applyAlignment="1">
      <alignment horizontal="center" vertical="center"/>
    </xf>
    <xf numFmtId="166" fontId="19" fillId="0" borderId="53" xfId="0" applyNumberFormat="1" applyFont="1" applyFill="1" applyBorder="1" applyAlignment="1">
      <alignment horizontal="center" vertical="center"/>
    </xf>
    <xf numFmtId="0" fontId="26" fillId="19" borderId="42" xfId="0" applyFont="1" applyFill="1" applyBorder="1" applyAlignment="1">
      <alignment horizontal="center" vertical="center" textRotation="90"/>
    </xf>
    <xf numFmtId="0" fontId="26" fillId="19" borderId="24" xfId="0" applyFont="1" applyFill="1" applyBorder="1" applyAlignment="1">
      <alignment horizontal="center" vertical="center" textRotation="90"/>
    </xf>
    <xf numFmtId="0" fontId="26" fillId="19" borderId="52" xfId="0" applyFont="1" applyFill="1" applyBorder="1" applyAlignment="1">
      <alignment horizontal="center" vertical="center" textRotation="90"/>
    </xf>
    <xf numFmtId="166" fontId="19" fillId="12" borderId="25" xfId="0" applyNumberFormat="1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9" fontId="19" fillId="12" borderId="34" xfId="2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66" fontId="19" fillId="12" borderId="24" xfId="0" applyNumberFormat="1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9" fontId="19" fillId="0" borderId="40" xfId="2" applyFont="1" applyFill="1" applyBorder="1" applyAlignment="1">
      <alignment horizontal="center" vertical="center"/>
    </xf>
    <xf numFmtId="166" fontId="19" fillId="0" borderId="42" xfId="0" applyNumberFormat="1" applyFont="1" applyFill="1" applyBorder="1" applyAlignment="1">
      <alignment horizontal="center" vertical="center"/>
    </xf>
    <xf numFmtId="166" fontId="19" fillId="0" borderId="10" xfId="0" applyNumberFormat="1" applyFont="1" applyFill="1" applyBorder="1" applyAlignment="1">
      <alignment horizontal="center" vertical="center"/>
    </xf>
    <xf numFmtId="3" fontId="19" fillId="5" borderId="25" xfId="0" applyNumberFormat="1" applyFont="1" applyFill="1" applyBorder="1" applyAlignment="1">
      <alignment horizontal="center" vertical="center" wrapText="1"/>
    </xf>
    <xf numFmtId="0" fontId="9" fillId="19" borderId="25" xfId="0" applyFont="1" applyFill="1" applyBorder="1" applyAlignment="1">
      <alignment horizontal="center" vertical="center" wrapText="1"/>
    </xf>
    <xf numFmtId="1" fontId="9" fillId="19" borderId="25" xfId="0" applyNumberFormat="1" applyFont="1" applyFill="1" applyBorder="1" applyAlignment="1">
      <alignment horizontal="center" vertical="center" wrapText="1"/>
    </xf>
    <xf numFmtId="166" fontId="9" fillId="19" borderId="25" xfId="0" applyNumberFormat="1" applyFont="1" applyFill="1" applyBorder="1" applyAlignment="1">
      <alignment horizontal="center" vertical="center" wrapText="1"/>
    </xf>
    <xf numFmtId="174" fontId="9" fillId="19" borderId="25" xfId="2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171" fontId="19" fillId="0" borderId="25" xfId="0" applyNumberFormat="1" applyFont="1" applyFill="1" applyBorder="1" applyAlignment="1">
      <alignment horizontal="center" vertical="center" wrapText="1"/>
    </xf>
    <xf numFmtId="9" fontId="19" fillId="0" borderId="25" xfId="2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178" fontId="19" fillId="5" borderId="25" xfId="0" applyNumberFormat="1" applyFont="1" applyFill="1" applyBorder="1" applyAlignment="1">
      <alignment horizontal="center" vertical="center"/>
    </xf>
    <xf numFmtId="171" fontId="19" fillId="16" borderId="25" xfId="0" applyNumberFormat="1" applyFont="1" applyFill="1" applyBorder="1" applyAlignment="1">
      <alignment horizontal="center" vertical="center" wrapText="1"/>
    </xf>
    <xf numFmtId="166" fontId="19" fillId="0" borderId="25" xfId="0" applyNumberFormat="1" applyFont="1" applyFill="1" applyBorder="1" applyAlignment="1">
      <alignment horizontal="center" vertical="center" wrapText="1"/>
    </xf>
    <xf numFmtId="171" fontId="19" fillId="12" borderId="25" xfId="0" applyNumberFormat="1" applyFont="1" applyFill="1" applyBorder="1" applyAlignment="1">
      <alignment horizontal="center" vertical="center" wrapText="1"/>
    </xf>
    <xf numFmtId="166" fontId="19" fillId="12" borderId="25" xfId="0" applyNumberFormat="1" applyFont="1" applyFill="1" applyBorder="1" applyAlignment="1">
      <alignment horizontal="center" vertical="center" wrapText="1"/>
    </xf>
    <xf numFmtId="0" fontId="19" fillId="12" borderId="25" xfId="0" applyFont="1" applyFill="1" applyBorder="1" applyAlignment="1">
      <alignment horizontal="center" vertical="center" wrapText="1"/>
    </xf>
    <xf numFmtId="171" fontId="19" fillId="35" borderId="25" xfId="0" applyNumberFormat="1" applyFont="1" applyFill="1" applyBorder="1" applyAlignment="1">
      <alignment horizontal="center" vertical="center" wrapText="1"/>
    </xf>
    <xf numFmtId="9" fontId="19" fillId="12" borderId="25" xfId="2" applyFont="1" applyFill="1" applyBorder="1" applyAlignment="1">
      <alignment horizontal="center" vertical="center" wrapText="1"/>
    </xf>
    <xf numFmtId="171" fontId="19" fillId="2" borderId="25" xfId="0" applyNumberFormat="1" applyFont="1" applyFill="1" applyBorder="1" applyAlignment="1">
      <alignment horizontal="center" vertical="center" wrapText="1"/>
    </xf>
    <xf numFmtId="166" fontId="19" fillId="2" borderId="25" xfId="0" applyNumberFormat="1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9" fontId="19" fillId="2" borderId="25" xfId="2" applyFont="1" applyFill="1" applyBorder="1" applyAlignment="1">
      <alignment horizontal="center" vertical="center" wrapText="1"/>
    </xf>
    <xf numFmtId="171" fontId="19" fillId="28" borderId="25" xfId="0" applyNumberFormat="1" applyFont="1" applyFill="1" applyBorder="1" applyAlignment="1">
      <alignment horizontal="center" vertical="center" wrapText="1"/>
    </xf>
    <xf numFmtId="166" fontId="19" fillId="28" borderId="25" xfId="0" applyNumberFormat="1" applyFont="1" applyFill="1" applyBorder="1" applyAlignment="1">
      <alignment horizontal="center" vertical="center" wrapText="1"/>
    </xf>
    <xf numFmtId="0" fontId="19" fillId="28" borderId="25" xfId="0" applyFont="1" applyFill="1" applyBorder="1" applyAlignment="1">
      <alignment horizontal="center" vertical="center" wrapText="1"/>
    </xf>
    <xf numFmtId="9" fontId="19" fillId="28" borderId="25" xfId="2" applyFont="1" applyFill="1" applyBorder="1" applyAlignment="1">
      <alignment horizontal="center" vertical="center" wrapText="1"/>
    </xf>
    <xf numFmtId="171" fontId="19" fillId="30" borderId="25" xfId="0" applyNumberFormat="1" applyFont="1" applyFill="1" applyBorder="1" applyAlignment="1">
      <alignment horizontal="center" vertical="center" wrapText="1"/>
    </xf>
    <xf numFmtId="0" fontId="26" fillId="19" borderId="25" xfId="0" applyFont="1" applyFill="1" applyBorder="1" applyAlignment="1">
      <alignment horizontal="center" vertical="center" textRotation="90"/>
    </xf>
    <xf numFmtId="166" fontId="0" fillId="0" borderId="25" xfId="0" applyNumberFormat="1" applyFont="1" applyFill="1" applyBorder="1" applyAlignment="1">
      <alignment horizontal="center" vertical="center"/>
    </xf>
    <xf numFmtId="166" fontId="0" fillId="0" borderId="53" xfId="0" applyNumberFormat="1" applyFont="1" applyFill="1" applyBorder="1" applyAlignment="1">
      <alignment horizontal="center" vertical="center"/>
    </xf>
    <xf numFmtId="9" fontId="0" fillId="0" borderId="34" xfId="2" applyFont="1" applyFill="1" applyBorder="1" applyAlignment="1">
      <alignment horizontal="center" vertical="center"/>
    </xf>
    <xf numFmtId="9" fontId="0" fillId="0" borderId="57" xfId="2" applyFont="1" applyFill="1" applyBorder="1" applyAlignment="1">
      <alignment horizontal="center" vertical="center"/>
    </xf>
    <xf numFmtId="0" fontId="19" fillId="5" borderId="58" xfId="0" applyFont="1" applyFill="1" applyBorder="1" applyAlignment="1">
      <alignment horizontal="center" vertical="center" wrapText="1"/>
    </xf>
    <xf numFmtId="0" fontId="19" fillId="5" borderId="65" xfId="0" applyFont="1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 vertical="center"/>
    </xf>
    <xf numFmtId="166" fontId="0" fillId="0" borderId="24" xfId="2" applyNumberFormat="1" applyFont="1" applyFill="1" applyBorder="1" applyAlignment="1">
      <alignment horizontal="center" vertical="center"/>
    </xf>
    <xf numFmtId="166" fontId="0" fillId="0" borderId="52" xfId="2" applyNumberFormat="1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 wrapText="1"/>
    </xf>
    <xf numFmtId="166" fontId="0" fillId="28" borderId="24" xfId="2" applyNumberFormat="1" applyFont="1" applyFill="1" applyBorder="1" applyAlignment="1">
      <alignment horizontal="center" vertical="center"/>
    </xf>
    <xf numFmtId="166" fontId="0" fillId="28" borderId="25" xfId="0" applyNumberFormat="1" applyFont="1" applyFill="1" applyBorder="1" applyAlignment="1">
      <alignment horizontal="center" vertical="center"/>
    </xf>
    <xf numFmtId="9" fontId="0" fillId="28" borderId="34" xfId="2" applyFont="1" applyFill="1" applyBorder="1" applyAlignment="1">
      <alignment horizontal="center" vertical="center"/>
    </xf>
    <xf numFmtId="166" fontId="0" fillId="0" borderId="10" xfId="0" applyNumberFormat="1" applyFont="1" applyFill="1" applyBorder="1" applyAlignment="1">
      <alignment horizontal="center" vertical="center"/>
    </xf>
    <xf numFmtId="9" fontId="0" fillId="0" borderId="40" xfId="2" applyFont="1" applyFill="1" applyBorder="1" applyAlignment="1">
      <alignment horizontal="center" vertical="center"/>
    </xf>
    <xf numFmtId="166" fontId="9" fillId="22" borderId="45" xfId="0" applyNumberFormat="1" applyFont="1" applyFill="1" applyBorder="1" applyAlignment="1">
      <alignment horizontal="center" vertical="center" wrapText="1"/>
    </xf>
    <xf numFmtId="166" fontId="9" fillId="22" borderId="47" xfId="0" applyNumberFormat="1" applyFont="1" applyFill="1" applyBorder="1" applyAlignment="1">
      <alignment horizontal="center" vertical="center" wrapText="1"/>
    </xf>
    <xf numFmtId="174" fontId="9" fillId="22" borderId="62" xfId="2" applyNumberFormat="1" applyFont="1" applyFill="1" applyBorder="1" applyAlignment="1">
      <alignment horizontal="center" vertical="center" wrapText="1"/>
    </xf>
    <xf numFmtId="174" fontId="9" fillId="22" borderId="44" xfId="2" applyNumberFormat="1" applyFont="1" applyFill="1" applyBorder="1" applyAlignment="1">
      <alignment horizontal="center" vertical="center" wrapText="1"/>
    </xf>
    <xf numFmtId="0" fontId="26" fillId="19" borderId="43" xfId="0" applyFont="1" applyFill="1" applyBorder="1" applyAlignment="1">
      <alignment horizontal="center" vertical="center" textRotation="90" wrapText="1"/>
    </xf>
    <xf numFmtId="0" fontId="26" fillId="19" borderId="55" xfId="0" applyFont="1" applyFill="1" applyBorder="1" applyAlignment="1">
      <alignment horizontal="center" vertical="center" textRotation="90" wrapText="1"/>
    </xf>
    <xf numFmtId="0" fontId="26" fillId="19" borderId="66" xfId="0" applyFont="1" applyFill="1" applyBorder="1" applyAlignment="1">
      <alignment horizontal="center" vertical="center" textRotation="90" wrapText="1"/>
    </xf>
    <xf numFmtId="166" fontId="0" fillId="28" borderId="42" xfId="2" applyNumberFormat="1" applyFont="1" applyFill="1" applyBorder="1" applyAlignment="1">
      <alignment horizontal="center" vertical="center"/>
    </xf>
    <xf numFmtId="166" fontId="0" fillId="28" borderId="10" xfId="0" applyNumberFormat="1" applyFont="1" applyFill="1" applyBorder="1" applyAlignment="1">
      <alignment horizontal="center" vertical="center"/>
    </xf>
    <xf numFmtId="0" fontId="9" fillId="19" borderId="10" xfId="0" applyFont="1" applyFill="1" applyBorder="1" applyAlignment="1">
      <alignment horizontal="center" vertical="center" wrapText="1"/>
    </xf>
    <xf numFmtId="1" fontId="22" fillId="19" borderId="71" xfId="0" applyNumberFormat="1" applyFont="1" applyFill="1" applyBorder="1" applyAlignment="1">
      <alignment horizontal="center" vertical="center" wrapText="1"/>
    </xf>
    <xf numFmtId="1" fontId="22" fillId="19" borderId="64" xfId="0" applyNumberFormat="1" applyFont="1" applyFill="1" applyBorder="1" applyAlignment="1">
      <alignment horizontal="center" vertical="center" wrapText="1"/>
    </xf>
    <xf numFmtId="166" fontId="9" fillId="22" borderId="60" xfId="0" applyNumberFormat="1" applyFont="1" applyFill="1" applyBorder="1" applyAlignment="1">
      <alignment horizontal="center" vertical="center" wrapText="1"/>
    </xf>
    <xf numFmtId="166" fontId="9" fillId="22" borderId="63" xfId="0" applyNumberFormat="1" applyFont="1" applyFill="1" applyBorder="1" applyAlignment="1">
      <alignment horizontal="center" vertical="center" wrapText="1"/>
    </xf>
    <xf numFmtId="9" fontId="0" fillId="28" borderId="40" xfId="2" applyFont="1" applyFill="1" applyBorder="1" applyAlignment="1">
      <alignment horizontal="center" vertical="center"/>
    </xf>
    <xf numFmtId="166" fontId="0" fillId="0" borderId="42" xfId="2" applyNumberFormat="1" applyFont="1" applyFill="1" applyBorder="1" applyAlignment="1">
      <alignment horizontal="center" vertical="center"/>
    </xf>
    <xf numFmtId="166" fontId="19" fillId="16" borderId="58" xfId="0" applyNumberFormat="1" applyFont="1" applyFill="1" applyBorder="1" applyAlignment="1">
      <alignment horizontal="center" vertical="center"/>
    </xf>
    <xf numFmtId="166" fontId="19" fillId="16" borderId="63" xfId="0" applyNumberFormat="1" applyFont="1" applyFill="1" applyBorder="1" applyAlignment="1">
      <alignment horizontal="center" vertical="center"/>
    </xf>
    <xf numFmtId="166" fontId="19" fillId="0" borderId="47" xfId="0" applyNumberFormat="1" applyFont="1" applyFill="1" applyBorder="1" applyAlignment="1">
      <alignment horizontal="center" vertical="center"/>
    </xf>
    <xf numFmtId="9" fontId="19" fillId="0" borderId="44" xfId="2" applyFont="1" applyFill="1" applyBorder="1" applyAlignment="1">
      <alignment horizontal="center" vertical="center"/>
    </xf>
    <xf numFmtId="166" fontId="19" fillId="16" borderId="20" xfId="0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66" fontId="19" fillId="15" borderId="58" xfId="0" applyNumberFormat="1" applyFont="1" applyFill="1" applyBorder="1" applyAlignment="1">
      <alignment horizontal="center" vertical="center"/>
    </xf>
    <xf numFmtId="166" fontId="19" fillId="15" borderId="20" xfId="0" applyNumberFormat="1" applyFont="1" applyFill="1" applyBorder="1" applyAlignment="1">
      <alignment horizontal="center" vertical="center"/>
    </xf>
    <xf numFmtId="166" fontId="19" fillId="15" borderId="53" xfId="0" applyNumberFormat="1" applyFont="1" applyFill="1" applyBorder="1" applyAlignment="1">
      <alignment horizontal="center" vertical="center"/>
    </xf>
    <xf numFmtId="166" fontId="19" fillId="15" borderId="10" xfId="0" applyNumberFormat="1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166" fontId="19" fillId="12" borderId="58" xfId="0" applyNumberFormat="1" applyFont="1" applyFill="1" applyBorder="1" applyAlignment="1">
      <alignment horizontal="center" vertical="center"/>
    </xf>
    <xf numFmtId="166" fontId="19" fillId="12" borderId="20" xfId="0" applyNumberFormat="1" applyFont="1" applyFill="1" applyBorder="1" applyAlignment="1">
      <alignment horizontal="center" vertical="center"/>
    </xf>
    <xf numFmtId="166" fontId="19" fillId="12" borderId="53" xfId="0" applyNumberFormat="1" applyFont="1" applyFill="1" applyBorder="1" applyAlignment="1">
      <alignment horizontal="center" vertical="center"/>
    </xf>
    <xf numFmtId="166" fontId="19" fillId="12" borderId="10" xfId="0" applyNumberFormat="1" applyFont="1" applyFill="1" applyBorder="1" applyAlignment="1">
      <alignment horizontal="center" vertical="center"/>
    </xf>
    <xf numFmtId="9" fontId="19" fillId="15" borderId="57" xfId="2" applyFont="1" applyFill="1" applyBorder="1" applyAlignment="1">
      <alignment horizontal="center" vertical="center"/>
    </xf>
    <xf numFmtId="9" fontId="19" fillId="15" borderId="40" xfId="2" applyFont="1" applyFill="1" applyBorder="1" applyAlignment="1">
      <alignment horizontal="center" vertical="center"/>
    </xf>
    <xf numFmtId="9" fontId="19" fillId="12" borderId="57" xfId="2" applyFont="1" applyFill="1" applyBorder="1" applyAlignment="1">
      <alignment horizontal="center" vertical="center"/>
    </xf>
    <xf numFmtId="9" fontId="19" fillId="12" borderId="40" xfId="2" applyFont="1" applyFill="1" applyBorder="1" applyAlignment="1">
      <alignment horizontal="center" vertical="center"/>
    </xf>
    <xf numFmtId="166" fontId="19" fillId="28" borderId="58" xfId="0" applyNumberFormat="1" applyFont="1" applyFill="1" applyBorder="1" applyAlignment="1">
      <alignment horizontal="center" vertical="center"/>
    </xf>
    <xf numFmtId="166" fontId="19" fillId="28" borderId="20" xfId="0" applyNumberFormat="1" applyFont="1" applyFill="1" applyBorder="1" applyAlignment="1">
      <alignment horizontal="center" vertical="center"/>
    </xf>
    <xf numFmtId="166" fontId="19" fillId="28" borderId="53" xfId="0" applyNumberFormat="1" applyFont="1" applyFill="1" applyBorder="1" applyAlignment="1">
      <alignment horizontal="center" vertical="center"/>
    </xf>
    <xf numFmtId="166" fontId="19" fillId="28" borderId="10" xfId="0" applyNumberFormat="1" applyFont="1" applyFill="1" applyBorder="1" applyAlignment="1">
      <alignment horizontal="center" vertical="center"/>
    </xf>
    <xf numFmtId="9" fontId="19" fillId="28" borderId="57" xfId="2" applyFont="1" applyFill="1" applyBorder="1" applyAlignment="1">
      <alignment horizontal="center" vertical="center"/>
    </xf>
    <xf numFmtId="9" fontId="19" fillId="28" borderId="40" xfId="2" applyFont="1" applyFill="1" applyBorder="1" applyAlignment="1">
      <alignment horizontal="center" vertical="center"/>
    </xf>
    <xf numFmtId="164" fontId="25" fillId="22" borderId="1" xfId="0" applyNumberFormat="1" applyFont="1" applyFill="1" applyBorder="1" applyAlignment="1">
      <alignment horizontal="center" vertical="center"/>
    </xf>
    <xf numFmtId="164" fontId="25" fillId="22" borderId="2" xfId="0" applyNumberFormat="1" applyFont="1" applyFill="1" applyBorder="1" applyAlignment="1">
      <alignment horizontal="center" vertical="center"/>
    </xf>
    <xf numFmtId="164" fontId="25" fillId="22" borderId="3" xfId="0" applyNumberFormat="1" applyFont="1" applyFill="1" applyBorder="1" applyAlignment="1">
      <alignment horizontal="center" vertical="center"/>
    </xf>
    <xf numFmtId="164" fontId="8" fillId="22" borderId="4" xfId="0" applyNumberFormat="1" applyFont="1" applyFill="1" applyBorder="1" applyAlignment="1">
      <alignment horizontal="center" vertical="center"/>
    </xf>
    <xf numFmtId="164" fontId="8" fillId="22" borderId="5" xfId="0" applyNumberFormat="1" applyFont="1" applyFill="1" applyBorder="1" applyAlignment="1">
      <alignment horizontal="center" vertical="center"/>
    </xf>
    <xf numFmtId="164" fontId="8" fillId="22" borderId="6" xfId="0" applyNumberFormat="1" applyFont="1" applyFill="1" applyBorder="1" applyAlignment="1">
      <alignment horizontal="center" vertical="center"/>
    </xf>
    <xf numFmtId="0" fontId="22" fillId="19" borderId="25" xfId="0" applyFont="1" applyFill="1" applyBorder="1" applyAlignment="1">
      <alignment horizontal="center" vertical="center" wrapText="1"/>
    </xf>
    <xf numFmtId="0" fontId="26" fillId="19" borderId="77" xfId="0" applyFont="1" applyFill="1" applyBorder="1" applyAlignment="1">
      <alignment horizontal="center" vertical="center" textRotation="90"/>
    </xf>
    <xf numFmtId="0" fontId="26" fillId="19" borderId="74" xfId="0" applyFont="1" applyFill="1" applyBorder="1" applyAlignment="1">
      <alignment horizontal="center" vertical="center" textRotation="90"/>
    </xf>
    <xf numFmtId="0" fontId="26" fillId="19" borderId="73" xfId="0" applyFont="1" applyFill="1" applyBorder="1" applyAlignment="1">
      <alignment horizontal="center" vertical="center" textRotation="90"/>
    </xf>
    <xf numFmtId="166" fontId="19" fillId="0" borderId="54" xfId="0" applyNumberFormat="1" applyFont="1" applyFill="1" applyBorder="1" applyAlignment="1">
      <alignment horizontal="center" vertical="center"/>
    </xf>
    <xf numFmtId="166" fontId="19" fillId="0" borderId="58" xfId="0" applyNumberFormat="1" applyFont="1" applyFill="1" applyBorder="1" applyAlignment="1">
      <alignment horizontal="center" vertical="center"/>
    </xf>
    <xf numFmtId="0" fontId="9" fillId="9" borderId="68" xfId="0" applyFont="1" applyFill="1" applyBorder="1" applyAlignment="1">
      <alignment horizontal="center" vertical="center" wrapText="1"/>
    </xf>
    <xf numFmtId="0" fontId="9" fillId="9" borderId="69" xfId="0" applyFont="1" applyFill="1" applyBorder="1" applyAlignment="1">
      <alignment horizontal="center" vertical="center" wrapText="1"/>
    </xf>
    <xf numFmtId="0" fontId="9" fillId="9" borderId="58" xfId="0" applyFont="1" applyFill="1" applyBorder="1" applyAlignment="1">
      <alignment horizontal="center" vertical="center" wrapText="1"/>
    </xf>
    <xf numFmtId="0" fontId="9" fillId="9" borderId="7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65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9" fillId="9" borderId="70" xfId="0" applyFont="1" applyFill="1" applyBorder="1" applyAlignment="1">
      <alignment horizontal="center" vertical="center" wrapText="1"/>
    </xf>
    <xf numFmtId="0" fontId="9" fillId="9" borderId="54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23" fillId="14" borderId="25" xfId="0" applyFont="1" applyFill="1" applyBorder="1" applyAlignment="1">
      <alignment horizontal="center" vertical="center" wrapText="1"/>
    </xf>
    <xf numFmtId="43" fontId="23" fillId="9" borderId="1" xfId="0" applyNumberFormat="1" applyFont="1" applyFill="1" applyBorder="1" applyAlignment="1">
      <alignment horizontal="center" vertical="center" wrapText="1"/>
    </xf>
    <xf numFmtId="43" fontId="23" fillId="9" borderId="2" xfId="0" applyNumberFormat="1" applyFont="1" applyFill="1" applyBorder="1" applyAlignment="1">
      <alignment horizontal="center" vertical="center" wrapText="1"/>
    </xf>
    <xf numFmtId="43" fontId="23" fillId="9" borderId="3" xfId="0" applyNumberFormat="1" applyFont="1" applyFill="1" applyBorder="1" applyAlignment="1">
      <alignment horizontal="center" vertical="center" wrapText="1"/>
    </xf>
    <xf numFmtId="43" fontId="23" fillId="9" borderId="4" xfId="0" applyNumberFormat="1" applyFont="1" applyFill="1" applyBorder="1" applyAlignment="1">
      <alignment horizontal="center" vertical="center" wrapText="1"/>
    </xf>
    <xf numFmtId="43" fontId="23" fillId="9" borderId="5" xfId="0" applyNumberFormat="1" applyFont="1" applyFill="1" applyBorder="1" applyAlignment="1">
      <alignment horizontal="center" vertical="center" wrapText="1"/>
    </xf>
    <xf numFmtId="43" fontId="23" fillId="9" borderId="6" xfId="0" applyNumberFormat="1" applyFont="1" applyFill="1" applyBorder="1" applyAlignment="1">
      <alignment horizontal="center" vertical="center" wrapText="1"/>
    </xf>
    <xf numFmtId="166" fontId="22" fillId="14" borderId="41" xfId="0" applyNumberFormat="1" applyFont="1" applyFill="1" applyBorder="1" applyAlignment="1">
      <alignment horizontal="center" vertical="center"/>
    </xf>
    <xf numFmtId="166" fontId="22" fillId="14" borderId="45" xfId="0" applyNumberFormat="1" applyFont="1" applyFill="1" applyBorder="1" applyAlignment="1">
      <alignment horizontal="center" vertical="center"/>
    </xf>
    <xf numFmtId="166" fontId="22" fillId="14" borderId="47" xfId="0" applyNumberFormat="1" applyFont="1" applyFill="1" applyBorder="1" applyAlignment="1">
      <alignment horizontal="center" vertical="center"/>
    </xf>
    <xf numFmtId="166" fontId="22" fillId="14" borderId="39" xfId="0" applyNumberFormat="1" applyFont="1" applyFill="1" applyBorder="1" applyAlignment="1">
      <alignment horizontal="center" vertical="center"/>
    </xf>
    <xf numFmtId="166" fontId="22" fillId="14" borderId="30" xfId="0" applyNumberFormat="1" applyFont="1" applyFill="1" applyBorder="1" applyAlignment="1">
      <alignment horizontal="center" vertical="center"/>
    </xf>
    <xf numFmtId="177" fontId="22" fillId="14" borderId="33" xfId="0" applyNumberFormat="1" applyFont="1" applyFill="1" applyBorder="1" applyAlignment="1">
      <alignment horizontal="center" vertical="center"/>
    </xf>
    <xf numFmtId="177" fontId="22" fillId="14" borderId="48" xfId="0" applyNumberFormat="1" applyFont="1" applyFill="1" applyBorder="1" applyAlignment="1">
      <alignment horizontal="center" vertical="center"/>
    </xf>
    <xf numFmtId="9" fontId="3" fillId="0" borderId="33" xfId="2" applyFont="1" applyFill="1" applyBorder="1" applyAlignment="1">
      <alignment horizontal="center" vertical="center"/>
    </xf>
    <xf numFmtId="9" fontId="3" fillId="0" borderId="43" xfId="2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2" fillId="8" borderId="34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22" fillId="8" borderId="29" xfId="0" applyFont="1" applyFill="1" applyBorder="1" applyAlignment="1">
      <alignment horizontal="center" vertical="center" wrapText="1"/>
    </xf>
    <xf numFmtId="0" fontId="24" fillId="8" borderId="30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66" fontId="23" fillId="7" borderId="25" xfId="0" applyNumberFormat="1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166" fontId="19" fillId="17" borderId="25" xfId="0" applyNumberFormat="1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 wrapText="1"/>
    </xf>
    <xf numFmtId="0" fontId="37" fillId="5" borderId="25" xfId="0" applyFont="1" applyFill="1" applyBorder="1" applyAlignment="1">
      <alignment horizontal="center" vertical="center" wrapText="1"/>
    </xf>
    <xf numFmtId="0" fontId="37" fillId="5" borderId="8" xfId="0" applyFont="1" applyFill="1" applyBorder="1" applyAlignment="1">
      <alignment horizontal="center" vertical="center" wrapText="1"/>
    </xf>
    <xf numFmtId="0" fontId="39" fillId="27" borderId="25" xfId="0" applyFont="1" applyFill="1" applyBorder="1" applyAlignment="1">
      <alignment horizontal="center" vertical="center" wrapText="1"/>
    </xf>
    <xf numFmtId="0" fontId="37" fillId="27" borderId="25" xfId="0" applyFont="1" applyFill="1" applyBorder="1" applyAlignment="1">
      <alignment horizontal="center" vertical="center" wrapText="1"/>
    </xf>
    <xf numFmtId="0" fontId="39" fillId="5" borderId="54" xfId="0" applyFont="1" applyFill="1" applyBorder="1" applyAlignment="1">
      <alignment horizontal="center" vertical="center" wrapText="1"/>
    </xf>
    <xf numFmtId="0" fontId="39" fillId="5" borderId="58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center" vertical="center" wrapText="1"/>
    </xf>
    <xf numFmtId="0" fontId="38" fillId="19" borderId="42" xfId="0" applyFont="1" applyFill="1" applyBorder="1" applyAlignment="1">
      <alignment horizontal="center" vertical="center" textRotation="90"/>
    </xf>
    <xf numFmtId="0" fontId="38" fillId="19" borderId="24" xfId="0" applyFont="1" applyFill="1" applyBorder="1" applyAlignment="1">
      <alignment horizontal="center" vertical="center" textRotation="90"/>
    </xf>
    <xf numFmtId="0" fontId="38" fillId="19" borderId="52" xfId="0" applyFont="1" applyFill="1" applyBorder="1" applyAlignment="1">
      <alignment horizontal="center" vertical="center" textRotation="90"/>
    </xf>
    <xf numFmtId="0" fontId="39" fillId="5" borderId="10" xfId="0" applyFont="1" applyFill="1" applyBorder="1" applyAlignment="1">
      <alignment horizontal="center" vertical="center" wrapText="1"/>
    </xf>
    <xf numFmtId="0" fontId="39" fillId="5" borderId="25" xfId="0" applyFont="1" applyFill="1" applyBorder="1" applyAlignment="1">
      <alignment horizontal="center" vertical="center" wrapText="1"/>
    </xf>
    <xf numFmtId="0" fontId="39" fillId="31" borderId="25" xfId="0" applyFont="1" applyFill="1" applyBorder="1" applyAlignment="1">
      <alignment horizontal="center" vertical="center" wrapText="1"/>
    </xf>
    <xf numFmtId="0" fontId="39" fillId="27" borderId="10" xfId="0" applyFont="1" applyFill="1" applyBorder="1" applyAlignment="1">
      <alignment horizontal="center" vertical="center" wrapText="1"/>
    </xf>
    <xf numFmtId="0" fontId="37" fillId="27" borderId="10" xfId="0" applyFont="1" applyFill="1" applyBorder="1" applyAlignment="1">
      <alignment horizontal="center" vertical="center" wrapText="1"/>
    </xf>
    <xf numFmtId="0" fontId="39" fillId="30" borderId="25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31" borderId="54" xfId="0" applyFont="1" applyFill="1" applyBorder="1" applyAlignment="1">
      <alignment horizontal="center" vertical="center" wrapText="1"/>
    </xf>
    <xf numFmtId="0" fontId="37" fillId="31" borderId="25" xfId="0" applyFont="1" applyFill="1" applyBorder="1" applyAlignment="1">
      <alignment horizontal="center" vertical="center" wrapText="1"/>
    </xf>
    <xf numFmtId="0" fontId="39" fillId="27" borderId="54" xfId="0" applyFont="1" applyFill="1" applyBorder="1" applyAlignment="1">
      <alignment horizontal="center" vertical="center" wrapText="1"/>
    </xf>
    <xf numFmtId="0" fontId="39" fillId="32" borderId="54" xfId="0" applyFont="1" applyFill="1" applyBorder="1" applyAlignment="1">
      <alignment horizontal="center" vertical="center" wrapText="1"/>
    </xf>
    <xf numFmtId="0" fontId="37" fillId="32" borderId="25" xfId="0" applyFont="1" applyFill="1" applyBorder="1" applyAlignment="1">
      <alignment horizontal="center" vertical="center" wrapText="1"/>
    </xf>
    <xf numFmtId="0" fontId="39" fillId="27" borderId="52" xfId="0" applyFont="1" applyFill="1" applyBorder="1" applyAlignment="1">
      <alignment horizontal="center" vertical="center" wrapText="1"/>
    </xf>
    <xf numFmtId="0" fontId="39" fillId="27" borderId="42" xfId="0" applyFont="1" applyFill="1" applyBorder="1" applyAlignment="1">
      <alignment horizontal="center" vertical="center" wrapText="1"/>
    </xf>
    <xf numFmtId="0" fontId="39" fillId="27" borderId="54" xfId="0" applyFont="1" applyFill="1" applyBorder="1" applyAlignment="1">
      <alignment horizontal="center" wrapText="1"/>
    </xf>
    <xf numFmtId="0" fontId="39" fillId="5" borderId="54" xfId="0" applyFont="1" applyFill="1" applyBorder="1" applyAlignment="1">
      <alignment horizontal="center" wrapText="1"/>
    </xf>
    <xf numFmtId="0" fontId="41" fillId="32" borderId="52" xfId="0" applyFont="1" applyFill="1" applyBorder="1" applyAlignment="1">
      <alignment horizontal="center" vertical="center" wrapText="1"/>
    </xf>
    <xf numFmtId="0" fontId="41" fillId="32" borderId="42" xfId="0" applyFont="1" applyFill="1" applyBorder="1" applyAlignment="1">
      <alignment horizontal="center" vertical="center" wrapText="1"/>
    </xf>
    <xf numFmtId="0" fontId="39" fillId="5" borderId="20" xfId="0" applyFont="1" applyFill="1" applyBorder="1" applyAlignment="1">
      <alignment horizontal="center" vertical="center" wrapText="1"/>
    </xf>
    <xf numFmtId="0" fontId="39" fillId="5" borderId="65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60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63" xfId="0" applyFont="1" applyFill="1" applyBorder="1" applyAlignment="1">
      <alignment horizontal="center" vertical="center" wrapText="1"/>
    </xf>
    <xf numFmtId="0" fontId="38" fillId="19" borderId="51" xfId="0" applyFont="1" applyFill="1" applyBorder="1" applyAlignment="1">
      <alignment horizontal="center" vertical="center" textRotation="90"/>
    </xf>
    <xf numFmtId="0" fontId="38" fillId="19" borderId="55" xfId="0" applyFont="1" applyFill="1" applyBorder="1" applyAlignment="1">
      <alignment horizontal="center" vertical="center" textRotation="90"/>
    </xf>
    <xf numFmtId="0" fontId="38" fillId="19" borderId="66" xfId="0" applyFont="1" applyFill="1" applyBorder="1" applyAlignment="1">
      <alignment horizontal="center" vertical="center" textRotation="90"/>
    </xf>
    <xf numFmtId="0" fontId="39" fillId="32" borderId="20" xfId="0" applyFont="1" applyFill="1" applyBorder="1" applyAlignment="1">
      <alignment horizontal="center" wrapText="1"/>
    </xf>
    <xf numFmtId="0" fontId="39" fillId="32" borderId="54" xfId="0" applyFont="1" applyFill="1" applyBorder="1" applyAlignment="1">
      <alignment horizontal="center" wrapText="1"/>
    </xf>
    <xf numFmtId="0" fontId="37" fillId="32" borderId="10" xfId="0" applyFont="1" applyFill="1" applyBorder="1" applyAlignment="1">
      <alignment horizontal="center" vertical="center" wrapText="1"/>
    </xf>
    <xf numFmtId="0" fontId="39" fillId="32" borderId="58" xfId="0" applyFont="1" applyFill="1" applyBorder="1" applyAlignment="1">
      <alignment horizontal="center" vertical="center" wrapText="1"/>
    </xf>
    <xf numFmtId="0" fontId="39" fillId="32" borderId="20" xfId="0" applyFont="1" applyFill="1" applyBorder="1" applyAlignment="1">
      <alignment horizontal="center" vertical="center" wrapText="1"/>
    </xf>
    <xf numFmtId="0" fontId="39" fillId="27" borderId="58" xfId="0" applyFont="1" applyFill="1" applyBorder="1" applyAlignment="1">
      <alignment horizontal="center" vertical="center" wrapText="1"/>
    </xf>
    <xf numFmtId="0" fontId="39" fillId="27" borderId="20" xfId="0" applyFont="1" applyFill="1" applyBorder="1" applyAlignment="1">
      <alignment horizontal="center" vertical="center" wrapText="1"/>
    </xf>
    <xf numFmtId="0" fontId="38" fillId="19" borderId="43" xfId="0" applyFont="1" applyFill="1" applyBorder="1" applyAlignment="1">
      <alignment horizontal="center" vertical="center" textRotation="90" wrapText="1"/>
    </xf>
    <xf numFmtId="0" fontId="38" fillId="19" borderId="55" xfId="0" applyFont="1" applyFill="1" applyBorder="1" applyAlignment="1">
      <alignment horizontal="center" vertical="center" textRotation="90" wrapText="1"/>
    </xf>
    <xf numFmtId="0" fontId="38" fillId="19" borderId="66" xfId="0" applyFont="1" applyFill="1" applyBorder="1" applyAlignment="1">
      <alignment horizontal="center" vertical="center" textRotation="90" wrapText="1"/>
    </xf>
    <xf numFmtId="0" fontId="39" fillId="27" borderId="65" xfId="0" applyFont="1" applyFill="1" applyBorder="1" applyAlignment="1">
      <alignment horizontal="center" vertical="center" wrapText="1"/>
    </xf>
    <xf numFmtId="0" fontId="37" fillId="5" borderId="10" xfId="0" applyFont="1" applyFill="1" applyBorder="1" applyAlignment="1">
      <alignment horizontal="center" vertical="center" wrapText="1"/>
    </xf>
    <xf numFmtId="3" fontId="39" fillId="32" borderId="25" xfId="0" applyNumberFormat="1" applyFont="1" applyFill="1" applyBorder="1" applyAlignment="1">
      <alignment horizontal="center" vertical="center" wrapText="1"/>
    </xf>
    <xf numFmtId="0" fontId="39" fillId="5" borderId="25" xfId="0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wrapText="1"/>
    </xf>
    <xf numFmtId="0" fontId="39" fillId="32" borderId="25" xfId="0" applyFont="1" applyFill="1" applyBorder="1" applyAlignment="1">
      <alignment horizontal="center" vertical="center" wrapText="1"/>
    </xf>
    <xf numFmtId="0" fontId="38" fillId="19" borderId="77" xfId="0" applyFont="1" applyFill="1" applyBorder="1" applyAlignment="1">
      <alignment horizontal="center" vertical="center" textRotation="90"/>
    </xf>
    <xf numFmtId="0" fontId="38" fillId="19" borderId="74" xfId="0" applyFont="1" applyFill="1" applyBorder="1" applyAlignment="1">
      <alignment horizontal="center" vertical="center" textRotation="90"/>
    </xf>
    <xf numFmtId="0" fontId="38" fillId="19" borderId="73" xfId="0" applyFont="1" applyFill="1" applyBorder="1" applyAlignment="1">
      <alignment horizontal="center" vertical="center" textRotation="90"/>
    </xf>
    <xf numFmtId="0" fontId="37" fillId="0" borderId="25" xfId="0" applyFont="1" applyBorder="1"/>
    <xf numFmtId="166" fontId="38" fillId="22" borderId="22" xfId="0" applyNumberFormat="1" applyFont="1" applyFill="1" applyBorder="1" applyAlignment="1">
      <alignment horizontal="center" vertical="center" wrapText="1"/>
    </xf>
    <xf numFmtId="166" fontId="38" fillId="22" borderId="29" xfId="0" applyNumberFormat="1" applyFont="1" applyFill="1" applyBorder="1" applyAlignment="1">
      <alignment horizontal="center" vertical="center" wrapText="1"/>
    </xf>
    <xf numFmtId="166" fontId="38" fillId="22" borderId="39" xfId="0" applyNumberFormat="1" applyFont="1" applyFill="1" applyBorder="1" applyAlignment="1">
      <alignment horizontal="center" vertical="center" wrapText="1"/>
    </xf>
    <xf numFmtId="166" fontId="38" fillId="22" borderId="30" xfId="0" applyNumberFormat="1" applyFont="1" applyFill="1" applyBorder="1" applyAlignment="1">
      <alignment horizontal="center" vertical="center" wrapText="1"/>
    </xf>
    <xf numFmtId="10" fontId="38" fillId="22" borderId="72" xfId="2" applyNumberFormat="1" applyFont="1" applyFill="1" applyBorder="1" applyAlignment="1">
      <alignment horizontal="center" vertical="center" wrapText="1"/>
    </xf>
    <xf numFmtId="10" fontId="38" fillId="22" borderId="36" xfId="2" applyNumberFormat="1" applyFont="1" applyFill="1" applyBorder="1" applyAlignment="1">
      <alignment horizontal="center" vertical="center" wrapText="1"/>
    </xf>
    <xf numFmtId="166" fontId="39" fillId="0" borderId="24" xfId="0" applyNumberFormat="1" applyFont="1" applyFill="1" applyBorder="1" applyAlignment="1">
      <alignment horizontal="center" vertical="center"/>
    </xf>
    <xf numFmtId="166" fontId="39" fillId="0" borderId="52" xfId="0" applyNumberFormat="1" applyFont="1" applyFill="1" applyBorder="1" applyAlignment="1">
      <alignment horizontal="center" vertical="center"/>
    </xf>
    <xf numFmtId="166" fontId="39" fillId="0" borderId="25" xfId="0" applyNumberFormat="1" applyFont="1" applyFill="1" applyBorder="1" applyAlignment="1">
      <alignment horizontal="center" vertical="center"/>
    </xf>
    <xf numFmtId="166" fontId="39" fillId="0" borderId="53" xfId="0" applyNumberFormat="1" applyFont="1" applyFill="1" applyBorder="1" applyAlignment="1">
      <alignment horizontal="center" vertical="center"/>
    </xf>
    <xf numFmtId="9" fontId="39" fillId="0" borderId="34" xfId="2" applyFont="1" applyFill="1" applyBorder="1" applyAlignment="1">
      <alignment horizontal="center" vertical="center"/>
    </xf>
    <xf numFmtId="9" fontId="39" fillId="0" borderId="57" xfId="2" applyFont="1" applyFill="1" applyBorder="1" applyAlignment="1">
      <alignment horizontal="center" vertical="center"/>
    </xf>
    <xf numFmtId="166" fontId="39" fillId="12" borderId="24" xfId="0" applyNumberFormat="1" applyFont="1" applyFill="1" applyBorder="1" applyAlignment="1">
      <alignment horizontal="center" vertical="center"/>
    </xf>
    <xf numFmtId="166" fontId="39" fillId="12" borderId="25" xfId="0" applyNumberFormat="1" applyFont="1" applyFill="1" applyBorder="1" applyAlignment="1">
      <alignment horizontal="center" vertical="center"/>
    </xf>
    <xf numFmtId="9" fontId="39" fillId="12" borderId="34" xfId="2" applyFont="1" applyFill="1" applyBorder="1" applyAlignment="1">
      <alignment horizontal="center" vertical="center"/>
    </xf>
    <xf numFmtId="166" fontId="39" fillId="0" borderId="42" xfId="0" applyNumberFormat="1" applyFont="1" applyFill="1" applyBorder="1" applyAlignment="1">
      <alignment horizontal="center" vertical="center"/>
    </xf>
    <xf numFmtId="166" fontId="39" fillId="0" borderId="10" xfId="0" applyNumberFormat="1" applyFont="1" applyFill="1" applyBorder="1" applyAlignment="1">
      <alignment horizontal="center" vertical="center"/>
    </xf>
    <xf numFmtId="9" fontId="39" fillId="0" borderId="40" xfId="2" applyFont="1" applyFill="1" applyBorder="1" applyAlignment="1">
      <alignment horizontal="center" vertical="center"/>
    </xf>
    <xf numFmtId="166" fontId="38" fillId="19" borderId="41" xfId="0" applyNumberFormat="1" applyFont="1" applyFill="1" applyBorder="1" applyAlignment="1">
      <alignment horizontal="center" vertical="center" wrapText="1"/>
    </xf>
    <xf numFmtId="166" fontId="38" fillId="19" borderId="46" xfId="0" applyNumberFormat="1" applyFont="1" applyFill="1" applyBorder="1" applyAlignment="1">
      <alignment horizontal="center" vertical="center" wrapText="1"/>
    </xf>
    <xf numFmtId="166" fontId="38" fillId="19" borderId="60" xfId="0" applyNumberFormat="1" applyFont="1" applyFill="1" applyBorder="1" applyAlignment="1">
      <alignment horizontal="center" vertical="center" wrapText="1"/>
    </xf>
    <xf numFmtId="166" fontId="38" fillId="19" borderId="63" xfId="0" applyNumberFormat="1" applyFont="1" applyFill="1" applyBorder="1" applyAlignment="1">
      <alignment horizontal="center" vertical="center" wrapText="1"/>
    </xf>
    <xf numFmtId="166" fontId="38" fillId="19" borderId="45" xfId="0" applyNumberFormat="1" applyFont="1" applyFill="1" applyBorder="1" applyAlignment="1">
      <alignment horizontal="center" vertical="center" wrapText="1"/>
    </xf>
    <xf numFmtId="166" fontId="38" fillId="19" borderId="47" xfId="0" applyNumberFormat="1" applyFont="1" applyFill="1" applyBorder="1" applyAlignment="1">
      <alignment horizontal="center" vertical="center" wrapText="1"/>
    </xf>
    <xf numFmtId="174" fontId="38" fillId="19" borderId="62" xfId="2" applyNumberFormat="1" applyFont="1" applyFill="1" applyBorder="1" applyAlignment="1">
      <alignment horizontal="center" vertical="center" wrapText="1"/>
    </xf>
    <xf numFmtId="174" fontId="38" fillId="19" borderId="44" xfId="2" applyNumberFormat="1" applyFont="1" applyFill="1" applyBorder="1" applyAlignment="1">
      <alignment horizontal="center" vertical="center" wrapText="1"/>
    </xf>
    <xf numFmtId="171" fontId="39" fillId="16" borderId="24" xfId="0" applyNumberFormat="1" applyFont="1" applyFill="1" applyBorder="1" applyAlignment="1">
      <alignment horizontal="center" vertical="center" wrapText="1"/>
    </xf>
    <xf numFmtId="171" fontId="39" fillId="16" borderId="52" xfId="0" applyNumberFormat="1" applyFont="1" applyFill="1" applyBorder="1" applyAlignment="1">
      <alignment horizontal="center" vertical="center" wrapText="1"/>
    </xf>
    <xf numFmtId="166" fontId="39" fillId="0" borderId="25" xfId="0" applyNumberFormat="1" applyFont="1" applyFill="1" applyBorder="1" applyAlignment="1">
      <alignment horizontal="center" vertical="center" wrapText="1"/>
    </xf>
    <xf numFmtId="166" fontId="39" fillId="0" borderId="53" xfId="0" applyNumberFormat="1" applyFont="1" applyFill="1" applyBorder="1" applyAlignment="1">
      <alignment horizontal="center" vertical="center" wrapText="1"/>
    </xf>
    <xf numFmtId="171" fontId="39" fillId="0" borderId="25" xfId="0" applyNumberFormat="1" applyFont="1" applyFill="1" applyBorder="1" applyAlignment="1">
      <alignment horizontal="center" vertical="center" wrapText="1"/>
    </xf>
    <xf numFmtId="171" fontId="39" fillId="0" borderId="53" xfId="0" applyNumberFormat="1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9" fillId="0" borderId="53" xfId="0" applyFont="1" applyFill="1" applyBorder="1" applyAlignment="1">
      <alignment horizontal="center" vertical="center" wrapText="1"/>
    </xf>
    <xf numFmtId="9" fontId="39" fillId="0" borderId="34" xfId="2" applyFont="1" applyFill="1" applyBorder="1" applyAlignment="1">
      <alignment horizontal="center" vertical="center" wrapText="1"/>
    </xf>
    <xf numFmtId="9" fontId="39" fillId="0" borderId="57" xfId="2" applyFont="1" applyFill="1" applyBorder="1" applyAlignment="1">
      <alignment horizontal="center" vertical="center" wrapText="1"/>
    </xf>
    <xf numFmtId="171" fontId="39" fillId="12" borderId="24" xfId="0" applyNumberFormat="1" applyFont="1" applyFill="1" applyBorder="1" applyAlignment="1">
      <alignment horizontal="center" vertical="center" wrapText="1"/>
    </xf>
    <xf numFmtId="166" fontId="39" fillId="12" borderId="25" xfId="0" applyNumberFormat="1" applyFont="1" applyFill="1" applyBorder="1" applyAlignment="1">
      <alignment horizontal="center" vertical="center" wrapText="1"/>
    </xf>
    <xf numFmtId="171" fontId="39" fillId="12" borderId="25" xfId="0" applyNumberFormat="1" applyFont="1" applyFill="1" applyBorder="1" applyAlignment="1">
      <alignment horizontal="center" vertical="center" wrapText="1"/>
    </xf>
    <xf numFmtId="0" fontId="39" fillId="12" borderId="25" xfId="0" applyFont="1" applyFill="1" applyBorder="1" applyAlignment="1">
      <alignment horizontal="center" vertical="center" wrapText="1"/>
    </xf>
    <xf numFmtId="9" fontId="39" fillId="12" borderId="34" xfId="2" applyFont="1" applyFill="1" applyBorder="1" applyAlignment="1">
      <alignment horizontal="center" vertical="center" wrapText="1"/>
    </xf>
    <xf numFmtId="171" fontId="39" fillId="17" borderId="24" xfId="0" applyNumberFormat="1" applyFont="1" applyFill="1" applyBorder="1" applyAlignment="1">
      <alignment horizontal="center" vertical="center" wrapText="1"/>
    </xf>
    <xf numFmtId="166" fontId="39" fillId="17" borderId="25" xfId="0" applyNumberFormat="1" applyFont="1" applyFill="1" applyBorder="1" applyAlignment="1">
      <alignment horizontal="center" vertical="center" wrapText="1"/>
    </xf>
    <xf numFmtId="171" fontId="39" fillId="17" borderId="25" xfId="0" applyNumberFormat="1" applyFont="1" applyFill="1" applyBorder="1" applyAlignment="1">
      <alignment horizontal="center" vertical="center" wrapText="1"/>
    </xf>
    <xf numFmtId="0" fontId="39" fillId="17" borderId="25" xfId="0" applyFont="1" applyFill="1" applyBorder="1" applyAlignment="1">
      <alignment horizontal="center" vertical="center" wrapText="1"/>
    </xf>
    <xf numFmtId="9" fontId="39" fillId="17" borderId="34" xfId="2" applyFont="1" applyFill="1" applyBorder="1" applyAlignment="1">
      <alignment horizontal="center" vertical="center" wrapText="1"/>
    </xf>
    <xf numFmtId="171" fontId="39" fillId="28" borderId="24" xfId="0" applyNumberFormat="1" applyFont="1" applyFill="1" applyBorder="1" applyAlignment="1">
      <alignment horizontal="center" vertical="center" wrapText="1"/>
    </xf>
    <xf numFmtId="166" fontId="39" fillId="28" borderId="25" xfId="0" applyNumberFormat="1" applyFont="1" applyFill="1" applyBorder="1" applyAlignment="1">
      <alignment horizontal="center" vertical="center" wrapText="1"/>
    </xf>
    <xf numFmtId="171" fontId="39" fillId="28" borderId="25" xfId="0" applyNumberFormat="1" applyFont="1" applyFill="1" applyBorder="1" applyAlignment="1">
      <alignment horizontal="center" vertical="center" wrapText="1"/>
    </xf>
    <xf numFmtId="0" fontId="39" fillId="28" borderId="25" xfId="0" applyFont="1" applyFill="1" applyBorder="1" applyAlignment="1">
      <alignment horizontal="center" vertical="center" wrapText="1"/>
    </xf>
    <xf numFmtId="9" fontId="39" fillId="28" borderId="34" xfId="2" applyFont="1" applyFill="1" applyBorder="1" applyAlignment="1">
      <alignment horizontal="center" vertical="center" wrapText="1"/>
    </xf>
    <xf numFmtId="166" fontId="37" fillId="0" borderId="24" xfId="2" applyNumberFormat="1" applyFont="1" applyFill="1" applyBorder="1" applyAlignment="1">
      <alignment horizontal="center" vertical="center"/>
    </xf>
    <xf numFmtId="166" fontId="37" fillId="0" borderId="52" xfId="2" applyNumberFormat="1" applyFont="1" applyFill="1" applyBorder="1" applyAlignment="1">
      <alignment horizontal="center" vertical="center"/>
    </xf>
    <xf numFmtId="166" fontId="37" fillId="0" borderId="25" xfId="0" applyNumberFormat="1" applyFont="1" applyFill="1" applyBorder="1" applyAlignment="1">
      <alignment horizontal="center" vertical="center"/>
    </xf>
    <xf numFmtId="166" fontId="37" fillId="0" borderId="53" xfId="0" applyNumberFormat="1" applyFont="1" applyFill="1" applyBorder="1" applyAlignment="1">
      <alignment horizontal="center" vertical="center"/>
    </xf>
    <xf numFmtId="9" fontId="37" fillId="0" borderId="34" xfId="2" applyFont="1" applyFill="1" applyBorder="1" applyAlignment="1">
      <alignment horizontal="center" vertical="center"/>
    </xf>
    <xf numFmtId="9" fontId="37" fillId="0" borderId="57" xfId="2" applyFont="1" applyFill="1" applyBorder="1" applyAlignment="1">
      <alignment horizontal="center" vertical="center"/>
    </xf>
    <xf numFmtId="166" fontId="37" fillId="12" borderId="24" xfId="2" applyNumberFormat="1" applyFont="1" applyFill="1" applyBorder="1" applyAlignment="1">
      <alignment horizontal="center" vertical="center"/>
    </xf>
    <xf numFmtId="166" fontId="37" fillId="12" borderId="25" xfId="0" applyNumberFormat="1" applyFont="1" applyFill="1" applyBorder="1" applyAlignment="1">
      <alignment horizontal="center" vertical="center"/>
    </xf>
    <xf numFmtId="9" fontId="37" fillId="12" borderId="34" xfId="2" applyFont="1" applyFill="1" applyBorder="1" applyAlignment="1">
      <alignment horizontal="center" vertical="center"/>
    </xf>
    <xf numFmtId="166" fontId="37" fillId="0" borderId="42" xfId="2" applyNumberFormat="1" applyFont="1" applyFill="1" applyBorder="1" applyAlignment="1">
      <alignment horizontal="center" vertical="center"/>
    </xf>
    <xf numFmtId="166" fontId="37" fillId="0" borderId="10" xfId="0" applyNumberFormat="1" applyFont="1" applyFill="1" applyBorder="1" applyAlignment="1">
      <alignment horizontal="center" vertical="center"/>
    </xf>
    <xf numFmtId="9" fontId="37" fillId="0" borderId="40" xfId="2" applyFont="1" applyFill="1" applyBorder="1" applyAlignment="1">
      <alignment horizontal="center" vertical="center"/>
    </xf>
    <xf numFmtId="166" fontId="38" fillId="22" borderId="60" xfId="0" applyNumberFormat="1" applyFont="1" applyFill="1" applyBorder="1" applyAlignment="1">
      <alignment horizontal="center" vertical="center" wrapText="1"/>
    </xf>
    <xf numFmtId="166" fontId="38" fillId="22" borderId="63" xfId="0" applyNumberFormat="1" applyFont="1" applyFill="1" applyBorder="1" applyAlignment="1">
      <alignment horizontal="center" vertical="center" wrapText="1"/>
    </xf>
    <xf numFmtId="166" fontId="38" fillId="22" borderId="45" xfId="0" applyNumberFormat="1" applyFont="1" applyFill="1" applyBorder="1" applyAlignment="1">
      <alignment horizontal="center" vertical="center" wrapText="1"/>
    </xf>
    <xf numFmtId="166" fontId="38" fillId="22" borderId="47" xfId="0" applyNumberFormat="1" applyFont="1" applyFill="1" applyBorder="1" applyAlignment="1">
      <alignment horizontal="center" vertical="center" wrapText="1"/>
    </xf>
    <xf numFmtId="174" fontId="38" fillId="22" borderId="62" xfId="2" applyNumberFormat="1" applyFont="1" applyFill="1" applyBorder="1" applyAlignment="1">
      <alignment horizontal="center" vertical="center" wrapText="1"/>
    </xf>
    <xf numFmtId="174" fontId="38" fillId="22" borderId="44" xfId="2" applyNumberFormat="1" applyFont="1" applyFill="1" applyBorder="1" applyAlignment="1">
      <alignment horizontal="center" vertical="center" wrapText="1"/>
    </xf>
    <xf numFmtId="166" fontId="39" fillId="16" borderId="58" xfId="0" applyNumberFormat="1" applyFont="1" applyFill="1" applyBorder="1" applyAlignment="1">
      <alignment horizontal="center" vertical="center"/>
    </xf>
    <xf numFmtId="166" fontId="39" fillId="16" borderId="63" xfId="0" applyNumberFormat="1" applyFont="1" applyFill="1" applyBorder="1" applyAlignment="1">
      <alignment horizontal="center" vertical="center"/>
    </xf>
    <xf numFmtId="166" fontId="39" fillId="0" borderId="47" xfId="0" applyNumberFormat="1" applyFont="1" applyFill="1" applyBorder="1" applyAlignment="1">
      <alignment horizontal="center" vertical="center"/>
    </xf>
    <xf numFmtId="9" fontId="39" fillId="0" borderId="44" xfId="2" applyFont="1" applyFill="1" applyBorder="1" applyAlignment="1">
      <alignment horizontal="center" vertical="center"/>
    </xf>
    <xf numFmtId="166" fontId="39" fillId="16" borderId="20" xfId="0" applyNumberFormat="1" applyFont="1" applyFill="1" applyBorder="1" applyAlignment="1">
      <alignment horizontal="center" vertical="center"/>
    </xf>
    <xf numFmtId="166" fontId="39" fillId="12" borderId="58" xfId="0" applyNumberFormat="1" applyFont="1" applyFill="1" applyBorder="1" applyAlignment="1">
      <alignment horizontal="center" vertical="center"/>
    </xf>
    <xf numFmtId="166" fontId="39" fillId="12" borderId="20" xfId="0" applyNumberFormat="1" applyFont="1" applyFill="1" applyBorder="1" applyAlignment="1">
      <alignment horizontal="center" vertical="center"/>
    </xf>
    <xf numFmtId="166" fontId="39" fillId="12" borderId="53" xfId="0" applyNumberFormat="1" applyFont="1" applyFill="1" applyBorder="1" applyAlignment="1">
      <alignment horizontal="center" vertical="center"/>
    </xf>
    <xf numFmtId="166" fontId="39" fillId="12" borderId="10" xfId="0" applyNumberFormat="1" applyFont="1" applyFill="1" applyBorder="1" applyAlignment="1">
      <alignment horizontal="center" vertical="center"/>
    </xf>
    <xf numFmtId="9" fontId="39" fillId="12" borderId="57" xfId="2" applyFont="1" applyFill="1" applyBorder="1" applyAlignment="1">
      <alignment horizontal="center" vertical="center"/>
    </xf>
    <xf numFmtId="9" fontId="39" fillId="12" borderId="40" xfId="2" applyFont="1" applyFill="1" applyBorder="1" applyAlignment="1">
      <alignment horizontal="center" vertical="center"/>
    </xf>
    <xf numFmtId="166" fontId="39" fillId="15" borderId="58" xfId="0" applyNumberFormat="1" applyFont="1" applyFill="1" applyBorder="1" applyAlignment="1">
      <alignment horizontal="center" vertical="center"/>
    </xf>
    <xf numFmtId="166" fontId="39" fillId="15" borderId="20" xfId="0" applyNumberFormat="1" applyFont="1" applyFill="1" applyBorder="1" applyAlignment="1">
      <alignment horizontal="center" vertical="center"/>
    </xf>
    <xf numFmtId="166" fontId="39" fillId="15" borderId="53" xfId="0" applyNumberFormat="1" applyFont="1" applyFill="1" applyBorder="1" applyAlignment="1">
      <alignment horizontal="center" vertical="center"/>
    </xf>
    <xf numFmtId="166" fontId="39" fillId="15" borderId="10" xfId="0" applyNumberFormat="1" applyFont="1" applyFill="1" applyBorder="1" applyAlignment="1">
      <alignment horizontal="center" vertical="center"/>
    </xf>
    <xf numFmtId="166" fontId="40" fillId="15" borderId="53" xfId="0" applyNumberFormat="1" applyFont="1" applyFill="1" applyBorder="1" applyAlignment="1">
      <alignment horizontal="center" vertical="center"/>
    </xf>
    <xf numFmtId="166" fontId="40" fillId="15" borderId="10" xfId="0" applyNumberFormat="1" applyFont="1" applyFill="1" applyBorder="1" applyAlignment="1">
      <alignment horizontal="center" vertical="center"/>
    </xf>
    <xf numFmtId="9" fontId="39" fillId="15" borderId="57" xfId="2" applyFont="1" applyFill="1" applyBorder="1" applyAlignment="1">
      <alignment horizontal="center" vertical="center"/>
    </xf>
    <xf numFmtId="9" fontId="39" fillId="15" borderId="40" xfId="2" applyFont="1" applyFill="1" applyBorder="1" applyAlignment="1">
      <alignment horizontal="center" vertical="center"/>
    </xf>
    <xf numFmtId="166" fontId="39" fillId="28" borderId="58" xfId="0" applyNumberFormat="1" applyFont="1" applyFill="1" applyBorder="1" applyAlignment="1">
      <alignment horizontal="center" vertical="center"/>
    </xf>
    <xf numFmtId="166" fontId="39" fillId="28" borderId="20" xfId="0" applyNumberFormat="1" applyFont="1" applyFill="1" applyBorder="1" applyAlignment="1">
      <alignment horizontal="center" vertical="center"/>
    </xf>
    <xf numFmtId="166" fontId="39" fillId="28" borderId="53" xfId="0" applyNumberFormat="1" applyFont="1" applyFill="1" applyBorder="1" applyAlignment="1">
      <alignment horizontal="center" vertical="center"/>
    </xf>
    <xf numFmtId="166" fontId="39" fillId="28" borderId="10" xfId="0" applyNumberFormat="1" applyFont="1" applyFill="1" applyBorder="1" applyAlignment="1">
      <alignment horizontal="center" vertical="center"/>
    </xf>
    <xf numFmtId="9" fontId="39" fillId="28" borderId="57" xfId="2" applyFont="1" applyFill="1" applyBorder="1" applyAlignment="1">
      <alignment horizontal="center" vertical="center"/>
    </xf>
    <xf numFmtId="9" fontId="39" fillId="28" borderId="40" xfId="2" applyFont="1" applyFill="1" applyBorder="1" applyAlignment="1">
      <alignment horizontal="center" vertical="center"/>
    </xf>
    <xf numFmtId="166" fontId="39" fillId="0" borderId="54" xfId="0" applyNumberFormat="1" applyFont="1" applyFill="1" applyBorder="1" applyAlignment="1">
      <alignment horizontal="center" vertical="center"/>
    </xf>
    <xf numFmtId="166" fontId="39" fillId="0" borderId="58" xfId="0" applyNumberFormat="1" applyFont="1" applyFill="1" applyBorder="1" applyAlignment="1">
      <alignment horizontal="center" vertical="center"/>
    </xf>
    <xf numFmtId="9" fontId="32" fillId="0" borderId="34" xfId="2" applyFont="1" applyFill="1" applyBorder="1" applyAlignment="1">
      <alignment horizontal="center" vertical="center"/>
    </xf>
    <xf numFmtId="9" fontId="32" fillId="0" borderId="57" xfId="2" applyFont="1" applyFill="1" applyBorder="1" applyAlignment="1">
      <alignment horizontal="center" vertical="center"/>
    </xf>
    <xf numFmtId="166" fontId="32" fillId="0" borderId="25" xfId="0" applyNumberFormat="1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44" fillId="5" borderId="25" xfId="0" applyFont="1" applyFill="1" applyBorder="1" applyAlignment="1">
      <alignment horizontal="center" vertical="center" wrapText="1"/>
    </xf>
    <xf numFmtId="0" fontId="44" fillId="5" borderId="8" xfId="0" applyFont="1" applyFill="1" applyBorder="1" applyAlignment="1">
      <alignment horizontal="center" vertical="center" wrapText="1"/>
    </xf>
    <xf numFmtId="0" fontId="44" fillId="5" borderId="25" xfId="0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166" fontId="32" fillId="0" borderId="24" xfId="0" applyNumberFormat="1" applyFont="1" applyFill="1" applyBorder="1" applyAlignment="1">
      <alignment horizontal="center" vertical="center"/>
    </xf>
    <xf numFmtId="166" fontId="32" fillId="0" borderId="52" xfId="0" applyNumberFormat="1" applyFont="1" applyFill="1" applyBorder="1" applyAlignment="1">
      <alignment horizontal="center" vertical="center"/>
    </xf>
    <xf numFmtId="166" fontId="32" fillId="0" borderId="53" xfId="0" applyNumberFormat="1" applyFont="1" applyFill="1" applyBorder="1" applyAlignment="1">
      <alignment horizontal="center" vertical="center"/>
    </xf>
    <xf numFmtId="0" fontId="31" fillId="27" borderId="25" xfId="0" applyFont="1" applyFill="1" applyBorder="1" applyAlignment="1">
      <alignment horizontal="center" vertical="center" wrapText="1"/>
    </xf>
    <xf numFmtId="0" fontId="32" fillId="27" borderId="25" xfId="0" applyFont="1" applyFill="1" applyBorder="1" applyAlignment="1">
      <alignment horizontal="center" vertical="center" wrapText="1"/>
    </xf>
    <xf numFmtId="0" fontId="44" fillId="27" borderId="25" xfId="0" applyFont="1" applyFill="1" applyBorder="1" applyAlignment="1">
      <alignment horizontal="center" vertical="center" wrapText="1"/>
    </xf>
    <xf numFmtId="0" fontId="44" fillId="27" borderId="25" xfId="0" applyFont="1" applyFill="1" applyBorder="1" applyAlignment="1">
      <alignment horizontal="center" vertical="center"/>
    </xf>
    <xf numFmtId="9" fontId="32" fillId="12" borderId="34" xfId="2" applyFont="1" applyFill="1" applyBorder="1" applyAlignment="1">
      <alignment horizontal="center" vertical="center"/>
    </xf>
    <xf numFmtId="166" fontId="32" fillId="12" borderId="24" xfId="0" applyNumberFormat="1" applyFont="1" applyFill="1" applyBorder="1" applyAlignment="1">
      <alignment horizontal="center" vertical="center"/>
    </xf>
    <xf numFmtId="166" fontId="32" fillId="12" borderId="25" xfId="0" applyNumberFormat="1" applyFont="1" applyFill="1" applyBorder="1" applyAlignment="1">
      <alignment horizontal="center" vertical="center"/>
    </xf>
    <xf numFmtId="9" fontId="32" fillId="0" borderId="40" xfId="2" applyFont="1" applyFill="1" applyBorder="1" applyAlignment="1">
      <alignment horizontal="center" vertical="center"/>
    </xf>
    <xf numFmtId="0" fontId="32" fillId="30" borderId="25" xfId="0" applyFont="1" applyFill="1" applyBorder="1" applyAlignment="1">
      <alignment horizontal="center" vertical="center" wrapText="1"/>
    </xf>
    <xf numFmtId="0" fontId="44" fillId="30" borderId="25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 wrapText="1"/>
    </xf>
    <xf numFmtId="0" fontId="44" fillId="27" borderId="10" xfId="0" applyFont="1" applyFill="1" applyBorder="1" applyAlignment="1">
      <alignment horizontal="center" vertical="center" wrapText="1"/>
    </xf>
    <xf numFmtId="0" fontId="44" fillId="27" borderId="10" xfId="0" applyFont="1" applyFill="1" applyBorder="1" applyAlignment="1">
      <alignment horizontal="center" vertical="center"/>
    </xf>
    <xf numFmtId="166" fontId="32" fillId="0" borderId="42" xfId="0" applyNumberFormat="1" applyFont="1" applyFill="1" applyBorder="1" applyAlignment="1">
      <alignment horizontal="center" vertical="center"/>
    </xf>
    <xf numFmtId="166" fontId="32" fillId="0" borderId="10" xfId="0" applyNumberFormat="1" applyFont="1" applyFill="1" applyBorder="1" applyAlignment="1">
      <alignment horizontal="center" vertical="center"/>
    </xf>
    <xf numFmtId="0" fontId="32" fillId="31" borderId="25" xfId="0" applyFont="1" applyFill="1" applyBorder="1" applyAlignment="1">
      <alignment horizontal="center" vertical="center" wrapText="1"/>
    </xf>
    <xf numFmtId="0" fontId="44" fillId="31" borderId="25" xfId="0" applyFont="1" applyFill="1" applyBorder="1" applyAlignment="1">
      <alignment horizontal="center" vertical="center"/>
    </xf>
    <xf numFmtId="0" fontId="43" fillId="19" borderId="42" xfId="0" applyFont="1" applyFill="1" applyBorder="1" applyAlignment="1">
      <alignment horizontal="center" vertical="center" textRotation="90"/>
    </xf>
    <xf numFmtId="0" fontId="43" fillId="19" borderId="24" xfId="0" applyFont="1" applyFill="1" applyBorder="1" applyAlignment="1">
      <alignment horizontal="center" vertical="center" textRotation="90"/>
    </xf>
    <xf numFmtId="0" fontId="43" fillId="19" borderId="52" xfId="0" applyFont="1" applyFill="1" applyBorder="1" applyAlignment="1">
      <alignment horizontal="center" vertical="center" textRotation="90"/>
    </xf>
    <xf numFmtId="0" fontId="32" fillId="5" borderId="10" xfId="0" applyFont="1" applyFill="1" applyBorder="1" applyAlignment="1">
      <alignment horizontal="center" vertical="center" wrapText="1"/>
    </xf>
    <xf numFmtId="0" fontId="44" fillId="5" borderId="10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 wrapText="1"/>
    </xf>
    <xf numFmtId="171" fontId="32" fillId="0" borderId="25" xfId="0" applyNumberFormat="1" applyFont="1" applyFill="1" applyBorder="1" applyAlignment="1">
      <alignment horizontal="center" vertical="center" wrapText="1"/>
    </xf>
    <xf numFmtId="171" fontId="32" fillId="0" borderId="53" xfId="0" applyNumberFormat="1" applyFont="1" applyFill="1" applyBorder="1" applyAlignment="1">
      <alignment horizontal="center" vertical="center" wrapText="1"/>
    </xf>
    <xf numFmtId="9" fontId="32" fillId="0" borderId="34" xfId="2" applyFont="1" applyFill="1" applyBorder="1" applyAlignment="1">
      <alignment horizontal="center" vertical="center" wrapText="1"/>
    </xf>
    <xf numFmtId="9" fontId="32" fillId="0" borderId="57" xfId="2" applyFont="1" applyFill="1" applyBorder="1" applyAlignment="1">
      <alignment horizontal="center" vertical="center" wrapText="1"/>
    </xf>
    <xf numFmtId="0" fontId="32" fillId="5" borderId="54" xfId="0" applyFont="1" applyFill="1" applyBorder="1" applyAlignment="1">
      <alignment horizontal="center" vertical="center" wrapText="1"/>
    </xf>
    <xf numFmtId="0" fontId="32" fillId="5" borderId="58" xfId="0" applyFont="1" applyFill="1" applyBorder="1" applyAlignment="1">
      <alignment horizontal="center" vertical="center" wrapText="1"/>
    </xf>
    <xf numFmtId="0" fontId="44" fillId="5" borderId="53" xfId="0" applyFont="1" applyFill="1" applyBorder="1" applyAlignment="1">
      <alignment horizontal="center" vertical="center" wrapText="1"/>
    </xf>
    <xf numFmtId="175" fontId="32" fillId="5" borderId="34" xfId="0" applyNumberFormat="1" applyFont="1" applyFill="1" applyBorder="1" applyAlignment="1">
      <alignment horizontal="center" vertical="center"/>
    </xf>
    <xf numFmtId="175" fontId="32" fillId="5" borderId="57" xfId="0" applyNumberFormat="1" applyFont="1" applyFill="1" applyBorder="1" applyAlignment="1">
      <alignment horizontal="center" vertical="center"/>
    </xf>
    <xf numFmtId="171" fontId="32" fillId="16" borderId="24" xfId="0" applyNumberFormat="1" applyFont="1" applyFill="1" applyBorder="1" applyAlignment="1">
      <alignment horizontal="center" vertical="center" wrapText="1"/>
    </xf>
    <xf numFmtId="171" fontId="32" fillId="16" borderId="52" xfId="0" applyNumberFormat="1" applyFont="1" applyFill="1" applyBorder="1" applyAlignment="1">
      <alignment horizontal="center" vertical="center" wrapText="1"/>
    </xf>
    <xf numFmtId="166" fontId="32" fillId="0" borderId="25" xfId="0" applyNumberFormat="1" applyFont="1" applyFill="1" applyBorder="1" applyAlignment="1">
      <alignment horizontal="center" vertical="center" wrapText="1"/>
    </xf>
    <xf numFmtId="166" fontId="32" fillId="0" borderId="53" xfId="0" applyNumberFormat="1" applyFont="1" applyFill="1" applyBorder="1" applyAlignment="1">
      <alignment horizontal="center" vertical="center" wrapText="1"/>
    </xf>
    <xf numFmtId="0" fontId="32" fillId="31" borderId="54" xfId="0" applyFont="1" applyFill="1" applyBorder="1" applyAlignment="1">
      <alignment horizontal="center" vertical="center" wrapText="1"/>
    </xf>
    <xf numFmtId="0" fontId="44" fillId="31" borderId="25" xfId="0" applyFont="1" applyFill="1" applyBorder="1" applyAlignment="1">
      <alignment horizontal="center" vertical="center" wrapText="1"/>
    </xf>
    <xf numFmtId="175" fontId="32" fillId="31" borderId="34" xfId="0" applyNumberFormat="1" applyFont="1" applyFill="1" applyBorder="1" applyAlignment="1">
      <alignment horizontal="center" vertical="center"/>
    </xf>
    <xf numFmtId="171" fontId="32" fillId="12" borderId="24" xfId="0" applyNumberFormat="1" applyFont="1" applyFill="1" applyBorder="1" applyAlignment="1">
      <alignment horizontal="center" vertical="center" wrapText="1"/>
    </xf>
    <xf numFmtId="171" fontId="32" fillId="12" borderId="25" xfId="0" applyNumberFormat="1" applyFont="1" applyFill="1" applyBorder="1" applyAlignment="1">
      <alignment horizontal="center" vertical="center" wrapText="1"/>
    </xf>
    <xf numFmtId="9" fontId="32" fillId="12" borderId="34" xfId="2" applyFont="1" applyFill="1" applyBorder="1" applyAlignment="1">
      <alignment horizontal="center" vertical="center" wrapText="1"/>
    </xf>
    <xf numFmtId="0" fontId="31" fillId="27" borderId="54" xfId="0" applyFont="1" applyFill="1" applyBorder="1" applyAlignment="1">
      <alignment horizontal="center" vertical="center" wrapText="1"/>
    </xf>
    <xf numFmtId="0" fontId="32" fillId="27" borderId="54" xfId="0" applyFont="1" applyFill="1" applyBorder="1" applyAlignment="1">
      <alignment horizontal="center" vertical="center" wrapText="1"/>
    </xf>
    <xf numFmtId="175" fontId="32" fillId="27" borderId="34" xfId="0" applyNumberFormat="1" applyFont="1" applyFill="1" applyBorder="1" applyAlignment="1">
      <alignment horizontal="center" vertical="center"/>
    </xf>
    <xf numFmtId="0" fontId="32" fillId="12" borderId="25" xfId="0" applyFont="1" applyFill="1" applyBorder="1" applyAlignment="1">
      <alignment horizontal="center" vertical="center" wrapText="1"/>
    </xf>
    <xf numFmtId="0" fontId="32" fillId="32" borderId="54" xfId="0" applyFont="1" applyFill="1" applyBorder="1" applyAlignment="1">
      <alignment horizontal="center" vertical="center" wrapText="1"/>
    </xf>
    <xf numFmtId="0" fontId="44" fillId="32" borderId="25" xfId="0" applyFont="1" applyFill="1" applyBorder="1" applyAlignment="1">
      <alignment horizontal="center" vertical="center" wrapText="1"/>
    </xf>
    <xf numFmtId="175" fontId="32" fillId="32" borderId="34" xfId="0" applyNumberFormat="1" applyFont="1" applyFill="1" applyBorder="1" applyAlignment="1">
      <alignment horizontal="center" vertical="center"/>
    </xf>
    <xf numFmtId="166" fontId="32" fillId="12" borderId="25" xfId="0" applyNumberFormat="1" applyFont="1" applyFill="1" applyBorder="1" applyAlignment="1">
      <alignment horizontal="center" vertical="center" wrapText="1"/>
    </xf>
    <xf numFmtId="171" fontId="32" fillId="17" borderId="25" xfId="0" applyNumberFormat="1" applyFont="1" applyFill="1" applyBorder="1" applyAlignment="1">
      <alignment horizontal="center" vertical="center" wrapText="1"/>
    </xf>
    <xf numFmtId="9" fontId="32" fillId="17" borderId="34" xfId="2" applyFont="1" applyFill="1" applyBorder="1" applyAlignment="1">
      <alignment horizontal="center" vertical="center" wrapText="1"/>
    </xf>
    <xf numFmtId="0" fontId="32" fillId="17" borderId="25" xfId="0" applyFont="1" applyFill="1" applyBorder="1" applyAlignment="1">
      <alignment horizontal="center" vertical="center" wrapText="1"/>
    </xf>
    <xf numFmtId="171" fontId="32" fillId="17" borderId="24" xfId="0" applyNumberFormat="1" applyFont="1" applyFill="1" applyBorder="1" applyAlignment="1">
      <alignment horizontal="center" vertical="center" wrapText="1"/>
    </xf>
    <xf numFmtId="166" fontId="32" fillId="17" borderId="25" xfId="0" applyNumberFormat="1" applyFont="1" applyFill="1" applyBorder="1" applyAlignment="1">
      <alignment horizontal="center" vertical="center" wrapText="1"/>
    </xf>
    <xf numFmtId="0" fontId="32" fillId="27" borderId="52" xfId="0" applyFont="1" applyFill="1" applyBorder="1" applyAlignment="1">
      <alignment horizontal="center" vertical="center" wrapText="1"/>
    </xf>
    <xf numFmtId="0" fontId="32" fillId="27" borderId="42" xfId="0" applyFont="1" applyFill="1" applyBorder="1" applyAlignment="1">
      <alignment horizontal="center" vertical="center" wrapText="1"/>
    </xf>
    <xf numFmtId="0" fontId="48" fillId="27" borderId="54" xfId="0" applyFont="1" applyFill="1" applyBorder="1" applyAlignment="1">
      <alignment horizontal="center" vertical="center" wrapText="1"/>
    </xf>
    <xf numFmtId="171" fontId="32" fillId="28" borderId="25" xfId="0" applyNumberFormat="1" applyFont="1" applyFill="1" applyBorder="1" applyAlignment="1">
      <alignment horizontal="center" vertical="center" wrapText="1"/>
    </xf>
    <xf numFmtId="9" fontId="32" fillId="28" borderId="34" xfId="2" applyFont="1" applyFill="1" applyBorder="1" applyAlignment="1">
      <alignment horizontal="center" vertical="center" wrapText="1"/>
    </xf>
    <xf numFmtId="0" fontId="32" fillId="27" borderId="54" xfId="0" applyFont="1" applyFill="1" applyBorder="1" applyAlignment="1">
      <alignment horizontal="center" wrapText="1"/>
    </xf>
    <xf numFmtId="0" fontId="31" fillId="32" borderId="52" xfId="0" applyFont="1" applyFill="1" applyBorder="1" applyAlignment="1">
      <alignment horizontal="center" vertical="center" wrapText="1"/>
    </xf>
    <xf numFmtId="0" fontId="31" fillId="32" borderId="42" xfId="0" applyFont="1" applyFill="1" applyBorder="1" applyAlignment="1">
      <alignment horizontal="center" vertical="center" wrapText="1"/>
    </xf>
    <xf numFmtId="171" fontId="32" fillId="28" borderId="24" xfId="0" applyNumberFormat="1" applyFont="1" applyFill="1" applyBorder="1" applyAlignment="1">
      <alignment horizontal="center" vertical="center" wrapText="1"/>
    </xf>
    <xf numFmtId="166" fontId="32" fillId="28" borderId="25" xfId="0" applyNumberFormat="1" applyFont="1" applyFill="1" applyBorder="1" applyAlignment="1">
      <alignment horizontal="center" vertical="center" wrapText="1"/>
    </xf>
    <xf numFmtId="0" fontId="32" fillId="28" borderId="25" xfId="0" applyFont="1" applyFill="1" applyBorder="1" applyAlignment="1">
      <alignment horizontal="center" vertical="center" wrapText="1"/>
    </xf>
    <xf numFmtId="0" fontId="31" fillId="27" borderId="54" xfId="0" applyFont="1" applyFill="1" applyBorder="1" applyAlignment="1">
      <alignment horizontal="center" wrapText="1"/>
    </xf>
    <xf numFmtId="0" fontId="32" fillId="5" borderId="54" xfId="0" applyFont="1" applyFill="1" applyBorder="1" applyAlignment="1">
      <alignment horizontal="center" wrapText="1"/>
    </xf>
    <xf numFmtId="0" fontId="31" fillId="27" borderId="52" xfId="0" applyFont="1" applyFill="1" applyBorder="1" applyAlignment="1">
      <alignment horizontal="center" vertical="center" wrapText="1"/>
    </xf>
    <xf numFmtId="0" fontId="31" fillId="27" borderId="42" xfId="0" applyFont="1" applyFill="1" applyBorder="1" applyAlignment="1">
      <alignment horizontal="center" vertical="center" wrapText="1"/>
    </xf>
    <xf numFmtId="0" fontId="43" fillId="19" borderId="51" xfId="0" applyFont="1" applyFill="1" applyBorder="1" applyAlignment="1">
      <alignment horizontal="center" vertical="center" textRotation="90"/>
    </xf>
    <xf numFmtId="0" fontId="43" fillId="19" borderId="55" xfId="0" applyFont="1" applyFill="1" applyBorder="1" applyAlignment="1">
      <alignment horizontal="center" vertical="center" textRotation="90"/>
    </xf>
    <xf numFmtId="0" fontId="43" fillId="19" borderId="66" xfId="0" applyFont="1" applyFill="1" applyBorder="1" applyAlignment="1">
      <alignment horizontal="center" vertical="center" textRotation="90"/>
    </xf>
    <xf numFmtId="0" fontId="32" fillId="32" borderId="20" xfId="0" applyFont="1" applyFill="1" applyBorder="1" applyAlignment="1">
      <alignment horizontal="center" wrapText="1"/>
    </xf>
    <xf numFmtId="0" fontId="32" fillId="32" borderId="54" xfId="0" applyFont="1" applyFill="1" applyBorder="1" applyAlignment="1">
      <alignment horizontal="center" wrapText="1"/>
    </xf>
    <xf numFmtId="0" fontId="44" fillId="32" borderId="10" xfId="0" applyFont="1" applyFill="1" applyBorder="1" applyAlignment="1">
      <alignment horizontal="center" vertical="center" wrapText="1"/>
    </xf>
    <xf numFmtId="175" fontId="32" fillId="32" borderId="40" xfId="0" applyNumberFormat="1" applyFont="1" applyFill="1" applyBorder="1" applyAlignment="1">
      <alignment horizontal="center" vertical="center"/>
    </xf>
    <xf numFmtId="9" fontId="44" fillId="0" borderId="34" xfId="2" applyFont="1" applyFill="1" applyBorder="1" applyAlignment="1">
      <alignment horizontal="center" vertical="center"/>
    </xf>
    <xf numFmtId="9" fontId="44" fillId="0" borderId="57" xfId="2" applyFont="1" applyFill="1" applyBorder="1" applyAlignment="1">
      <alignment horizontal="center" vertical="center"/>
    </xf>
    <xf numFmtId="166" fontId="44" fillId="0" borderId="25" xfId="0" applyNumberFormat="1" applyFont="1" applyFill="1" applyBorder="1" applyAlignment="1">
      <alignment horizontal="center" vertical="center"/>
    </xf>
    <xf numFmtId="0" fontId="32" fillId="5" borderId="65" xfId="0" applyFont="1" applyFill="1" applyBorder="1" applyAlignment="1">
      <alignment horizontal="center" vertical="center" wrapText="1"/>
    </xf>
    <xf numFmtId="0" fontId="45" fillId="5" borderId="28" xfId="0" applyFont="1" applyFill="1" applyBorder="1" applyAlignment="1">
      <alignment horizontal="center" vertical="center"/>
    </xf>
    <xf numFmtId="0" fontId="45" fillId="5" borderId="67" xfId="0" applyFont="1" applyFill="1" applyBorder="1" applyAlignment="1">
      <alignment horizontal="center" vertical="center"/>
    </xf>
    <xf numFmtId="166" fontId="44" fillId="0" borderId="24" xfId="2" applyNumberFormat="1" applyFont="1" applyFill="1" applyBorder="1" applyAlignment="1">
      <alignment horizontal="center" vertical="center"/>
    </xf>
    <xf numFmtId="166" fontId="44" fillId="0" borderId="52" xfId="2" applyNumberFormat="1" applyFont="1" applyFill="1" applyBorder="1" applyAlignment="1">
      <alignment horizontal="center" vertical="center"/>
    </xf>
    <xf numFmtId="166" fontId="44" fillId="0" borderId="53" xfId="0" applyNumberFormat="1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 wrapText="1"/>
    </xf>
    <xf numFmtId="0" fontId="31" fillId="27" borderId="58" xfId="0" applyFont="1" applyFill="1" applyBorder="1" applyAlignment="1">
      <alignment horizontal="center" vertical="center" wrapText="1"/>
    </xf>
    <xf numFmtId="0" fontId="31" fillId="27" borderId="20" xfId="0" applyFont="1" applyFill="1" applyBorder="1" applyAlignment="1">
      <alignment horizontal="center" vertical="center" wrapText="1"/>
    </xf>
    <xf numFmtId="0" fontId="32" fillId="27" borderId="28" xfId="0" applyFont="1" applyFill="1" applyBorder="1" applyAlignment="1">
      <alignment horizontal="center" vertical="center"/>
    </xf>
    <xf numFmtId="0" fontId="32" fillId="5" borderId="28" xfId="0" applyFont="1" applyFill="1" applyBorder="1" applyAlignment="1">
      <alignment horizontal="center" vertical="center"/>
    </xf>
    <xf numFmtId="0" fontId="32" fillId="27" borderId="58" xfId="0" applyFont="1" applyFill="1" applyBorder="1" applyAlignment="1">
      <alignment horizontal="center" vertical="center" wrapText="1"/>
    </xf>
    <xf numFmtId="0" fontId="32" fillId="27" borderId="20" xfId="0" applyFont="1" applyFill="1" applyBorder="1" applyAlignment="1">
      <alignment horizontal="center" vertical="center" wrapText="1"/>
    </xf>
    <xf numFmtId="0" fontId="32" fillId="32" borderId="58" xfId="0" applyFont="1" applyFill="1" applyBorder="1" applyAlignment="1">
      <alignment horizontal="center" vertical="center" wrapText="1"/>
    </xf>
    <xf numFmtId="0" fontId="32" fillId="32" borderId="20" xfId="0" applyFont="1" applyFill="1" applyBorder="1" applyAlignment="1">
      <alignment horizontal="center" vertical="center" wrapText="1"/>
    </xf>
    <xf numFmtId="0" fontId="32" fillId="32" borderId="28" xfId="0" applyFont="1" applyFill="1" applyBorder="1" applyAlignment="1">
      <alignment horizontal="center" vertical="center"/>
    </xf>
    <xf numFmtId="0" fontId="45" fillId="27" borderId="58" xfId="0" applyFont="1" applyFill="1" applyBorder="1" applyAlignment="1">
      <alignment horizontal="center" vertical="center" wrapText="1"/>
    </xf>
    <xf numFmtId="166" fontId="44" fillId="12" borderId="25" xfId="0" applyNumberFormat="1" applyFont="1" applyFill="1" applyBorder="1" applyAlignment="1">
      <alignment horizontal="center" vertical="center"/>
    </xf>
    <xf numFmtId="9" fontId="44" fillId="12" borderId="34" xfId="2" applyFont="1" applyFill="1" applyBorder="1" applyAlignment="1">
      <alignment horizontal="center" vertical="center"/>
    </xf>
    <xf numFmtId="166" fontId="44" fillId="12" borderId="24" xfId="2" applyNumberFormat="1" applyFont="1" applyFill="1" applyBorder="1" applyAlignment="1">
      <alignment horizontal="center" vertical="center"/>
    </xf>
    <xf numFmtId="9" fontId="44" fillId="0" borderId="40" xfId="2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 wrapText="1"/>
    </xf>
    <xf numFmtId="0" fontId="32" fillId="5" borderId="21" xfId="0" applyFont="1" applyFill="1" applyBorder="1" applyAlignment="1">
      <alignment horizontal="center" vertical="center"/>
    </xf>
    <xf numFmtId="166" fontId="44" fillId="0" borderId="42" xfId="2" applyNumberFormat="1" applyFont="1" applyFill="1" applyBorder="1" applyAlignment="1">
      <alignment horizontal="center" vertical="center"/>
    </xf>
    <xf numFmtId="166" fontId="44" fillId="0" borderId="10" xfId="0" applyNumberFormat="1" applyFont="1" applyFill="1" applyBorder="1" applyAlignment="1">
      <alignment horizontal="center" vertical="center"/>
    </xf>
    <xf numFmtId="0" fontId="43" fillId="19" borderId="43" xfId="0" applyFont="1" applyFill="1" applyBorder="1" applyAlignment="1">
      <alignment horizontal="center" vertical="center" textRotation="90" wrapText="1"/>
    </xf>
    <xf numFmtId="0" fontId="43" fillId="19" borderId="55" xfId="0" applyFont="1" applyFill="1" applyBorder="1" applyAlignment="1">
      <alignment horizontal="center" vertical="center" textRotation="90" wrapText="1"/>
    </xf>
    <xf numFmtId="0" fontId="43" fillId="19" borderId="66" xfId="0" applyFont="1" applyFill="1" applyBorder="1" applyAlignment="1">
      <alignment horizontal="center" vertical="center" textRotation="90" wrapText="1"/>
    </xf>
    <xf numFmtId="0" fontId="32" fillId="27" borderId="65" xfId="0" applyFont="1" applyFill="1" applyBorder="1" applyAlignment="1">
      <alignment horizontal="center" vertical="center" wrapText="1"/>
    </xf>
    <xf numFmtId="0" fontId="32" fillId="5" borderId="35" xfId="0" applyFont="1" applyFill="1" applyBorder="1" applyAlignment="1">
      <alignment horizontal="center" vertical="center"/>
    </xf>
    <xf numFmtId="166" fontId="32" fillId="0" borderId="47" xfId="0" applyNumberFormat="1" applyFont="1" applyFill="1" applyBorder="1" applyAlignment="1">
      <alignment horizontal="center" vertical="center"/>
    </xf>
    <xf numFmtId="9" fontId="32" fillId="0" borderId="44" xfId="2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wrapText="1"/>
    </xf>
    <xf numFmtId="166" fontId="32" fillId="16" borderId="58" xfId="0" applyNumberFormat="1" applyFont="1" applyFill="1" applyBorder="1" applyAlignment="1">
      <alignment horizontal="center" vertical="center"/>
    </xf>
    <xf numFmtId="166" fontId="32" fillId="16" borderId="63" xfId="0" applyNumberFormat="1" applyFont="1" applyFill="1" applyBorder="1" applyAlignment="1">
      <alignment horizontal="center" vertical="center"/>
    </xf>
    <xf numFmtId="166" fontId="32" fillId="16" borderId="20" xfId="0" applyNumberFormat="1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/>
    </xf>
    <xf numFmtId="166" fontId="32" fillId="12" borderId="53" xfId="0" applyNumberFormat="1" applyFont="1" applyFill="1" applyBorder="1" applyAlignment="1">
      <alignment horizontal="center" vertical="center"/>
    </xf>
    <xf numFmtId="166" fontId="32" fillId="12" borderId="10" xfId="0" applyNumberFormat="1" applyFont="1" applyFill="1" applyBorder="1" applyAlignment="1">
      <alignment horizontal="center" vertical="center"/>
    </xf>
    <xf numFmtId="9" fontId="32" fillId="12" borderId="57" xfId="2" applyFont="1" applyFill="1" applyBorder="1" applyAlignment="1">
      <alignment horizontal="center" vertical="center"/>
    </xf>
    <xf numFmtId="9" fontId="32" fillId="12" borderId="40" xfId="2" applyFont="1" applyFill="1" applyBorder="1" applyAlignment="1">
      <alignment horizontal="center" vertical="center"/>
    </xf>
    <xf numFmtId="166" fontId="32" fillId="15" borderId="53" xfId="0" applyNumberFormat="1" applyFont="1" applyFill="1" applyBorder="1" applyAlignment="1">
      <alignment horizontal="center" vertical="center"/>
    </xf>
    <xf numFmtId="166" fontId="32" fillId="15" borderId="10" xfId="0" applyNumberFormat="1" applyFont="1" applyFill="1" applyBorder="1" applyAlignment="1">
      <alignment horizontal="center" vertical="center"/>
    </xf>
    <xf numFmtId="166" fontId="45" fillId="15" borderId="53" xfId="0" applyNumberFormat="1" applyFont="1" applyFill="1" applyBorder="1" applyAlignment="1">
      <alignment horizontal="center" vertical="center"/>
    </xf>
    <xf numFmtId="166" fontId="45" fillId="15" borderId="10" xfId="0" applyNumberFormat="1" applyFont="1" applyFill="1" applyBorder="1" applyAlignment="1">
      <alignment horizontal="center" vertical="center"/>
    </xf>
    <xf numFmtId="9" fontId="32" fillId="15" borderId="57" xfId="2" applyFont="1" applyFill="1" applyBorder="1" applyAlignment="1">
      <alignment horizontal="center" vertical="center"/>
    </xf>
    <xf numFmtId="9" fontId="32" fillId="15" borderId="40" xfId="2" applyFont="1" applyFill="1" applyBorder="1" applyAlignment="1">
      <alignment horizontal="center" vertical="center"/>
    </xf>
    <xf numFmtId="0" fontId="32" fillId="32" borderId="25" xfId="0" applyFont="1" applyFill="1" applyBorder="1" applyAlignment="1">
      <alignment horizontal="center" vertical="center" wrapText="1"/>
    </xf>
    <xf numFmtId="3" fontId="32" fillId="32" borderId="25" xfId="0" applyNumberFormat="1" applyFont="1" applyFill="1" applyBorder="1" applyAlignment="1">
      <alignment horizontal="center" vertical="center" wrapText="1"/>
    </xf>
    <xf numFmtId="0" fontId="32" fillId="32" borderId="25" xfId="0" applyFont="1" applyFill="1" applyBorder="1" applyAlignment="1">
      <alignment horizontal="center" vertical="center"/>
    </xf>
    <xf numFmtId="166" fontId="32" fillId="12" borderId="58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66" fontId="32" fillId="28" borderId="53" xfId="0" applyNumberFormat="1" applyFont="1" applyFill="1" applyBorder="1" applyAlignment="1">
      <alignment horizontal="center" vertical="center"/>
    </xf>
    <xf numFmtId="166" fontId="32" fillId="28" borderId="10" xfId="0" applyNumberFormat="1" applyFont="1" applyFill="1" applyBorder="1" applyAlignment="1">
      <alignment horizontal="center" vertical="center"/>
    </xf>
    <xf numFmtId="9" fontId="32" fillId="28" borderId="57" xfId="2" applyFont="1" applyFill="1" applyBorder="1" applyAlignment="1">
      <alignment horizontal="center" vertical="center"/>
    </xf>
    <xf numFmtId="9" fontId="32" fillId="28" borderId="40" xfId="2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/>
    </xf>
    <xf numFmtId="166" fontId="32" fillId="15" borderId="58" xfId="0" applyNumberFormat="1" applyFont="1" applyFill="1" applyBorder="1" applyAlignment="1">
      <alignment horizontal="center" vertical="center"/>
    </xf>
    <xf numFmtId="166" fontId="32" fillId="15" borderId="20" xfId="0" applyNumberFormat="1" applyFont="1" applyFill="1" applyBorder="1" applyAlignment="1">
      <alignment horizontal="center" vertical="center"/>
    </xf>
    <xf numFmtId="0" fontId="44" fillId="32" borderId="25" xfId="0" applyFont="1" applyFill="1" applyBorder="1" applyAlignment="1">
      <alignment horizontal="center" vertical="center"/>
    </xf>
    <xf numFmtId="166" fontId="32" fillId="28" borderId="58" xfId="0" applyNumberFormat="1" applyFont="1" applyFill="1" applyBorder="1" applyAlignment="1">
      <alignment horizontal="center" vertical="center"/>
    </xf>
    <xf numFmtId="166" fontId="32" fillId="28" borderId="20" xfId="0" applyNumberFormat="1" applyFont="1" applyFill="1" applyBorder="1" applyAlignment="1">
      <alignment horizontal="center" vertical="center"/>
    </xf>
    <xf numFmtId="166" fontId="32" fillId="0" borderId="54" xfId="0" applyNumberFormat="1" applyFont="1" applyFill="1" applyBorder="1" applyAlignment="1">
      <alignment horizontal="center" vertical="center"/>
    </xf>
    <xf numFmtId="166" fontId="32" fillId="0" borderId="58" xfId="0" applyNumberFormat="1" applyFont="1" applyFill="1" applyBorder="1" applyAlignment="1">
      <alignment horizontal="center" vertical="center"/>
    </xf>
    <xf numFmtId="0" fontId="43" fillId="19" borderId="77" xfId="0" applyFont="1" applyFill="1" applyBorder="1" applyAlignment="1">
      <alignment horizontal="center" vertical="center" textRotation="90"/>
    </xf>
    <xf numFmtId="0" fontId="43" fillId="19" borderId="74" xfId="0" applyFont="1" applyFill="1" applyBorder="1" applyAlignment="1">
      <alignment horizontal="center" vertical="center" textRotation="90"/>
    </xf>
    <xf numFmtId="0" fontId="43" fillId="19" borderId="73" xfId="0" applyFont="1" applyFill="1" applyBorder="1" applyAlignment="1">
      <alignment horizontal="center" vertical="center" textRotation="90"/>
    </xf>
    <xf numFmtId="0" fontId="44" fillId="0" borderId="25" xfId="0" applyFont="1" applyBorder="1"/>
    <xf numFmtId="165" fontId="6" fillId="2" borderId="25" xfId="0" applyNumberFormat="1" applyFont="1" applyFill="1" applyBorder="1" applyAlignment="1">
      <alignment horizontal="center" vertical="center"/>
    </xf>
    <xf numFmtId="165" fontId="6" fillId="11" borderId="25" xfId="0" applyNumberFormat="1" applyFont="1" applyFill="1" applyBorder="1" applyAlignment="1">
      <alignment horizontal="center" vertical="center" wrapText="1"/>
    </xf>
    <xf numFmtId="165" fontId="6" fillId="2" borderId="25" xfId="0" applyNumberFormat="1" applyFont="1" applyFill="1" applyBorder="1" applyAlignment="1">
      <alignment horizontal="center" vertical="center" wrapText="1"/>
    </xf>
    <xf numFmtId="165" fontId="6" fillId="4" borderId="25" xfId="0" applyNumberFormat="1" applyFont="1" applyFill="1" applyBorder="1" applyAlignment="1">
      <alignment horizontal="center" vertical="center" wrapText="1"/>
    </xf>
    <xf numFmtId="2" fontId="6" fillId="2" borderId="25" xfId="0" applyNumberFormat="1" applyFont="1" applyFill="1" applyBorder="1" applyAlignment="1">
      <alignment horizontal="center" vertical="center"/>
    </xf>
    <xf numFmtId="166" fontId="6" fillId="2" borderId="25" xfId="0" applyNumberFormat="1" applyFont="1" applyFill="1" applyBorder="1" applyAlignment="1">
      <alignment horizontal="center" vertical="center"/>
    </xf>
    <xf numFmtId="166" fontId="6" fillId="11" borderId="25" xfId="0" applyNumberFormat="1" applyFont="1" applyFill="1" applyBorder="1" applyAlignment="1">
      <alignment horizontal="center" vertical="center"/>
    </xf>
    <xf numFmtId="166" fontId="6" fillId="4" borderId="25" xfId="0" applyNumberFormat="1" applyFont="1" applyFill="1" applyBorder="1" applyAlignment="1">
      <alignment horizontal="center" vertical="center" wrapText="1"/>
    </xf>
    <xf numFmtId="9" fontId="6" fillId="2" borderId="34" xfId="2" applyFont="1" applyFill="1" applyBorder="1" applyAlignment="1">
      <alignment horizontal="center"/>
    </xf>
    <xf numFmtId="0" fontId="0" fillId="11" borderId="58" xfId="0" applyFill="1" applyBorder="1"/>
    <xf numFmtId="0" fontId="0" fillId="11" borderId="65" xfId="0" applyNumberFormat="1" applyFill="1" applyBorder="1"/>
    <xf numFmtId="0" fontId="0" fillId="11" borderId="20" xfId="0" applyNumberFormat="1" applyFill="1" applyBorder="1"/>
    <xf numFmtId="0" fontId="0" fillId="11" borderId="53" xfId="0" applyFill="1" applyBorder="1"/>
    <xf numFmtId="0" fontId="0" fillId="11" borderId="9" xfId="0" applyNumberFormat="1" applyFill="1" applyBorder="1"/>
    <xf numFmtId="0" fontId="0" fillId="11" borderId="10" xfId="0" applyNumberFormat="1" applyFill="1" applyBorder="1"/>
    <xf numFmtId="0" fontId="0" fillId="11" borderId="10" xfId="0" applyFill="1" applyBorder="1"/>
    <xf numFmtId="0" fontId="0" fillId="11" borderId="20" xfId="0" applyFill="1" applyBorder="1"/>
    <xf numFmtId="0" fontId="4" fillId="23" borderId="68" xfId="0" applyFont="1" applyFill="1" applyBorder="1" applyAlignment="1">
      <alignment horizontal="center"/>
    </xf>
    <xf numFmtId="0" fontId="4" fillId="23" borderId="69" xfId="0" applyFont="1" applyFill="1" applyBorder="1" applyAlignment="1">
      <alignment horizontal="center"/>
    </xf>
    <xf numFmtId="0" fontId="4" fillId="23" borderId="58" xfId="0" applyFont="1" applyFill="1" applyBorder="1" applyAlignment="1">
      <alignment horizontal="center"/>
    </xf>
    <xf numFmtId="0" fontId="11" fillId="9" borderId="25" xfId="0" applyFont="1" applyFill="1" applyBorder="1" applyAlignment="1">
      <alignment horizontal="center" vertical="center"/>
    </xf>
    <xf numFmtId="0" fontId="0" fillId="0" borderId="71" xfId="0" applyBorder="1" applyAlignment="1">
      <alignment horizontal="left"/>
    </xf>
    <xf numFmtId="0" fontId="0" fillId="0" borderId="0" xfId="0" applyNumberFormat="1" applyBorder="1"/>
    <xf numFmtId="0" fontId="0" fillId="11" borderId="18" xfId="0" applyFill="1" applyBorder="1" applyAlignment="1">
      <alignment horizontal="left"/>
    </xf>
    <xf numFmtId="0" fontId="0" fillId="11" borderId="19" xfId="0" applyNumberFormat="1" applyFill="1" applyBorder="1"/>
    <xf numFmtId="0" fontId="0" fillId="17" borderId="0" xfId="0" applyFill="1"/>
    <xf numFmtId="0" fontId="33" fillId="17" borderId="25" xfId="4" applyFont="1" applyFill="1" applyBorder="1" applyAlignment="1">
      <alignment horizontal="center" wrapText="1"/>
    </xf>
    <xf numFmtId="166" fontId="10" fillId="17" borderId="7" xfId="0" applyNumberFormat="1" applyFont="1" applyFill="1" applyBorder="1" applyAlignment="1">
      <alignment horizontal="center" vertical="center"/>
    </xf>
    <xf numFmtId="0" fontId="2" fillId="17" borderId="0" xfId="0" applyFont="1" applyFill="1"/>
    <xf numFmtId="166" fontId="2" fillId="15" borderId="39" xfId="0" applyNumberFormat="1" applyFont="1" applyFill="1" applyBorder="1" applyAlignment="1">
      <alignment horizontal="center" vertical="center"/>
    </xf>
    <xf numFmtId="166" fontId="2" fillId="32" borderId="39" xfId="0" applyNumberFormat="1" applyFont="1" applyFill="1" applyBorder="1" applyAlignment="1">
      <alignment horizontal="center" vertical="center"/>
    </xf>
    <xf numFmtId="166" fontId="9" fillId="9" borderId="45" xfId="0" applyNumberFormat="1" applyFont="1" applyFill="1" applyBorder="1" applyAlignment="1">
      <alignment horizontal="center" vertical="center" wrapText="1"/>
    </xf>
    <xf numFmtId="166" fontId="3" fillId="32" borderId="0" xfId="0" applyNumberFormat="1" applyFont="1" applyFill="1" applyAlignment="1">
      <alignment horizontal="center" vertical="center"/>
    </xf>
    <xf numFmtId="166" fontId="46" fillId="15" borderId="39" xfId="0" applyNumberFormat="1" applyFont="1" applyFill="1" applyBorder="1" applyAlignment="1">
      <alignment horizontal="center" vertical="center"/>
    </xf>
    <xf numFmtId="174" fontId="22" fillId="14" borderId="33" xfId="2" applyNumberFormat="1" applyFont="1" applyFill="1" applyBorder="1" applyAlignment="1">
      <alignment horizontal="center" vertical="center"/>
    </xf>
    <xf numFmtId="174" fontId="22" fillId="14" borderId="48" xfId="2" applyNumberFormat="1" applyFont="1" applyFill="1" applyBorder="1" applyAlignment="1">
      <alignment horizontal="center" vertical="center"/>
    </xf>
    <xf numFmtId="174" fontId="0" fillId="0" borderId="0" xfId="2" applyNumberFormat="1" applyFont="1" applyFill="1" applyAlignment="1">
      <alignment horizontal="center" vertical="center"/>
    </xf>
    <xf numFmtId="174" fontId="0" fillId="0" borderId="0" xfId="0" applyNumberFormat="1" applyFont="1" applyFill="1" applyAlignment="1">
      <alignment horizontal="center" vertical="center"/>
    </xf>
    <xf numFmtId="9" fontId="0" fillId="0" borderId="0" xfId="2" applyFont="1" applyFill="1" applyAlignment="1">
      <alignment vertical="center"/>
    </xf>
    <xf numFmtId="174" fontId="0" fillId="0" borderId="0" xfId="2" applyNumberFormat="1" applyFont="1" applyFill="1" applyAlignment="1">
      <alignment vertical="center"/>
    </xf>
    <xf numFmtId="10" fontId="0" fillId="0" borderId="25" xfId="2" applyNumberFormat="1" applyFont="1" applyFill="1" applyBorder="1" applyAlignment="1">
      <alignment horizontal="center" vertical="center"/>
    </xf>
    <xf numFmtId="174" fontId="0" fillId="0" borderId="25" xfId="2" applyNumberFormat="1" applyFont="1" applyFill="1" applyBorder="1" applyAlignment="1">
      <alignment horizontal="center" vertical="center"/>
    </xf>
    <xf numFmtId="9" fontId="0" fillId="0" borderId="53" xfId="2" applyFont="1" applyFill="1" applyBorder="1" applyAlignment="1">
      <alignment horizontal="center" vertical="center"/>
    </xf>
    <xf numFmtId="9" fontId="0" fillId="0" borderId="10" xfId="2" applyFont="1" applyFill="1" applyBorder="1" applyAlignment="1">
      <alignment horizontal="center" vertical="center"/>
    </xf>
    <xf numFmtId="174" fontId="0" fillId="0" borderId="0" xfId="0" applyNumberFormat="1" applyFont="1" applyFill="1" applyAlignment="1">
      <alignment vertical="center"/>
    </xf>
    <xf numFmtId="174" fontId="0" fillId="0" borderId="53" xfId="2" applyNumberFormat="1" applyFont="1" applyFill="1" applyBorder="1" applyAlignment="1">
      <alignment horizontal="center" vertical="center"/>
    </xf>
    <xf numFmtId="174" fontId="0" fillId="0" borderId="10" xfId="2" applyNumberFormat="1" applyFont="1" applyFill="1" applyBorder="1" applyAlignment="1">
      <alignment horizontal="center" vertical="center"/>
    </xf>
    <xf numFmtId="166" fontId="22" fillId="14" borderId="56" xfId="0" applyNumberFormat="1" applyFont="1" applyFill="1" applyBorder="1" applyAlignment="1">
      <alignment horizontal="center" vertical="center"/>
    </xf>
    <xf numFmtId="166" fontId="0" fillId="0" borderId="25" xfId="0" applyNumberFormat="1" applyFont="1" applyFill="1" applyBorder="1" applyAlignment="1">
      <alignment vertical="center"/>
    </xf>
    <xf numFmtId="9" fontId="0" fillId="0" borderId="58" xfId="2" applyFont="1" applyFill="1" applyBorder="1" applyAlignment="1">
      <alignment horizontal="center" vertical="center"/>
    </xf>
    <xf numFmtId="9" fontId="0" fillId="0" borderId="20" xfId="2" applyFont="1" applyFill="1" applyBorder="1" applyAlignment="1">
      <alignment horizontal="center" vertical="center"/>
    </xf>
    <xf numFmtId="9" fontId="3" fillId="0" borderId="48" xfId="2" applyFont="1" applyFill="1" applyBorder="1" applyAlignment="1">
      <alignment horizontal="center" vertical="center"/>
    </xf>
    <xf numFmtId="0" fontId="0" fillId="32" borderId="78" xfId="0" applyFill="1" applyBorder="1" applyAlignment="1">
      <alignment horizontal="center"/>
    </xf>
    <xf numFmtId="0" fontId="16" fillId="24" borderId="75" xfId="8" applyFont="1" applyFill="1" applyBorder="1" applyAlignment="1">
      <alignment horizontal="center"/>
    </xf>
    <xf numFmtId="0" fontId="16" fillId="0" borderId="76" xfId="8" applyFont="1" applyFill="1" applyBorder="1" applyAlignment="1">
      <alignment horizontal="right" wrapText="1"/>
    </xf>
    <xf numFmtId="0" fontId="16" fillId="0" borderId="76" xfId="8" applyFont="1" applyFill="1" applyBorder="1" applyAlignment="1">
      <alignment wrapText="1"/>
    </xf>
    <xf numFmtId="0" fontId="15" fillId="0" borderId="0" xfId="8"/>
  </cellXfs>
  <cellStyles count="9">
    <cellStyle name="Millares" xfId="1" builtinId="3"/>
    <cellStyle name="Normal" xfId="0" builtinId="0"/>
    <cellStyle name="Normal 2" xfId="7"/>
    <cellStyle name="Normal 3" xfId="6"/>
    <cellStyle name="Normal_Hoja1" xfId="4"/>
    <cellStyle name="Normal_Hoja5" xfId="5"/>
    <cellStyle name="Normal_RAE" xfId="8"/>
    <cellStyle name="Porcentual" xfId="2" builtinId="5"/>
    <cellStyle name="Porcentual 2" xfId="3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 patternType="solid">
          <fgColor rgb="FFE46D0A"/>
          <bgColor rgb="FF0000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showGridLines="0" topLeftCell="A53" workbookViewId="0">
      <selection activeCell="D21" sqref="D21"/>
    </sheetView>
  </sheetViews>
  <sheetFormatPr baseColWidth="10" defaultColWidth="11.44140625" defaultRowHeight="14.4"/>
  <cols>
    <col min="1" max="1" width="2.77734375" style="153" customWidth="1"/>
    <col min="2" max="2" width="16.6640625" style="1" customWidth="1"/>
    <col min="3" max="3" width="34.33203125" style="1" customWidth="1"/>
    <col min="4" max="4" width="14.33203125" style="1" customWidth="1"/>
    <col min="5" max="5" width="12.88671875" style="1" customWidth="1"/>
    <col min="6" max="6" width="10.88671875" style="1" customWidth="1"/>
    <col min="7" max="7" width="12.44140625" style="1" customWidth="1"/>
    <col min="8" max="8" width="12.21875" style="1" customWidth="1"/>
    <col min="9" max="9" width="10" style="1" customWidth="1"/>
    <col min="10" max="10" width="1.6640625" style="1" hidden="1" customWidth="1"/>
    <col min="11" max="11" width="0" style="1" hidden="1" customWidth="1"/>
    <col min="12" max="16384" width="11.44140625" style="1"/>
  </cols>
  <sheetData>
    <row r="1" spans="1:10" s="59" customFormat="1" ht="16.8" customHeight="1">
      <c r="A1" s="151"/>
    </row>
    <row r="2" spans="1:10" s="59" customFormat="1" ht="4.2" customHeight="1" thickBot="1">
      <c r="A2" s="151"/>
    </row>
    <row r="3" spans="1:10">
      <c r="A3" s="152"/>
      <c r="B3" s="513" t="s">
        <v>0</v>
      </c>
      <c r="C3" s="514"/>
      <c r="D3" s="514"/>
      <c r="E3" s="514"/>
      <c r="F3" s="514"/>
      <c r="G3" s="514"/>
      <c r="H3" s="514"/>
      <c r="I3" s="515"/>
      <c r="J3" s="2"/>
    </row>
    <row r="4" spans="1:10" ht="15" thickBot="1">
      <c r="A4" s="152"/>
      <c r="B4" s="511">
        <v>43510</v>
      </c>
      <c r="C4" s="512"/>
      <c r="D4" s="512"/>
      <c r="E4" s="512"/>
      <c r="F4" s="512"/>
      <c r="G4" s="512"/>
      <c r="H4" s="512"/>
      <c r="I4" s="516"/>
      <c r="J4" s="2"/>
    </row>
    <row r="5" spans="1:10" ht="15" thickBot="1">
      <c r="B5" s="3"/>
      <c r="C5" s="3"/>
      <c r="D5" s="3"/>
      <c r="E5" s="3"/>
      <c r="F5" s="3"/>
      <c r="G5" s="3"/>
      <c r="H5" s="3"/>
      <c r="I5" s="3"/>
    </row>
    <row r="6" spans="1:10" ht="28.8">
      <c r="A6" s="152"/>
      <c r="B6" s="265" t="s">
        <v>1</v>
      </c>
      <c r="C6" s="266" t="s">
        <v>2</v>
      </c>
      <c r="D6" s="266" t="s">
        <v>3</v>
      </c>
      <c r="E6" s="266" t="s">
        <v>4</v>
      </c>
      <c r="F6" s="266" t="s">
        <v>5</v>
      </c>
      <c r="G6" s="266" t="s">
        <v>6</v>
      </c>
      <c r="H6" s="266" t="s">
        <v>7</v>
      </c>
      <c r="I6" s="267" t="s">
        <v>8</v>
      </c>
      <c r="J6" s="2"/>
    </row>
    <row r="7" spans="1:10">
      <c r="A7" s="152">
        <v>6192</v>
      </c>
      <c r="B7" s="517" t="s">
        <v>9</v>
      </c>
      <c r="C7" s="268" t="s">
        <v>10</v>
      </c>
      <c r="D7" s="269">
        <f>+'Merluza sur Artesanal X'!L36</f>
        <v>6192</v>
      </c>
      <c r="E7" s="1094">
        <f>+'Merluza sur Artesanal X'!M36</f>
        <v>-411.55599999999998</v>
      </c>
      <c r="F7" s="270">
        <f>D7+E7</f>
        <v>5780.4440000000004</v>
      </c>
      <c r="G7" s="1098">
        <f>+'Merluza sur Artesanal X'!O36</f>
        <v>1049.4060000000006</v>
      </c>
      <c r="H7" s="270">
        <f>F7-G7</f>
        <v>4731.0379999999996</v>
      </c>
      <c r="I7" s="271">
        <f>G7/F7</f>
        <v>0.18154418587914709</v>
      </c>
      <c r="J7" s="2"/>
    </row>
    <row r="8" spans="1:10">
      <c r="A8" s="154"/>
      <c r="B8" s="518"/>
      <c r="C8" s="268" t="s">
        <v>11</v>
      </c>
      <c r="D8" s="269">
        <f>+'Merluza sur Artesanal XI'!G208</f>
        <v>3773.9999947164001</v>
      </c>
      <c r="E8" s="1094">
        <f>+'Merluza sur Artesanal XI'!H208</f>
        <v>-2284.1690000000003</v>
      </c>
      <c r="F8" s="269">
        <f>D8+E8</f>
        <v>1489.8309947163998</v>
      </c>
      <c r="G8" s="1099">
        <f>+'Merluza sur Artesanal XI'!J208</f>
        <v>121.47366666666667</v>
      </c>
      <c r="H8" s="270">
        <f>F8-G8</f>
        <v>1368.357328049733</v>
      </c>
      <c r="I8" s="271">
        <f t="shared" ref="I8" si="0">G8/F8</f>
        <v>8.1535199024228969E-2</v>
      </c>
      <c r="J8" s="2"/>
    </row>
    <row r="9" spans="1:10">
      <c r="A9" s="155">
        <v>1716.9983999279982</v>
      </c>
      <c r="B9" s="518"/>
      <c r="C9" s="268" t="s">
        <v>12</v>
      </c>
      <c r="D9" s="269">
        <f>+'Merluza sur Artesanal XII'!G280</f>
        <v>1716.9983999279989</v>
      </c>
      <c r="E9" s="1094">
        <f>+'Merluza sur Artesanal XII'!H280</f>
        <v>-1390.5649999999994</v>
      </c>
      <c r="F9" s="270">
        <f t="shared" ref="F9:F16" si="1">D9+E9</f>
        <v>326.43339992799952</v>
      </c>
      <c r="G9" s="1094">
        <f>+'Merluza sur Artesanal XII'!J280</f>
        <v>0.87439999999999996</v>
      </c>
      <c r="H9" s="270">
        <f t="shared" ref="H9:H17" si="2">F9-G9</f>
        <v>325.55899992799954</v>
      </c>
      <c r="I9" s="271">
        <f>G9/F9</f>
        <v>2.6786474674247913E-3</v>
      </c>
      <c r="J9" s="2"/>
    </row>
    <row r="10" spans="1:10" ht="17.399999999999999" customHeight="1">
      <c r="A10" s="152"/>
      <c r="B10" s="518"/>
      <c r="C10" s="272" t="s">
        <v>13</v>
      </c>
      <c r="D10" s="273">
        <f>SUM(D7:D9)</f>
        <v>11682.998394644399</v>
      </c>
      <c r="E10" s="1095">
        <f>SUM(E7:E9)</f>
        <v>-4086.29</v>
      </c>
      <c r="F10" s="274">
        <f t="shared" si="1"/>
        <v>7596.708394644399</v>
      </c>
      <c r="G10" s="1100">
        <f>SUM(G7:G9)</f>
        <v>1171.7540666666673</v>
      </c>
      <c r="H10" s="274">
        <f t="shared" si="2"/>
        <v>6424.9543279777317</v>
      </c>
      <c r="I10" s="275">
        <f t="shared" ref="I10:I17" si="3">G10/F10</f>
        <v>0.15424497108415294</v>
      </c>
      <c r="J10" s="2"/>
    </row>
    <row r="11" spans="1:10" ht="16.95" customHeight="1">
      <c r="A11" s="152"/>
      <c r="B11" s="518"/>
      <c r="C11" s="268" t="s">
        <v>14</v>
      </c>
      <c r="D11" s="269">
        <v>21</v>
      </c>
      <c r="E11" s="1094">
        <v>0</v>
      </c>
      <c r="F11" s="270">
        <f t="shared" si="1"/>
        <v>21</v>
      </c>
      <c r="G11" s="1099">
        <v>0</v>
      </c>
      <c r="H11" s="270">
        <f t="shared" si="2"/>
        <v>21</v>
      </c>
      <c r="I11" s="271">
        <f t="shared" si="3"/>
        <v>0</v>
      </c>
      <c r="J11" s="2"/>
    </row>
    <row r="12" spans="1:10" ht="14.4" customHeight="1">
      <c r="A12" s="152"/>
      <c r="B12" s="519"/>
      <c r="C12" s="272" t="s">
        <v>15</v>
      </c>
      <c r="D12" s="273">
        <f>SUM(D10:D11)</f>
        <v>11703.998394644399</v>
      </c>
      <c r="E12" s="1095">
        <f>SUM(E10:E11)</f>
        <v>-4086.29</v>
      </c>
      <c r="F12" s="273">
        <f t="shared" si="1"/>
        <v>7617.708394644399</v>
      </c>
      <c r="G12" s="1095">
        <f>SUM(G10:G11)</f>
        <v>1171.7540666666673</v>
      </c>
      <c r="H12" s="273">
        <f t="shared" si="2"/>
        <v>6445.9543279777317</v>
      </c>
      <c r="I12" s="276">
        <f t="shared" si="3"/>
        <v>0.15381975864164932</v>
      </c>
      <c r="J12" s="2"/>
    </row>
    <row r="13" spans="1:10">
      <c r="A13" s="156">
        <v>4759.0009518000006</v>
      </c>
      <c r="B13" s="520" t="s">
        <v>16</v>
      </c>
      <c r="C13" s="277" t="s">
        <v>380</v>
      </c>
      <c r="D13" s="269">
        <f>+'Merluza sur Industrial'!F37</f>
        <v>4759.0009518000006</v>
      </c>
      <c r="E13" s="1094">
        <f>+'Merluza sur Industrial'!G37</f>
        <v>4121.0149999999994</v>
      </c>
      <c r="F13" s="270">
        <f t="shared" si="1"/>
        <v>8880.0159518</v>
      </c>
      <c r="G13" s="1099">
        <f>+'Merluza sur Industrial'!I37</f>
        <v>492.16300000000007</v>
      </c>
      <c r="H13" s="270">
        <f t="shared" si="2"/>
        <v>8387.8529517999996</v>
      </c>
      <c r="I13" s="271">
        <f t="shared" si="3"/>
        <v>5.5423661699643398E-2</v>
      </c>
      <c r="J13" s="2"/>
    </row>
    <row r="14" spans="1:10">
      <c r="A14" s="156">
        <v>3043.0003043000002</v>
      </c>
      <c r="B14" s="521"/>
      <c r="C14" s="277" t="s">
        <v>381</v>
      </c>
      <c r="D14" s="269">
        <f>+'Merluza sur Industrial'!F63</f>
        <v>3043.0003043000002</v>
      </c>
      <c r="E14" s="1094">
        <f>+'Merluza sur Industrial'!G63</f>
        <v>0</v>
      </c>
      <c r="F14" s="270">
        <f t="shared" si="1"/>
        <v>3043.0003043000002</v>
      </c>
      <c r="G14" s="1099">
        <f>+'Merluza sur Industrial'!I63</f>
        <v>4.9000000000000002E-2</v>
      </c>
      <c r="H14" s="270">
        <f t="shared" si="2"/>
        <v>3042.9513043000002</v>
      </c>
      <c r="I14" s="271">
        <f t="shared" si="3"/>
        <v>1.6102528787381035E-5</v>
      </c>
      <c r="J14" s="2"/>
    </row>
    <row r="15" spans="1:10" ht="14.4" customHeight="1">
      <c r="A15" s="152"/>
      <c r="B15" s="522"/>
      <c r="C15" s="277" t="s">
        <v>17</v>
      </c>
      <c r="D15" s="278">
        <f>SUM(D13:D14)</f>
        <v>7802.0012561000003</v>
      </c>
      <c r="E15" s="1096">
        <f>SUM(E13:E14)</f>
        <v>4121.0149999999994</v>
      </c>
      <c r="F15" s="279">
        <f>D15+E15</f>
        <v>11923.0162561</v>
      </c>
      <c r="G15" s="1101">
        <f>SUM(G13:G14)</f>
        <v>492.21200000000005</v>
      </c>
      <c r="H15" s="279">
        <f t="shared" si="2"/>
        <v>11430.8042561</v>
      </c>
      <c r="I15" s="280">
        <f t="shared" si="3"/>
        <v>4.1282506827764895E-2</v>
      </c>
      <c r="J15" s="2"/>
    </row>
    <row r="16" spans="1:10" ht="14.4" customHeight="1">
      <c r="A16" s="152"/>
      <c r="B16" s="523" t="s">
        <v>18</v>
      </c>
      <c r="C16" s="524"/>
      <c r="D16" s="279">
        <v>31</v>
      </c>
      <c r="E16" s="1097">
        <v>0</v>
      </c>
      <c r="F16" s="279">
        <f t="shared" si="1"/>
        <v>31</v>
      </c>
      <c r="G16" s="1097">
        <v>0</v>
      </c>
      <c r="H16" s="279">
        <f t="shared" si="2"/>
        <v>31</v>
      </c>
      <c r="I16" s="281">
        <f t="shared" si="3"/>
        <v>0</v>
      </c>
      <c r="J16" s="2"/>
    </row>
    <row r="17" spans="1:10" ht="22.95" customHeight="1" thickBot="1">
      <c r="A17" s="152"/>
      <c r="B17" s="511" t="s">
        <v>19</v>
      </c>
      <c r="C17" s="512"/>
      <c r="D17" s="282">
        <f>+D12+D15+D16</f>
        <v>19536.999650744401</v>
      </c>
      <c r="E17" s="282">
        <f>SUM(E7:E16)</f>
        <v>-4016.84</v>
      </c>
      <c r="F17" s="283">
        <f>+D17+E17</f>
        <v>15520.159650744401</v>
      </c>
      <c r="G17" s="284">
        <f>SUM(G7:G16)</f>
        <v>4499.6862000000019</v>
      </c>
      <c r="H17" s="284">
        <f t="shared" si="2"/>
        <v>11020.473450744399</v>
      </c>
      <c r="I17" s="285">
        <f t="shared" si="3"/>
        <v>0.28992525214031423</v>
      </c>
      <c r="J17" s="2"/>
    </row>
    <row r="19" spans="1:10" hidden="1">
      <c r="B19" s="4" t="s">
        <v>20</v>
      </c>
    </row>
    <row r="20" spans="1:10">
      <c r="D20" s="5"/>
    </row>
    <row r="21" spans="1:10" ht="15" thickBot="1">
      <c r="F21" s="5"/>
    </row>
    <row r="22" spans="1:10">
      <c r="A22" s="152"/>
      <c r="B22" s="529" t="s">
        <v>21</v>
      </c>
      <c r="C22" s="530"/>
      <c r="D22" s="530"/>
      <c r="E22" s="530"/>
      <c r="F22" s="530"/>
      <c r="G22" s="530"/>
      <c r="H22" s="530"/>
      <c r="I22" s="531"/>
      <c r="J22" s="2"/>
    </row>
    <row r="23" spans="1:10" ht="15" thickBot="1">
      <c r="A23" s="152"/>
      <c r="B23" s="532">
        <f>+B4</f>
        <v>43510</v>
      </c>
      <c r="C23" s="533"/>
      <c r="D23" s="533"/>
      <c r="E23" s="533"/>
      <c r="F23" s="533"/>
      <c r="G23" s="533"/>
      <c r="H23" s="533"/>
      <c r="I23" s="534"/>
      <c r="J23" s="2"/>
    </row>
    <row r="25" spans="1:10" ht="3" customHeight="1" thickBot="1"/>
    <row r="26" spans="1:10" ht="14.4" customHeight="1">
      <c r="A26" s="152"/>
      <c r="B26" s="535" t="s">
        <v>22</v>
      </c>
      <c r="C26" s="537" t="s">
        <v>23</v>
      </c>
      <c r="D26" s="537" t="s">
        <v>24</v>
      </c>
      <c r="E26" s="539" t="s">
        <v>25</v>
      </c>
      <c r="F26" s="539"/>
      <c r="G26" s="540" t="s">
        <v>26</v>
      </c>
      <c r="H26" s="542" t="s">
        <v>27</v>
      </c>
      <c r="I26" s="544" t="s">
        <v>28</v>
      </c>
      <c r="J26" s="525" t="s">
        <v>29</v>
      </c>
    </row>
    <row r="27" spans="1:10">
      <c r="A27" s="152"/>
      <c r="B27" s="536"/>
      <c r="C27" s="538"/>
      <c r="D27" s="538"/>
      <c r="E27" s="286" t="s">
        <v>16</v>
      </c>
      <c r="F27" s="286" t="s">
        <v>9</v>
      </c>
      <c r="G27" s="541"/>
      <c r="H27" s="543"/>
      <c r="I27" s="545"/>
      <c r="J27" s="526"/>
    </row>
    <row r="28" spans="1:10">
      <c r="A28" s="152"/>
      <c r="B28" s="527" t="s">
        <v>30</v>
      </c>
      <c r="C28" s="287" t="s">
        <v>31</v>
      </c>
      <c r="D28" s="288">
        <v>5</v>
      </c>
      <c r="E28" s="289">
        <v>3.6999999999999998E-2</v>
      </c>
      <c r="F28" s="289">
        <v>0</v>
      </c>
      <c r="G28" s="290">
        <f>+E28+F28</f>
        <v>3.6999999999999998E-2</v>
      </c>
      <c r="H28" s="291">
        <f>E28-G28</f>
        <v>0</v>
      </c>
      <c r="I28" s="1102">
        <f>+G28/D28</f>
        <v>7.3999999999999995E-3</v>
      </c>
      <c r="J28" s="6" t="s">
        <v>32</v>
      </c>
    </row>
    <row r="29" spans="1:10" ht="15" thickBot="1">
      <c r="A29" s="152"/>
      <c r="B29" s="528"/>
      <c r="C29" s="292" t="s">
        <v>33</v>
      </c>
      <c r="D29" s="293">
        <v>55</v>
      </c>
      <c r="E29" s="293"/>
      <c r="F29" s="294"/>
      <c r="G29" s="295">
        <f>+E29+F29</f>
        <v>0</v>
      </c>
      <c r="H29" s="296">
        <f>E29-G29</f>
        <v>0</v>
      </c>
      <c r="I29" s="297">
        <f>+G29/D29</f>
        <v>0</v>
      </c>
      <c r="J29" s="7" t="s">
        <v>32</v>
      </c>
    </row>
  </sheetData>
  <mergeCells count="17">
    <mergeCell ref="J26:J27"/>
    <mergeCell ref="B28:B29"/>
    <mergeCell ref="B22:I22"/>
    <mergeCell ref="B23:I23"/>
    <mergeCell ref="B26:B27"/>
    <mergeCell ref="C26:C27"/>
    <mergeCell ref="D26:D27"/>
    <mergeCell ref="E26:F26"/>
    <mergeCell ref="G26:G27"/>
    <mergeCell ref="H26:H27"/>
    <mergeCell ref="I26:I27"/>
    <mergeCell ref="B17:C17"/>
    <mergeCell ref="B3:I3"/>
    <mergeCell ref="B4:I4"/>
    <mergeCell ref="B7:B12"/>
    <mergeCell ref="B13:B15"/>
    <mergeCell ref="B16:C16"/>
  </mergeCells>
  <conditionalFormatting sqref="I13">
    <cfRule type="dataBar" priority="10">
      <dataBar>
        <cfvo type="min" val="0"/>
        <cfvo type="max" val="0"/>
        <color rgb="FF63C384"/>
      </dataBar>
    </cfRule>
  </conditionalFormatting>
  <conditionalFormatting sqref="I14">
    <cfRule type="dataBar" priority="9">
      <dataBar>
        <cfvo type="min" val="0"/>
        <cfvo type="max" val="0"/>
        <color rgb="FF63C384"/>
      </dataBar>
    </cfRule>
  </conditionalFormatting>
  <conditionalFormatting sqref="I7:I11 I13:I14">
    <cfRule type="dataBar" priority="8">
      <dataBar>
        <cfvo type="min" val="0"/>
        <cfvo type="max" val="0"/>
        <color rgb="FF63C384"/>
      </dataBar>
    </cfRule>
  </conditionalFormatting>
  <conditionalFormatting sqref="I7:I11 I13:I14">
    <cfRule type="dataBar" priority="7">
      <dataBar>
        <cfvo type="min" val="0"/>
        <cfvo type="max" val="0"/>
        <color rgb="FF008AEF"/>
      </dataBar>
    </cfRule>
  </conditionalFormatting>
  <conditionalFormatting sqref="I29">
    <cfRule type="cellIs" dxfId="6" priority="5" operator="greaterThan">
      <formula>0.9</formula>
    </cfRule>
    <cfRule type="dataBar" priority="6">
      <dataBar>
        <cfvo type="min" val="0"/>
        <cfvo type="max" val="0"/>
        <color rgb="FF008AEF"/>
      </dataBar>
    </cfRule>
  </conditionalFormatting>
  <conditionalFormatting sqref="I29">
    <cfRule type="dataBar" priority="4">
      <dataBar>
        <cfvo type="min" val="0"/>
        <cfvo type="max" val="0"/>
        <color rgb="FF008AEF"/>
      </dataBar>
    </cfRule>
  </conditionalFormatting>
  <conditionalFormatting sqref="I28:I29">
    <cfRule type="cellIs" dxfId="5" priority="2" operator="greaterThan">
      <formula>0.9</formula>
    </cfRule>
    <cfRule type="dataBar" priority="3">
      <dataBar>
        <cfvo type="min" val="0"/>
        <cfvo type="max" val="0"/>
        <color rgb="FF008AEF"/>
      </dataBar>
    </cfRule>
  </conditionalFormatting>
  <conditionalFormatting sqref="I28:I29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B1:V559"/>
  <sheetViews>
    <sheetView showGridLines="0" zoomScale="59" zoomScaleNormal="59" workbookViewId="0">
      <selection activeCell="G12" sqref="G12"/>
    </sheetView>
  </sheetViews>
  <sheetFormatPr baseColWidth="10" defaultColWidth="11.44140625" defaultRowHeight="14.4"/>
  <cols>
    <col min="1" max="1" width="4.5546875" style="8" customWidth="1"/>
    <col min="2" max="2" width="16.109375" style="53" customWidth="1"/>
    <col min="3" max="3" width="31.88671875" style="53" customWidth="1"/>
    <col min="4" max="4" width="16" style="53" customWidth="1"/>
    <col min="5" max="5" width="11.44140625" style="53"/>
    <col min="6" max="6" width="15.5546875" style="53" customWidth="1"/>
    <col min="7" max="7" width="12.6640625" style="53" customWidth="1"/>
    <col min="8" max="8" width="12.33203125" style="53" bestFit="1" customWidth="1"/>
    <col min="9" max="9" width="12.6640625" style="53" customWidth="1"/>
    <col min="10" max="10" width="15.109375" style="53" bestFit="1" customWidth="1"/>
    <col min="11" max="11" width="11.88671875" style="53" customWidth="1"/>
    <col min="12" max="12" width="15.109375" style="53" bestFit="1" customWidth="1"/>
    <col min="13" max="13" width="13.44140625" style="53" customWidth="1"/>
    <col min="14" max="15" width="11.44140625" style="53"/>
    <col min="16" max="16" width="15.109375" style="53" bestFit="1" customWidth="1"/>
    <col min="17" max="17" width="11.44140625" style="53" bestFit="1" customWidth="1"/>
    <col min="18" max="18" width="11.44140625" style="8"/>
    <col min="19" max="19" width="77.88671875" style="8" customWidth="1"/>
    <col min="20" max="20" width="6.88671875" style="8" bestFit="1" customWidth="1"/>
    <col min="21" max="16384" width="11.44140625" style="8"/>
  </cols>
  <sheetData>
    <row r="1" spans="2:22" ht="15" thickBot="1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2:22" s="9" customFormat="1" ht="21" customHeight="1">
      <c r="B2" s="546" t="s">
        <v>34</v>
      </c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8"/>
      <c r="T2" s="10"/>
      <c r="U2" s="10"/>
      <c r="V2" s="10"/>
    </row>
    <row r="3" spans="2:22" s="9" customFormat="1" ht="15" customHeight="1" thickBot="1">
      <c r="B3" s="549">
        <f>+'Resumen Cuota Global'!B4:I4</f>
        <v>43510</v>
      </c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1"/>
      <c r="T3" s="10"/>
      <c r="U3" s="10"/>
      <c r="V3" s="10"/>
    </row>
    <row r="4" spans="2:22" s="9" customFormat="1" ht="1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T4" s="10"/>
      <c r="U4" s="10"/>
      <c r="V4" s="10"/>
    </row>
    <row r="5" spans="2:22" s="15" customFormat="1" ht="15" customHeight="1">
      <c r="B5" s="12" t="s">
        <v>35</v>
      </c>
      <c r="C5" s="12" t="s">
        <v>36</v>
      </c>
      <c r="D5" s="1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T5" s="16"/>
      <c r="U5" s="16"/>
      <c r="V5" s="16"/>
    </row>
    <row r="6" spans="2:22" s="15" customFormat="1" ht="15" customHeight="1">
      <c r="B6" s="552" t="s">
        <v>37</v>
      </c>
      <c r="C6" s="17" t="s">
        <v>38</v>
      </c>
      <c r="D6" s="18">
        <v>1666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T6" s="16"/>
      <c r="U6" s="16"/>
      <c r="V6" s="16"/>
    </row>
    <row r="7" spans="2:22" s="15" customFormat="1" ht="15" customHeight="1">
      <c r="B7" s="552"/>
      <c r="C7" s="17" t="s">
        <v>39</v>
      </c>
      <c r="D7" s="18" t="s">
        <v>40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T7" s="16"/>
      <c r="U7" s="16"/>
      <c r="V7" s="16"/>
    </row>
    <row r="8" spans="2:22" s="15" customFormat="1" ht="15" customHeight="1">
      <c r="B8" s="552"/>
      <c r="C8" s="17" t="s">
        <v>41</v>
      </c>
      <c r="D8" s="18">
        <v>3093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T8" s="16"/>
      <c r="U8" s="16"/>
      <c r="V8" s="16"/>
    </row>
    <row r="9" spans="2:22" s="15" customFormat="1" ht="15" customHeight="1">
      <c r="B9" s="552"/>
      <c r="C9" s="12" t="s">
        <v>42</v>
      </c>
      <c r="D9" s="19">
        <f>SUM(D6:D8)</f>
        <v>4759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T9" s="16"/>
      <c r="U9" s="16"/>
      <c r="V9" s="16"/>
    </row>
    <row r="10" spans="2:22" s="15" customFormat="1" ht="15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T10" s="16"/>
      <c r="U10" s="16"/>
      <c r="V10" s="16"/>
    </row>
    <row r="11" spans="2:22" s="16" customFormat="1" ht="32.4" customHeight="1">
      <c r="B11" s="12" t="s">
        <v>43</v>
      </c>
      <c r="C11" s="12" t="s">
        <v>44</v>
      </c>
      <c r="D11" s="12" t="s">
        <v>45</v>
      </c>
      <c r="E11" s="20" t="s">
        <v>36</v>
      </c>
      <c r="F11" s="20" t="s">
        <v>46</v>
      </c>
      <c r="G11" s="20" t="s">
        <v>4</v>
      </c>
      <c r="H11" s="20" t="s">
        <v>47</v>
      </c>
      <c r="I11" s="20" t="s">
        <v>6</v>
      </c>
      <c r="J11" s="20" t="s">
        <v>48</v>
      </c>
      <c r="K11" s="20" t="s">
        <v>49</v>
      </c>
      <c r="L11" s="12" t="s">
        <v>50</v>
      </c>
      <c r="M11" s="12" t="s">
        <v>4</v>
      </c>
      <c r="N11" s="12" t="s">
        <v>5</v>
      </c>
      <c r="O11" s="12" t="s">
        <v>51</v>
      </c>
      <c r="P11" s="12" t="s">
        <v>52</v>
      </c>
      <c r="Q11" s="12" t="s">
        <v>53</v>
      </c>
      <c r="T11" s="15"/>
      <c r="U11" s="15"/>
      <c r="V11" s="15"/>
    </row>
    <row r="12" spans="2:22" s="15" customFormat="1" ht="19.95" customHeight="1">
      <c r="B12" s="553" t="s">
        <v>54</v>
      </c>
      <c r="C12" s="554" t="s">
        <v>55</v>
      </c>
      <c r="D12" s="554">
        <v>0.15042749999999999</v>
      </c>
      <c r="E12" s="21" t="s">
        <v>56</v>
      </c>
      <c r="F12" s="22">
        <f>+D12*$D$6</f>
        <v>250.61221499999999</v>
      </c>
      <c r="G12" s="1121">
        <f>27.254+1402.741+1363.311</f>
        <v>2793.3059999999996</v>
      </c>
      <c r="H12" s="24">
        <f>F12+G12</f>
        <v>3043.9182149999997</v>
      </c>
      <c r="I12" s="17"/>
      <c r="J12" s="22">
        <f>H12-I12</f>
        <v>3043.9182149999997</v>
      </c>
      <c r="K12" s="25">
        <f>+I12/H12</f>
        <v>0</v>
      </c>
      <c r="L12" s="556">
        <f>F12+F13</f>
        <v>715.8844724999999</v>
      </c>
      <c r="M12" s="556">
        <f>G12+G13</f>
        <v>2793.3059999999996</v>
      </c>
      <c r="N12" s="556">
        <f>L12+M12</f>
        <v>3509.1904724999995</v>
      </c>
      <c r="O12" s="556">
        <f>I12+I13</f>
        <v>0</v>
      </c>
      <c r="P12" s="556">
        <f>N12-O12</f>
        <v>3509.1904724999995</v>
      </c>
      <c r="Q12" s="557">
        <f>O12/N12</f>
        <v>0</v>
      </c>
      <c r="T12" s="26"/>
    </row>
    <row r="13" spans="2:22" s="15" customFormat="1" ht="19.95" customHeight="1">
      <c r="B13" s="553"/>
      <c r="C13" s="555"/>
      <c r="D13" s="555"/>
      <c r="E13" s="21" t="s">
        <v>41</v>
      </c>
      <c r="F13" s="22">
        <f>+D12*$D$8</f>
        <v>465.27225749999997</v>
      </c>
      <c r="G13" s="23"/>
      <c r="H13" s="24">
        <f>F13+G13+J12</f>
        <v>3509.1904724999995</v>
      </c>
      <c r="I13" s="17"/>
      <c r="J13" s="22">
        <f t="shared" ref="J13:J33" si="0">H13-I13</f>
        <v>3509.1904724999995</v>
      </c>
      <c r="K13" s="25">
        <f t="shared" ref="K13:K33" si="1">+I13/H13</f>
        <v>0</v>
      </c>
      <c r="L13" s="556"/>
      <c r="M13" s="556"/>
      <c r="N13" s="556"/>
      <c r="O13" s="556"/>
      <c r="P13" s="556"/>
      <c r="Q13" s="557"/>
    </row>
    <row r="14" spans="2:22" s="15" customFormat="1" ht="19.95" customHeight="1">
      <c r="B14" s="553"/>
      <c r="C14" s="554" t="s">
        <v>57</v>
      </c>
      <c r="D14" s="554">
        <v>0.18365590000000001</v>
      </c>
      <c r="E14" s="21" t="s">
        <v>56</v>
      </c>
      <c r="F14" s="22">
        <f t="shared" ref="F14" si="2">+D14*$D$6</f>
        <v>305.97072940000004</v>
      </c>
      <c r="G14" s="1120">
        <f>305.556+106+193.879</f>
        <v>605.43499999999995</v>
      </c>
      <c r="H14" s="24">
        <f t="shared" ref="H14" si="3">F14+G14</f>
        <v>911.40572939999993</v>
      </c>
      <c r="I14" s="17">
        <f>+D73</f>
        <v>245.97200000000004</v>
      </c>
      <c r="J14" s="22">
        <f t="shared" si="0"/>
        <v>665.43372939999995</v>
      </c>
      <c r="K14" s="25">
        <f t="shared" si="1"/>
        <v>0.26988199883484304</v>
      </c>
      <c r="L14" s="556">
        <f>F14+F15</f>
        <v>874.01842810000016</v>
      </c>
      <c r="M14" s="556">
        <f t="shared" ref="M14" si="4">G14+G15</f>
        <v>605.43499999999995</v>
      </c>
      <c r="N14" s="556">
        <f t="shared" ref="N14" si="5">L14+M14</f>
        <v>1479.4534281000001</v>
      </c>
      <c r="O14" s="556">
        <f t="shared" ref="O14" si="6">I14+I15</f>
        <v>245.97200000000004</v>
      </c>
      <c r="P14" s="556">
        <f t="shared" ref="P14" si="7">N14-O14</f>
        <v>1233.4814281000001</v>
      </c>
      <c r="Q14" s="557">
        <f t="shared" ref="Q14" si="8">O14/N14</f>
        <v>0.16625869752175407</v>
      </c>
    </row>
    <row r="15" spans="2:22" s="15" customFormat="1" ht="19.95" customHeight="1">
      <c r="B15" s="553"/>
      <c r="C15" s="555"/>
      <c r="D15" s="555"/>
      <c r="E15" s="21" t="s">
        <v>41</v>
      </c>
      <c r="F15" s="22">
        <f t="shared" ref="F15" si="9">+D14*$D$8</f>
        <v>568.04769870000007</v>
      </c>
      <c r="G15" s="23"/>
      <c r="H15" s="24">
        <f t="shared" ref="H15" si="10">F15+G15+J14</f>
        <v>1233.4814280999999</v>
      </c>
      <c r="I15" s="17"/>
      <c r="J15" s="22">
        <f t="shared" si="0"/>
        <v>1233.4814280999999</v>
      </c>
      <c r="K15" s="25">
        <f t="shared" si="1"/>
        <v>0</v>
      </c>
      <c r="L15" s="556"/>
      <c r="M15" s="556"/>
      <c r="N15" s="556"/>
      <c r="O15" s="556"/>
      <c r="P15" s="556"/>
      <c r="Q15" s="557"/>
    </row>
    <row r="16" spans="2:22" s="15" customFormat="1" ht="19.95" customHeight="1">
      <c r="B16" s="553"/>
      <c r="C16" s="554" t="s">
        <v>58</v>
      </c>
      <c r="D16" s="554">
        <v>2.03261E-2</v>
      </c>
      <c r="E16" s="21" t="s">
        <v>56</v>
      </c>
      <c r="F16" s="22">
        <f t="shared" ref="F16" si="11">+D16*$D$6</f>
        <v>33.863282599999998</v>
      </c>
      <c r="G16" s="23"/>
      <c r="H16" s="24">
        <f t="shared" ref="H16" si="12">F16+G16</f>
        <v>33.863282599999998</v>
      </c>
      <c r="I16" s="17"/>
      <c r="J16" s="22">
        <f t="shared" si="0"/>
        <v>33.863282599999998</v>
      </c>
      <c r="K16" s="25">
        <f t="shared" si="1"/>
        <v>0</v>
      </c>
      <c r="L16" s="556">
        <f>F16+F17</f>
        <v>96.731909900000005</v>
      </c>
      <c r="M16" s="556">
        <f t="shared" ref="M16" si="13">G16+G17</f>
        <v>0</v>
      </c>
      <c r="N16" s="556">
        <f>L16+M16</f>
        <v>96.731909900000005</v>
      </c>
      <c r="O16" s="556">
        <f>I16+I17</f>
        <v>0</v>
      </c>
      <c r="P16" s="556">
        <f t="shared" ref="P16" si="14">N16-O16</f>
        <v>96.731909900000005</v>
      </c>
      <c r="Q16" s="557">
        <f t="shared" ref="Q16" si="15">O16/N16</f>
        <v>0</v>
      </c>
    </row>
    <row r="17" spans="2:17" s="15" customFormat="1" ht="15.6">
      <c r="B17" s="553"/>
      <c r="C17" s="555"/>
      <c r="D17" s="555"/>
      <c r="E17" s="21" t="s">
        <v>41</v>
      </c>
      <c r="F17" s="22">
        <f t="shared" ref="F17" si="16">+D16*$D$8</f>
        <v>62.8686273</v>
      </c>
      <c r="G17" s="23"/>
      <c r="H17" s="24">
        <f t="shared" ref="H17" si="17">F17+G17+J16</f>
        <v>96.731909900000005</v>
      </c>
      <c r="I17" s="17"/>
      <c r="J17" s="22">
        <f t="shared" si="0"/>
        <v>96.731909900000005</v>
      </c>
      <c r="K17" s="25">
        <f t="shared" si="1"/>
        <v>0</v>
      </c>
      <c r="L17" s="556"/>
      <c r="M17" s="556"/>
      <c r="N17" s="556"/>
      <c r="O17" s="556"/>
      <c r="P17" s="556"/>
      <c r="Q17" s="557"/>
    </row>
    <row r="18" spans="2:17" s="15" customFormat="1" ht="15.6">
      <c r="B18" s="553"/>
      <c r="C18" s="554" t="s">
        <v>59</v>
      </c>
      <c r="D18" s="554">
        <v>0.24709130000000001</v>
      </c>
      <c r="E18" s="21" t="s">
        <v>56</v>
      </c>
      <c r="F18" s="22">
        <f t="shared" ref="F18" si="18">+D18*$D$6</f>
        <v>411.65410580000002</v>
      </c>
      <c r="G18" s="309">
        <v>722.274</v>
      </c>
      <c r="H18" s="24">
        <f t="shared" ref="H18" si="19">F18+G18</f>
        <v>1133.9281058000001</v>
      </c>
      <c r="I18" s="17">
        <f>+D74</f>
        <v>246.14500000000004</v>
      </c>
      <c r="J18" s="22">
        <f t="shared" si="0"/>
        <v>887.78310580000016</v>
      </c>
      <c r="K18" s="25">
        <f t="shared" si="1"/>
        <v>0.21707284504280078</v>
      </c>
      <c r="L18" s="556">
        <f>F18+F19</f>
        <v>1175.9074967000001</v>
      </c>
      <c r="M18" s="556">
        <f t="shared" ref="M18" si="20">G18+G19</f>
        <v>722.274</v>
      </c>
      <c r="N18" s="556">
        <f t="shared" ref="N18" si="21">L18+M18</f>
        <v>1898.1814967</v>
      </c>
      <c r="O18" s="556">
        <f t="shared" ref="O18" si="22">I18+I19</f>
        <v>246.14500000000004</v>
      </c>
      <c r="P18" s="556">
        <f t="shared" ref="P18" si="23">N18-O18</f>
        <v>1652.0364967</v>
      </c>
      <c r="Q18" s="557">
        <f t="shared" ref="Q18" si="24">O18/N18</f>
        <v>0.12967411200031431</v>
      </c>
    </row>
    <row r="19" spans="2:17" s="15" customFormat="1" ht="15.6">
      <c r="B19" s="553"/>
      <c r="C19" s="555"/>
      <c r="D19" s="555"/>
      <c r="E19" s="21" t="s">
        <v>41</v>
      </c>
      <c r="F19" s="22">
        <f t="shared" ref="F19" si="25">+D18*$D$8</f>
        <v>764.2533909</v>
      </c>
      <c r="G19" s="23"/>
      <c r="H19" s="24">
        <f t="shared" ref="H19" si="26">F19+G19+J18</f>
        <v>1652.0364967</v>
      </c>
      <c r="I19" s="17"/>
      <c r="J19" s="22">
        <f t="shared" si="0"/>
        <v>1652.0364967</v>
      </c>
      <c r="K19" s="25">
        <f t="shared" si="1"/>
        <v>0</v>
      </c>
      <c r="L19" s="556"/>
      <c r="M19" s="556"/>
      <c r="N19" s="556"/>
      <c r="O19" s="556"/>
      <c r="P19" s="556"/>
      <c r="Q19" s="557"/>
    </row>
    <row r="20" spans="2:17" s="15" customFormat="1" ht="15.6">
      <c r="B20" s="553"/>
      <c r="C20" s="554" t="s">
        <v>60</v>
      </c>
      <c r="D20" s="554">
        <v>0.36841390000000002</v>
      </c>
      <c r="E20" s="21" t="s">
        <v>56</v>
      </c>
      <c r="F20" s="22">
        <f t="shared" ref="F20" si="27">+D20*$D$6</f>
        <v>613.77755739999998</v>
      </c>
      <c r="G20" s="23"/>
      <c r="H20" s="24">
        <f t="shared" ref="H20" si="28">F20+G20</f>
        <v>613.77755739999998</v>
      </c>
      <c r="I20" s="17">
        <f>+D72</f>
        <v>4.5999999999999999E-2</v>
      </c>
      <c r="J20" s="22">
        <f t="shared" si="0"/>
        <v>613.73155739999993</v>
      </c>
      <c r="K20" s="25">
        <f t="shared" si="1"/>
        <v>7.4945718437244383E-5</v>
      </c>
      <c r="L20" s="556">
        <f>F20+F21</f>
        <v>1753.2817501</v>
      </c>
      <c r="M20" s="556">
        <f t="shared" ref="M20" si="29">G20+G21</f>
        <v>0</v>
      </c>
      <c r="N20" s="556">
        <f t="shared" ref="N20" si="30">L20+M20</f>
        <v>1753.2817501</v>
      </c>
      <c r="O20" s="556">
        <f t="shared" ref="O20" si="31">I20+I21</f>
        <v>4.5999999999999999E-2</v>
      </c>
      <c r="P20" s="556">
        <f t="shared" ref="P20" si="32">N20-O20</f>
        <v>1753.2357500999999</v>
      </c>
      <c r="Q20" s="557">
        <f t="shared" ref="Q20:Q34" si="33">O20/N20</f>
        <v>2.6236513325582925E-5</v>
      </c>
    </row>
    <row r="21" spans="2:17" s="15" customFormat="1" ht="15.6">
      <c r="B21" s="553"/>
      <c r="C21" s="555"/>
      <c r="D21" s="555"/>
      <c r="E21" s="21" t="s">
        <v>41</v>
      </c>
      <c r="F21" s="22">
        <f t="shared" ref="F21" si="34">+D20*$D$8</f>
        <v>1139.5041927</v>
      </c>
      <c r="G21" s="23"/>
      <c r="H21" s="24">
        <f t="shared" ref="H21" si="35">F21+G21+J20</f>
        <v>1753.2357500999999</v>
      </c>
      <c r="I21" s="17"/>
      <c r="J21" s="22">
        <f t="shared" si="0"/>
        <v>1753.2357500999999</v>
      </c>
      <c r="K21" s="25">
        <f t="shared" si="1"/>
        <v>0</v>
      </c>
      <c r="L21" s="556"/>
      <c r="M21" s="556"/>
      <c r="N21" s="556"/>
      <c r="O21" s="556"/>
      <c r="P21" s="556"/>
      <c r="Q21" s="557"/>
    </row>
    <row r="22" spans="2:17" s="15" customFormat="1" ht="15.6">
      <c r="B22" s="553"/>
      <c r="C22" s="554" t="s">
        <v>61</v>
      </c>
      <c r="D22" s="554">
        <v>0</v>
      </c>
      <c r="E22" s="21" t="s">
        <v>56</v>
      </c>
      <c r="F22" s="22">
        <f t="shared" ref="F22" si="36">+D22*$D$6</f>
        <v>0</v>
      </c>
      <c r="G22" s="23"/>
      <c r="H22" s="24">
        <f t="shared" ref="H22" si="37">F22+G22</f>
        <v>0</v>
      </c>
      <c r="I22" s="17"/>
      <c r="J22" s="22">
        <f t="shared" si="0"/>
        <v>0</v>
      </c>
      <c r="K22" s="25">
        <v>0</v>
      </c>
      <c r="L22" s="556">
        <f>F22+F23</f>
        <v>0</v>
      </c>
      <c r="M22" s="556">
        <f>G22+G23</f>
        <v>0</v>
      </c>
      <c r="N22" s="556">
        <f t="shared" ref="N22" si="38">L22+M22</f>
        <v>0</v>
      </c>
      <c r="O22" s="556">
        <f>I22+I23</f>
        <v>0</v>
      </c>
      <c r="P22" s="556">
        <f t="shared" ref="P22" si="39">N22-O22</f>
        <v>0</v>
      </c>
      <c r="Q22" s="557">
        <v>0</v>
      </c>
    </row>
    <row r="23" spans="2:17" s="15" customFormat="1" ht="15.6">
      <c r="B23" s="553"/>
      <c r="C23" s="555"/>
      <c r="D23" s="555"/>
      <c r="E23" s="21" t="s">
        <v>41</v>
      </c>
      <c r="F23" s="22">
        <f t="shared" ref="F23" si="40">+D22*$D$8</f>
        <v>0</v>
      </c>
      <c r="G23" s="23"/>
      <c r="H23" s="24">
        <f t="shared" ref="H23" si="41">F23+G23+J22</f>
        <v>0</v>
      </c>
      <c r="I23" s="17"/>
      <c r="J23" s="22">
        <f t="shared" si="0"/>
        <v>0</v>
      </c>
      <c r="K23" s="25">
        <v>0</v>
      </c>
      <c r="L23" s="556"/>
      <c r="M23" s="556"/>
      <c r="N23" s="556"/>
      <c r="O23" s="556"/>
      <c r="P23" s="556"/>
      <c r="Q23" s="557"/>
    </row>
    <row r="24" spans="2:17" s="15" customFormat="1" ht="15.6">
      <c r="B24" s="553"/>
      <c r="C24" s="554" t="s">
        <v>62</v>
      </c>
      <c r="D24" s="554">
        <v>1.4999999999999999E-2</v>
      </c>
      <c r="E24" s="21" t="s">
        <v>56</v>
      </c>
      <c r="F24" s="22">
        <f t="shared" ref="F24" si="42">+D24*$D$6</f>
        <v>24.99</v>
      </c>
      <c r="G24" s="23"/>
      <c r="H24" s="24">
        <f t="shared" ref="H24" si="43">F24+G24</f>
        <v>24.99</v>
      </c>
      <c r="I24" s="17"/>
      <c r="J24" s="22">
        <f t="shared" si="0"/>
        <v>24.99</v>
      </c>
      <c r="K24" s="25">
        <f t="shared" si="1"/>
        <v>0</v>
      </c>
      <c r="L24" s="556">
        <f>F24+F25</f>
        <v>71.384999999999991</v>
      </c>
      <c r="M24" s="556">
        <f>G24+G25</f>
        <v>0</v>
      </c>
      <c r="N24" s="556">
        <f t="shared" ref="N24" si="44">L24+M24</f>
        <v>71.384999999999991</v>
      </c>
      <c r="O24" s="556">
        <f>I24+I25</f>
        <v>0</v>
      </c>
      <c r="P24" s="556">
        <f t="shared" ref="P24" si="45">N24-O24</f>
        <v>71.384999999999991</v>
      </c>
      <c r="Q24" s="557">
        <f t="shared" si="33"/>
        <v>0</v>
      </c>
    </row>
    <row r="25" spans="2:17" s="15" customFormat="1" ht="15.6">
      <c r="B25" s="553"/>
      <c r="C25" s="555"/>
      <c r="D25" s="555"/>
      <c r="E25" s="21" t="s">
        <v>41</v>
      </c>
      <c r="F25" s="22">
        <f t="shared" ref="F25" si="46">+D24*$D$8</f>
        <v>46.394999999999996</v>
      </c>
      <c r="G25" s="23"/>
      <c r="H25" s="24">
        <f t="shared" ref="H25" si="47">F25+G25+J24</f>
        <v>71.384999999999991</v>
      </c>
      <c r="I25" s="17"/>
      <c r="J25" s="22">
        <f t="shared" si="0"/>
        <v>71.384999999999991</v>
      </c>
      <c r="K25" s="25">
        <f t="shared" si="1"/>
        <v>0</v>
      </c>
      <c r="L25" s="556"/>
      <c r="M25" s="556"/>
      <c r="N25" s="556"/>
      <c r="O25" s="556"/>
      <c r="P25" s="556"/>
      <c r="Q25" s="557"/>
    </row>
    <row r="26" spans="2:17" s="15" customFormat="1" ht="15.6">
      <c r="B26" s="553"/>
      <c r="C26" s="554" t="s">
        <v>63</v>
      </c>
      <c r="D26" s="554">
        <v>0</v>
      </c>
      <c r="E26" s="21" t="s">
        <v>56</v>
      </c>
      <c r="F26" s="22">
        <f t="shared" ref="F26" si="48">+D26*$D$6</f>
        <v>0</v>
      </c>
      <c r="G26" s="23"/>
      <c r="H26" s="24">
        <f t="shared" ref="H26" si="49">F26+G26</f>
        <v>0</v>
      </c>
      <c r="I26" s="17"/>
      <c r="J26" s="22">
        <f t="shared" si="0"/>
        <v>0</v>
      </c>
      <c r="K26" s="25">
        <v>0</v>
      </c>
      <c r="L26" s="556">
        <f>F26+F27</f>
        <v>0</v>
      </c>
      <c r="M26" s="556">
        <f>G26+G27</f>
        <v>0</v>
      </c>
      <c r="N26" s="556">
        <f t="shared" ref="N26" si="50">L26+M26</f>
        <v>0</v>
      </c>
      <c r="O26" s="556">
        <f>I26+I27</f>
        <v>0</v>
      </c>
      <c r="P26" s="556">
        <f t="shared" ref="P26" si="51">N26-O26</f>
        <v>0</v>
      </c>
      <c r="Q26" s="557">
        <v>0</v>
      </c>
    </row>
    <row r="27" spans="2:17" s="15" customFormat="1" ht="15.6">
      <c r="B27" s="553"/>
      <c r="C27" s="555"/>
      <c r="D27" s="555"/>
      <c r="E27" s="21" t="s">
        <v>41</v>
      </c>
      <c r="F27" s="22">
        <f t="shared" ref="F27" si="52">+D26*$D$8</f>
        <v>0</v>
      </c>
      <c r="G27" s="23"/>
      <c r="H27" s="24">
        <f t="shared" ref="H27" si="53">F27+G27+J26</f>
        <v>0</v>
      </c>
      <c r="I27" s="17"/>
      <c r="J27" s="22">
        <f t="shared" si="0"/>
        <v>0</v>
      </c>
      <c r="K27" s="25">
        <v>0</v>
      </c>
      <c r="L27" s="556"/>
      <c r="M27" s="556"/>
      <c r="N27" s="556"/>
      <c r="O27" s="556"/>
      <c r="P27" s="556"/>
      <c r="Q27" s="557"/>
    </row>
    <row r="28" spans="2:17" s="15" customFormat="1" ht="15.6">
      <c r="B28" s="553"/>
      <c r="C28" s="554" t="s">
        <v>64</v>
      </c>
      <c r="D28" s="554">
        <v>3.8000000000000002E-5</v>
      </c>
      <c r="E28" s="21" t="s">
        <v>56</v>
      </c>
      <c r="F28" s="22">
        <f t="shared" ref="F28" si="54">+D28*$D$6</f>
        <v>6.3308000000000003E-2</v>
      </c>
      <c r="G28" s="23"/>
      <c r="H28" s="24">
        <f t="shared" ref="H28" si="55">F28+G28</f>
        <v>6.3308000000000003E-2</v>
      </c>
      <c r="I28" s="17"/>
      <c r="J28" s="22">
        <f t="shared" si="0"/>
        <v>6.3308000000000003E-2</v>
      </c>
      <c r="K28" s="25">
        <f t="shared" si="1"/>
        <v>0</v>
      </c>
      <c r="L28" s="556">
        <f>F28+F29</f>
        <v>0.180842</v>
      </c>
      <c r="M28" s="556">
        <f t="shared" ref="M28" si="56">G28+G29</f>
        <v>0</v>
      </c>
      <c r="N28" s="556">
        <f t="shared" ref="N28" si="57">L28+M28</f>
        <v>0.180842</v>
      </c>
      <c r="O28" s="556">
        <f t="shared" ref="O28" si="58">I28+I29</f>
        <v>0</v>
      </c>
      <c r="P28" s="556">
        <f t="shared" ref="P28" si="59">N28-O28</f>
        <v>0.180842</v>
      </c>
      <c r="Q28" s="557">
        <f t="shared" si="33"/>
        <v>0</v>
      </c>
    </row>
    <row r="29" spans="2:17" s="15" customFormat="1" ht="15.6">
      <c r="B29" s="553"/>
      <c r="C29" s="555"/>
      <c r="D29" s="555"/>
      <c r="E29" s="21" t="s">
        <v>41</v>
      </c>
      <c r="F29" s="22">
        <f t="shared" ref="F29" si="60">+D28*$D$8</f>
        <v>0.117534</v>
      </c>
      <c r="G29" s="23"/>
      <c r="H29" s="24">
        <f t="shared" ref="H29" si="61">F29+G29+J28</f>
        <v>0.180842</v>
      </c>
      <c r="I29" s="17"/>
      <c r="J29" s="22">
        <f t="shared" si="0"/>
        <v>0.180842</v>
      </c>
      <c r="K29" s="25">
        <f t="shared" si="1"/>
        <v>0</v>
      </c>
      <c r="L29" s="556"/>
      <c r="M29" s="556"/>
      <c r="N29" s="556"/>
      <c r="O29" s="556"/>
      <c r="P29" s="556"/>
      <c r="Q29" s="557"/>
    </row>
    <row r="30" spans="2:17" s="15" customFormat="1" ht="15.6">
      <c r="B30" s="553"/>
      <c r="C30" s="554" t="s">
        <v>65</v>
      </c>
      <c r="D30" s="554">
        <v>4.7500000000000003E-5</v>
      </c>
      <c r="E30" s="21" t="s">
        <v>56</v>
      </c>
      <c r="F30" s="22">
        <f>+D30*$D$6</f>
        <v>7.9135000000000011E-2</v>
      </c>
      <c r="G30" s="23"/>
      <c r="H30" s="24">
        <f t="shared" ref="H30" si="62">F30+G30</f>
        <v>7.9135000000000011E-2</v>
      </c>
      <c r="I30" s="17"/>
      <c r="J30" s="22">
        <f t="shared" si="0"/>
        <v>7.9135000000000011E-2</v>
      </c>
      <c r="K30" s="25">
        <f t="shared" si="1"/>
        <v>0</v>
      </c>
      <c r="L30" s="556">
        <f t="shared" ref="L30:M30" si="63">F30+F31</f>
        <v>0.22605250000000002</v>
      </c>
      <c r="M30" s="556">
        <f t="shared" si="63"/>
        <v>0</v>
      </c>
      <c r="N30" s="556">
        <f t="shared" ref="N30" si="64">L30+M30</f>
        <v>0.22605250000000002</v>
      </c>
      <c r="O30" s="556">
        <f t="shared" ref="O30" si="65">I30+I31</f>
        <v>0</v>
      </c>
      <c r="P30" s="556">
        <f t="shared" ref="P30" si="66">N30-O30</f>
        <v>0.22605250000000002</v>
      </c>
      <c r="Q30" s="557">
        <f t="shared" si="33"/>
        <v>0</v>
      </c>
    </row>
    <row r="31" spans="2:17" s="15" customFormat="1" ht="15.6">
      <c r="B31" s="553"/>
      <c r="C31" s="555"/>
      <c r="D31" s="555"/>
      <c r="E31" s="21" t="s">
        <v>41</v>
      </c>
      <c r="F31" s="22">
        <f>+D30*$D$8</f>
        <v>0.14691750000000001</v>
      </c>
      <c r="G31" s="23"/>
      <c r="H31" s="24">
        <f t="shared" ref="H31" si="67">F31+G31+J30</f>
        <v>0.22605250000000002</v>
      </c>
      <c r="I31" s="17"/>
      <c r="J31" s="22">
        <f t="shared" si="0"/>
        <v>0.22605250000000002</v>
      </c>
      <c r="K31" s="25">
        <f t="shared" si="1"/>
        <v>0</v>
      </c>
      <c r="L31" s="556"/>
      <c r="M31" s="556"/>
      <c r="N31" s="556"/>
      <c r="O31" s="556"/>
      <c r="P31" s="556"/>
      <c r="Q31" s="557"/>
    </row>
    <row r="32" spans="2:17" s="15" customFormat="1" ht="15.6">
      <c r="B32" s="553"/>
      <c r="C32" s="554" t="s">
        <v>66</v>
      </c>
      <c r="D32" s="554">
        <v>1.4999999999999999E-2</v>
      </c>
      <c r="E32" s="21" t="s">
        <v>56</v>
      </c>
      <c r="F32" s="22">
        <f t="shared" ref="F32" si="68">+D32*$D$6</f>
        <v>24.99</v>
      </c>
      <c r="G32" s="23"/>
      <c r="H32" s="24">
        <f t="shared" ref="H32" si="69">F32+G32</f>
        <v>24.99</v>
      </c>
      <c r="I32" s="17"/>
      <c r="J32" s="22">
        <f t="shared" si="0"/>
        <v>24.99</v>
      </c>
      <c r="K32" s="25">
        <f t="shared" si="1"/>
        <v>0</v>
      </c>
      <c r="L32" s="556">
        <f>F32+F33</f>
        <v>71.384999999999991</v>
      </c>
      <c r="M32" s="556">
        <f>G32+G33</f>
        <v>0</v>
      </c>
      <c r="N32" s="556">
        <f t="shared" ref="N32" si="70">L32+M32</f>
        <v>71.384999999999991</v>
      </c>
      <c r="O32" s="556">
        <f>I32+I33</f>
        <v>0</v>
      </c>
      <c r="P32" s="556">
        <f t="shared" ref="P32" si="71">N32-O32</f>
        <v>71.384999999999991</v>
      </c>
      <c r="Q32" s="557">
        <f t="shared" si="33"/>
        <v>0</v>
      </c>
    </row>
    <row r="33" spans="2:18" s="15" customFormat="1" ht="15.6">
      <c r="B33" s="553"/>
      <c r="C33" s="555"/>
      <c r="D33" s="555"/>
      <c r="E33" s="21" t="s">
        <v>41</v>
      </c>
      <c r="F33" s="22">
        <f t="shared" ref="F33" si="72">+D32*$D$8</f>
        <v>46.394999999999996</v>
      </c>
      <c r="G33" s="23"/>
      <c r="H33" s="24">
        <f>F33+G33+J32</f>
        <v>71.384999999999991</v>
      </c>
      <c r="I33" s="17"/>
      <c r="J33" s="22">
        <f t="shared" si="0"/>
        <v>71.384999999999991</v>
      </c>
      <c r="K33" s="25">
        <f t="shared" si="1"/>
        <v>0</v>
      </c>
      <c r="L33" s="556"/>
      <c r="M33" s="556"/>
      <c r="N33" s="556"/>
      <c r="O33" s="556"/>
      <c r="P33" s="556"/>
      <c r="Q33" s="557"/>
    </row>
    <row r="34" spans="2:18" s="15" customFormat="1" ht="15.6">
      <c r="B34" s="558" t="s">
        <v>472</v>
      </c>
      <c r="C34" s="558"/>
      <c r="D34" s="558">
        <f>SUM(D12:D33)</f>
        <v>1.0000002000000001</v>
      </c>
      <c r="E34" s="21" t="s">
        <v>56</v>
      </c>
      <c r="F34" s="27">
        <f>+F12+F14+F16+F18+F20+F22+F24+F26+F28+F30+F32</f>
        <v>1666.0003332000001</v>
      </c>
      <c r="G34" s="27">
        <f>+G12+G14+G16+G18+G20+G22+G24+G26+G28+G30+G32</f>
        <v>4121.0149999999994</v>
      </c>
      <c r="H34" s="27">
        <f>F34+G34</f>
        <v>5787.0153331999991</v>
      </c>
      <c r="I34" s="27">
        <f>+I12+I14+I16+I18+I20+I22+I24+I26+I28+I30+I32</f>
        <v>492.16300000000007</v>
      </c>
      <c r="J34" s="27">
        <f>H34-I34</f>
        <v>5294.8523331999986</v>
      </c>
      <c r="K34" s="25">
        <f>(I34/H34)</f>
        <v>8.5046085358798013E-2</v>
      </c>
      <c r="L34" s="559">
        <f>F34+F35</f>
        <v>4759.0009518000006</v>
      </c>
      <c r="M34" s="560">
        <f>G34+G35</f>
        <v>4121.0149999999994</v>
      </c>
      <c r="N34" s="560">
        <f t="shared" ref="N34" si="73">L34+M34</f>
        <v>8880.0159518</v>
      </c>
      <c r="O34" s="560">
        <f>I34+I35</f>
        <v>492.16300000000007</v>
      </c>
      <c r="P34" s="560">
        <f>N34-O34</f>
        <v>8387.8529517999996</v>
      </c>
      <c r="Q34" s="560">
        <f t="shared" si="33"/>
        <v>5.5423661699643398E-2</v>
      </c>
    </row>
    <row r="35" spans="2:18" s="15" customFormat="1" ht="15.6">
      <c r="B35" s="558"/>
      <c r="C35" s="558"/>
      <c r="D35" s="558"/>
      <c r="E35" s="21" t="s">
        <v>41</v>
      </c>
      <c r="F35" s="27">
        <f>+F13+F15+F17+F19+F21+F23+F25+F27+F29+F31+F33</f>
        <v>3093.0006186000001</v>
      </c>
      <c r="G35" s="27">
        <f>+G13+G15+G17+G19+G21+G23+G25+G27+G29+G31+G33</f>
        <v>0</v>
      </c>
      <c r="H35" s="27">
        <f>F35+G35</f>
        <v>3093.0006186000001</v>
      </c>
      <c r="I35" s="27">
        <f>+I13+I15+I17+I19+I21+I23+I25+I27+I29+I31+I33</f>
        <v>0</v>
      </c>
      <c r="J35" s="27">
        <f>H35-I35</f>
        <v>3093.0006186000001</v>
      </c>
      <c r="K35" s="25">
        <f>(I35/H35)</f>
        <v>0</v>
      </c>
      <c r="L35" s="559"/>
      <c r="M35" s="560"/>
      <c r="N35" s="560"/>
      <c r="O35" s="560"/>
      <c r="P35" s="560"/>
      <c r="Q35" s="560"/>
    </row>
    <row r="36" spans="2:18" s="15" customFormat="1" ht="15.6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</row>
    <row r="37" spans="2:18" s="15" customFormat="1" ht="15.6">
      <c r="B37" s="560" t="s">
        <v>68</v>
      </c>
      <c r="C37" s="560"/>
      <c r="D37" s="560"/>
      <c r="E37" s="560"/>
      <c r="F37" s="30">
        <f>SUM(F12:F33)</f>
        <v>4759.0009518000006</v>
      </c>
      <c r="G37" s="30">
        <f>SUM(G12:G33)</f>
        <v>4121.0149999999994</v>
      </c>
      <c r="H37" s="30">
        <f>+F37+G37</f>
        <v>8880.0159518</v>
      </c>
      <c r="I37" s="12">
        <f>SUM(I12:I33)</f>
        <v>492.16300000000007</v>
      </c>
      <c r="J37" s="30">
        <f>H37-I37</f>
        <v>8387.8529517999996</v>
      </c>
      <c r="K37" s="31">
        <f t="shared" ref="K37" si="74">(I37/H37)</f>
        <v>5.5423661699643398E-2</v>
      </c>
      <c r="L37" s="32"/>
      <c r="M37" s="32"/>
      <c r="N37" s="32"/>
      <c r="O37" s="32"/>
      <c r="P37" s="32"/>
      <c r="Q37" s="32"/>
      <c r="R37" s="29"/>
    </row>
    <row r="38" spans="2:18" s="15" customFormat="1" ht="15.6">
      <c r="B38" s="33"/>
      <c r="C38" s="34"/>
      <c r="D38" s="35"/>
      <c r="E38" s="35"/>
      <c r="F38" s="35"/>
      <c r="G38" s="35"/>
      <c r="H38" s="35"/>
      <c r="I38" s="35"/>
      <c r="J38" s="36"/>
      <c r="K38" s="37"/>
      <c r="L38" s="32"/>
      <c r="M38" s="32"/>
      <c r="N38" s="32"/>
      <c r="O38" s="32"/>
      <c r="P38" s="32"/>
      <c r="Q38" s="32"/>
      <c r="R38" s="29"/>
    </row>
    <row r="39" spans="2:18" s="15" customFormat="1" ht="15.6">
      <c r="B39" s="33"/>
      <c r="C39" s="34"/>
      <c r="D39" s="35"/>
      <c r="E39" s="35"/>
      <c r="F39" s="35"/>
      <c r="G39" s="35"/>
      <c r="H39" s="35"/>
      <c r="I39" s="35"/>
      <c r="J39" s="36"/>
      <c r="K39" s="37"/>
      <c r="L39" s="32"/>
      <c r="M39" s="32"/>
      <c r="N39" s="32"/>
      <c r="O39" s="32"/>
      <c r="P39" s="32"/>
      <c r="Q39" s="32"/>
      <c r="R39" s="29"/>
    </row>
    <row r="40" spans="2:18" s="15" customFormat="1" ht="31.2">
      <c r="B40" s="12" t="s">
        <v>35</v>
      </c>
      <c r="C40" s="12" t="s">
        <v>36</v>
      </c>
      <c r="D40" s="13" t="s">
        <v>3</v>
      </c>
      <c r="E40" s="35"/>
      <c r="F40" s="35"/>
      <c r="G40" s="35"/>
      <c r="H40" s="35"/>
      <c r="I40" s="35"/>
      <c r="J40" s="36"/>
      <c r="K40" s="37"/>
      <c r="L40" s="32"/>
      <c r="M40" s="32"/>
      <c r="N40" s="32"/>
      <c r="O40" s="32"/>
      <c r="P40" s="32"/>
      <c r="Q40" s="32"/>
      <c r="R40" s="29"/>
    </row>
    <row r="41" spans="2:18" s="15" customFormat="1" ht="15.6">
      <c r="B41" s="561" t="s">
        <v>69</v>
      </c>
      <c r="C41" s="17" t="s">
        <v>38</v>
      </c>
      <c r="D41" s="18">
        <v>1065</v>
      </c>
      <c r="E41" s="35"/>
      <c r="F41" s="35"/>
      <c r="G41" s="35"/>
      <c r="H41" s="35"/>
      <c r="I41" s="35"/>
      <c r="J41" s="36"/>
      <c r="K41" s="37"/>
      <c r="L41" s="32"/>
      <c r="M41" s="32"/>
      <c r="N41" s="32"/>
      <c r="O41" s="32"/>
      <c r="P41" s="32"/>
      <c r="Q41" s="32"/>
      <c r="R41" s="29"/>
    </row>
    <row r="42" spans="2:18" s="15" customFormat="1" ht="15.6">
      <c r="B42" s="561"/>
      <c r="C42" s="17" t="s">
        <v>39</v>
      </c>
      <c r="D42" s="18" t="s">
        <v>40</v>
      </c>
      <c r="E42" s="35"/>
      <c r="F42" s="35"/>
      <c r="G42" s="35"/>
      <c r="H42" s="35"/>
      <c r="I42" s="35"/>
      <c r="J42" s="36"/>
      <c r="K42" s="37"/>
      <c r="L42" s="35"/>
      <c r="M42" s="35"/>
      <c r="N42" s="35"/>
      <c r="O42" s="35"/>
      <c r="P42" s="35"/>
      <c r="Q42" s="37"/>
    </row>
    <row r="43" spans="2:18" s="9" customFormat="1" ht="15.6">
      <c r="B43" s="561"/>
      <c r="C43" s="17" t="s">
        <v>41</v>
      </c>
      <c r="D43" s="18">
        <v>1978</v>
      </c>
      <c r="E43" s="35"/>
      <c r="F43" s="38"/>
      <c r="G43" s="38"/>
      <c r="H43" s="38"/>
      <c r="I43" s="38"/>
      <c r="J43" s="39"/>
      <c r="K43" s="40"/>
      <c r="L43" s="38"/>
      <c r="M43" s="38"/>
      <c r="N43" s="38"/>
      <c r="O43" s="38"/>
      <c r="P43" s="38"/>
      <c r="Q43" s="40"/>
    </row>
    <row r="44" spans="2:18" s="9" customFormat="1" ht="15.6">
      <c r="B44" s="561"/>
      <c r="C44" s="12" t="s">
        <v>42</v>
      </c>
      <c r="D44" s="19">
        <f>SUM(D41:D43)</f>
        <v>3043</v>
      </c>
      <c r="E44" s="35"/>
      <c r="F44" s="38"/>
      <c r="G44" s="38"/>
      <c r="H44" s="38"/>
      <c r="I44" s="38"/>
      <c r="J44" s="39"/>
      <c r="K44" s="40"/>
      <c r="L44" s="38"/>
      <c r="M44" s="38"/>
      <c r="N44" s="38"/>
      <c r="O44" s="38"/>
      <c r="P44" s="38"/>
      <c r="Q44" s="40"/>
    </row>
    <row r="45" spans="2:18" s="9" customFormat="1" ht="15.6">
      <c r="B45" s="41"/>
      <c r="C45" s="42"/>
      <c r="D45" s="38"/>
      <c r="E45" s="35"/>
      <c r="F45" s="38"/>
      <c r="G45" s="38"/>
      <c r="H45" s="38"/>
      <c r="I45" s="38"/>
      <c r="J45" s="39"/>
      <c r="K45" s="40"/>
      <c r="L45" s="38"/>
      <c r="M45" s="38"/>
      <c r="N45" s="38"/>
      <c r="O45" s="38"/>
      <c r="P45" s="38"/>
      <c r="Q45" s="40"/>
    </row>
    <row r="46" spans="2:18" s="9" customFormat="1" ht="15.6">
      <c r="B46" s="41"/>
      <c r="C46" s="42"/>
      <c r="D46" s="43"/>
      <c r="E46" s="35"/>
      <c r="F46" s="38"/>
      <c r="G46" s="38"/>
      <c r="H46" s="38"/>
      <c r="I46" s="38"/>
      <c r="J46" s="39"/>
      <c r="K46" s="40"/>
      <c r="L46" s="38"/>
      <c r="M46" s="38"/>
      <c r="N46" s="38"/>
      <c r="O46" s="38"/>
      <c r="P46" s="38"/>
      <c r="Q46" s="40"/>
    </row>
    <row r="47" spans="2:18" s="9" customFormat="1" ht="31.2">
      <c r="B47" s="12" t="s">
        <v>43</v>
      </c>
      <c r="C47" s="12" t="s">
        <v>44</v>
      </c>
      <c r="D47" s="12" t="s">
        <v>45</v>
      </c>
      <c r="E47" s="44" t="s">
        <v>36</v>
      </c>
      <c r="F47" s="44" t="s">
        <v>46</v>
      </c>
      <c r="G47" s="44" t="s">
        <v>4</v>
      </c>
      <c r="H47" s="44" t="s">
        <v>47</v>
      </c>
      <c r="I47" s="44" t="s">
        <v>6</v>
      </c>
      <c r="J47" s="44" t="s">
        <v>48</v>
      </c>
      <c r="K47" s="44" t="s">
        <v>49</v>
      </c>
      <c r="L47" s="45" t="s">
        <v>50</v>
      </c>
      <c r="M47" s="45" t="s">
        <v>4</v>
      </c>
      <c r="N47" s="45" t="s">
        <v>5</v>
      </c>
      <c r="O47" s="45" t="s">
        <v>51</v>
      </c>
      <c r="P47" s="45" t="s">
        <v>52</v>
      </c>
      <c r="Q47" s="45" t="s">
        <v>53</v>
      </c>
    </row>
    <row r="48" spans="2:18" s="9" customFormat="1" ht="15.6">
      <c r="B48" s="554" t="s">
        <v>70</v>
      </c>
      <c r="C48" s="554" t="s">
        <v>55</v>
      </c>
      <c r="D48" s="554">
        <v>0.33231160000000004</v>
      </c>
      <c r="E48" s="21" t="s">
        <v>56</v>
      </c>
      <c r="F48" s="46">
        <f>+D48*$D$41</f>
        <v>353.91185400000006</v>
      </c>
      <c r="G48" s="47"/>
      <c r="H48" s="47">
        <f>F48+G48</f>
        <v>353.91185400000006</v>
      </c>
      <c r="I48" s="47"/>
      <c r="J48" s="47">
        <f>H48-I48</f>
        <v>353.91185400000006</v>
      </c>
      <c r="K48" s="48">
        <f>I48/H48</f>
        <v>0</v>
      </c>
      <c r="L48" s="563">
        <f>F48+F49</f>
        <v>1011.2241988000002</v>
      </c>
      <c r="M48" s="563">
        <f>G48+G49</f>
        <v>0</v>
      </c>
      <c r="N48" s="563">
        <f>L48+M48</f>
        <v>1011.2241988000002</v>
      </c>
      <c r="O48" s="563">
        <f>I48+I49</f>
        <v>0</v>
      </c>
      <c r="P48" s="564">
        <f>N48-O48</f>
        <v>1011.2241988000002</v>
      </c>
      <c r="Q48" s="565">
        <f>O48/N48</f>
        <v>0</v>
      </c>
    </row>
    <row r="49" spans="2:18" s="9" customFormat="1" ht="15.6">
      <c r="B49" s="562"/>
      <c r="C49" s="555"/>
      <c r="D49" s="555"/>
      <c r="E49" s="21" t="s">
        <v>41</v>
      </c>
      <c r="F49" s="46">
        <f>+D48*$D$43</f>
        <v>657.31234480000012</v>
      </c>
      <c r="G49" s="47"/>
      <c r="H49" s="47">
        <f>F49+G49+J48</f>
        <v>1011.2241988000002</v>
      </c>
      <c r="I49" s="47"/>
      <c r="J49" s="47">
        <f t="shared" ref="J49:J59" si="75">H49-I49</f>
        <v>1011.2241988000002</v>
      </c>
      <c r="K49" s="48">
        <f>I49/H49</f>
        <v>0</v>
      </c>
      <c r="L49" s="563"/>
      <c r="M49" s="563"/>
      <c r="N49" s="563"/>
      <c r="O49" s="563"/>
      <c r="P49" s="564"/>
      <c r="Q49" s="565"/>
    </row>
    <row r="50" spans="2:18" s="9" customFormat="1" ht="15.6">
      <c r="B50" s="562"/>
      <c r="C50" s="554" t="s">
        <v>57</v>
      </c>
      <c r="D50" s="554">
        <v>5.3330000000000001E-4</v>
      </c>
      <c r="E50" s="21" t="s">
        <v>56</v>
      </c>
      <c r="F50" s="46">
        <f t="shared" ref="F50" si="76">+D50*$D$41</f>
        <v>0.56796449999999998</v>
      </c>
      <c r="G50" s="47"/>
      <c r="H50" s="47">
        <f>F50+G50</f>
        <v>0.56796449999999998</v>
      </c>
      <c r="I50" s="47"/>
      <c r="J50" s="47">
        <f t="shared" si="75"/>
        <v>0.56796449999999998</v>
      </c>
      <c r="K50" s="48">
        <f t="shared" ref="K50:K59" si="77">I50/H50</f>
        <v>0</v>
      </c>
      <c r="L50" s="563">
        <f>F50+F51</f>
        <v>1.6228319</v>
      </c>
      <c r="M50" s="563">
        <f t="shared" ref="M50" si="78">G50+G51</f>
        <v>0</v>
      </c>
      <c r="N50" s="563">
        <f t="shared" ref="N50" si="79">L50+M50</f>
        <v>1.6228319</v>
      </c>
      <c r="O50" s="563">
        <f t="shared" ref="O50" si="80">I50+I51</f>
        <v>0</v>
      </c>
      <c r="P50" s="564">
        <f t="shared" ref="P50" si="81">N50-O50</f>
        <v>1.6228319</v>
      </c>
      <c r="Q50" s="565">
        <f t="shared" ref="Q50" si="82">O50/N50</f>
        <v>0</v>
      </c>
    </row>
    <row r="51" spans="2:18" s="9" customFormat="1" ht="15.6">
      <c r="B51" s="562"/>
      <c r="C51" s="555"/>
      <c r="D51" s="555"/>
      <c r="E51" s="21" t="s">
        <v>41</v>
      </c>
      <c r="F51" s="46">
        <f t="shared" ref="F51" si="83">+D50*$D$43</f>
        <v>1.0548674</v>
      </c>
      <c r="G51" s="47"/>
      <c r="H51" s="47">
        <f>F51+G51+J50</f>
        <v>1.6228319</v>
      </c>
      <c r="I51" s="47"/>
      <c r="J51" s="47">
        <f t="shared" si="75"/>
        <v>1.6228319</v>
      </c>
      <c r="K51" s="48">
        <f t="shared" si="77"/>
        <v>0</v>
      </c>
      <c r="L51" s="563"/>
      <c r="M51" s="563"/>
      <c r="N51" s="563"/>
      <c r="O51" s="563"/>
      <c r="P51" s="564"/>
      <c r="Q51" s="565"/>
    </row>
    <row r="52" spans="2:18" s="9" customFormat="1" ht="15.6">
      <c r="B52" s="562"/>
      <c r="C52" s="554" t="s">
        <v>58</v>
      </c>
      <c r="D52" s="554">
        <v>7.6574600000000007E-2</v>
      </c>
      <c r="E52" s="21" t="s">
        <v>56</v>
      </c>
      <c r="F52" s="46">
        <f t="shared" ref="F52" si="84">+D52*$D$41</f>
        <v>81.551949000000008</v>
      </c>
      <c r="G52" s="47"/>
      <c r="H52" s="47">
        <f>F52+G52</f>
        <v>81.551949000000008</v>
      </c>
      <c r="I52" s="47"/>
      <c r="J52" s="47">
        <f t="shared" si="75"/>
        <v>81.551949000000008</v>
      </c>
      <c r="K52" s="48">
        <f t="shared" si="77"/>
        <v>0</v>
      </c>
      <c r="L52" s="563">
        <f>F52+F53</f>
        <v>233.01650780000003</v>
      </c>
      <c r="M52" s="563">
        <f t="shared" ref="M52" si="85">G52+G53</f>
        <v>0</v>
      </c>
      <c r="N52" s="563">
        <f t="shared" ref="N52" si="86">L52+M52</f>
        <v>233.01650780000003</v>
      </c>
      <c r="O52" s="563">
        <f t="shared" ref="O52" si="87">I52+I53</f>
        <v>0</v>
      </c>
      <c r="P52" s="564">
        <f t="shared" ref="P52" si="88">N52-O52</f>
        <v>233.01650780000003</v>
      </c>
      <c r="Q52" s="565">
        <f t="shared" ref="Q52" si="89">O52/N52</f>
        <v>0</v>
      </c>
    </row>
    <row r="53" spans="2:18" s="9" customFormat="1" ht="15.6">
      <c r="B53" s="562"/>
      <c r="C53" s="555"/>
      <c r="D53" s="555"/>
      <c r="E53" s="21" t="s">
        <v>41</v>
      </c>
      <c r="F53" s="46">
        <f t="shared" ref="F53" si="90">+D52*$D$43</f>
        <v>151.46455880000002</v>
      </c>
      <c r="G53" s="47"/>
      <c r="H53" s="47">
        <f>F53+G53+J52</f>
        <v>233.01650780000003</v>
      </c>
      <c r="I53" s="47"/>
      <c r="J53" s="47">
        <f t="shared" si="75"/>
        <v>233.01650780000003</v>
      </c>
      <c r="K53" s="48">
        <f t="shared" si="77"/>
        <v>0</v>
      </c>
      <c r="L53" s="563"/>
      <c r="M53" s="563"/>
      <c r="N53" s="563"/>
      <c r="O53" s="563"/>
      <c r="P53" s="564"/>
      <c r="Q53" s="565"/>
    </row>
    <row r="54" spans="2:18" s="9" customFormat="1" ht="15.6">
      <c r="B54" s="562"/>
      <c r="C54" s="554" t="s">
        <v>59</v>
      </c>
      <c r="D54" s="554">
        <v>3.9747999999999997E-3</v>
      </c>
      <c r="E54" s="21" t="s">
        <v>56</v>
      </c>
      <c r="F54" s="46">
        <f t="shared" ref="F54" si="91">+D54*$D$41</f>
        <v>4.2331620000000001</v>
      </c>
      <c r="G54" s="47"/>
      <c r="H54" s="47">
        <f t="shared" ref="H54" si="92">F54+G54</f>
        <v>4.2331620000000001</v>
      </c>
      <c r="I54" s="47"/>
      <c r="J54" s="47">
        <f t="shared" si="75"/>
        <v>4.2331620000000001</v>
      </c>
      <c r="K54" s="48">
        <f t="shared" si="77"/>
        <v>0</v>
      </c>
      <c r="L54" s="563">
        <f>F54+F55</f>
        <v>12.0953164</v>
      </c>
      <c r="M54" s="563">
        <f t="shared" ref="M54" si="93">G54+G55</f>
        <v>0</v>
      </c>
      <c r="N54" s="563">
        <f t="shared" ref="N54" si="94">L54+M54</f>
        <v>12.0953164</v>
      </c>
      <c r="O54" s="563">
        <f t="shared" ref="O54" si="95">I54+I55</f>
        <v>0</v>
      </c>
      <c r="P54" s="564">
        <f t="shared" ref="P54" si="96">N54-O54</f>
        <v>12.0953164</v>
      </c>
      <c r="Q54" s="565">
        <f t="shared" ref="Q54" si="97">O54/N54</f>
        <v>0</v>
      </c>
    </row>
    <row r="55" spans="2:18" s="9" customFormat="1" ht="15.6">
      <c r="B55" s="562"/>
      <c r="C55" s="555"/>
      <c r="D55" s="555"/>
      <c r="E55" s="21" t="s">
        <v>41</v>
      </c>
      <c r="F55" s="46">
        <f t="shared" ref="F55" si="98">+D54*$D$43</f>
        <v>7.8621543999999997</v>
      </c>
      <c r="G55" s="47"/>
      <c r="H55" s="47">
        <f t="shared" ref="H55" si="99">F55+G55+J54</f>
        <v>12.0953164</v>
      </c>
      <c r="I55" s="47"/>
      <c r="J55" s="47">
        <f t="shared" si="75"/>
        <v>12.0953164</v>
      </c>
      <c r="K55" s="48">
        <f t="shared" si="77"/>
        <v>0</v>
      </c>
      <c r="L55" s="563"/>
      <c r="M55" s="563"/>
      <c r="N55" s="563"/>
      <c r="O55" s="563"/>
      <c r="P55" s="564"/>
      <c r="Q55" s="565"/>
    </row>
    <row r="56" spans="2:18" s="9" customFormat="1" ht="15.6">
      <c r="B56" s="562"/>
      <c r="C56" s="554" t="s">
        <v>60</v>
      </c>
      <c r="D56" s="554">
        <v>0.57160580000000005</v>
      </c>
      <c r="E56" s="21" t="s">
        <v>56</v>
      </c>
      <c r="F56" s="46">
        <f t="shared" ref="F56" si="100">+D56*$D$41</f>
        <v>608.76017700000011</v>
      </c>
      <c r="G56" s="47"/>
      <c r="H56" s="47">
        <f t="shared" ref="H56" si="101">F56+G56</f>
        <v>608.76017700000011</v>
      </c>
      <c r="I56" s="47">
        <f>+E72</f>
        <v>4.9000000000000002E-2</v>
      </c>
      <c r="J56" s="47">
        <f t="shared" si="75"/>
        <v>608.71117700000013</v>
      </c>
      <c r="K56" s="48">
        <f t="shared" si="77"/>
        <v>8.049146749623866E-5</v>
      </c>
      <c r="L56" s="563">
        <f>F56+F57</f>
        <v>1739.3964494000002</v>
      </c>
      <c r="M56" s="563">
        <f t="shared" ref="M56" si="102">G56+G57</f>
        <v>0</v>
      </c>
      <c r="N56" s="563">
        <f t="shared" ref="N56" si="103">L56+M56</f>
        <v>1739.3964494000002</v>
      </c>
      <c r="O56" s="563">
        <f t="shared" ref="O56" si="104">I56+I57</f>
        <v>4.9000000000000002E-2</v>
      </c>
      <c r="P56" s="564">
        <f t="shared" ref="P56" si="105">N56-O56</f>
        <v>1739.3474494000002</v>
      </c>
      <c r="Q56" s="565">
        <f t="shared" ref="Q56" si="106">O56/N56</f>
        <v>2.8170691056028319E-5</v>
      </c>
    </row>
    <row r="57" spans="2:18" s="9" customFormat="1" ht="15.6">
      <c r="B57" s="562"/>
      <c r="C57" s="555"/>
      <c r="D57" s="555"/>
      <c r="E57" s="21" t="s">
        <v>41</v>
      </c>
      <c r="F57" s="46">
        <f t="shared" ref="F57" si="107">+D56*$D$43</f>
        <v>1130.6362724000001</v>
      </c>
      <c r="G57" s="47"/>
      <c r="H57" s="47">
        <f t="shared" ref="H57" si="108">F57+G57+J56</f>
        <v>1739.3474494000002</v>
      </c>
      <c r="I57" s="47"/>
      <c r="J57" s="47">
        <f t="shared" si="75"/>
        <v>1739.3474494000002</v>
      </c>
      <c r="K57" s="48">
        <f t="shared" si="77"/>
        <v>0</v>
      </c>
      <c r="L57" s="563"/>
      <c r="M57" s="563"/>
      <c r="N57" s="563"/>
      <c r="O57" s="563"/>
      <c r="P57" s="564"/>
      <c r="Q57" s="565"/>
    </row>
    <row r="58" spans="2:18" s="9" customFormat="1" ht="15.6">
      <c r="B58" s="562"/>
      <c r="C58" s="554" t="s">
        <v>71</v>
      </c>
      <c r="D58" s="554">
        <v>1.4999999999999999E-2</v>
      </c>
      <c r="E58" s="21" t="s">
        <v>56</v>
      </c>
      <c r="F58" s="46">
        <f t="shared" ref="F58" si="109">+D58*$D$41</f>
        <v>15.975</v>
      </c>
      <c r="G58" s="47"/>
      <c r="H58" s="47">
        <f t="shared" ref="H58" si="110">F58+G58</f>
        <v>15.975</v>
      </c>
      <c r="I58" s="47"/>
      <c r="J58" s="47">
        <f t="shared" si="75"/>
        <v>15.975</v>
      </c>
      <c r="K58" s="48">
        <f t="shared" si="77"/>
        <v>0</v>
      </c>
      <c r="L58" s="563">
        <f>F58+F59</f>
        <v>45.644999999999996</v>
      </c>
      <c r="M58" s="563">
        <f t="shared" ref="M58" si="111">G58+G59</f>
        <v>0</v>
      </c>
      <c r="N58" s="563">
        <f t="shared" ref="N58" si="112">L58+M58</f>
        <v>45.644999999999996</v>
      </c>
      <c r="O58" s="563">
        <f t="shared" ref="O58" si="113">I58+I59</f>
        <v>0</v>
      </c>
      <c r="P58" s="564">
        <f t="shared" ref="P58" si="114">N58-O58</f>
        <v>45.644999999999996</v>
      </c>
      <c r="Q58" s="565">
        <f t="shared" ref="Q58" si="115">O58/N58</f>
        <v>0</v>
      </c>
    </row>
    <row r="59" spans="2:18" s="9" customFormat="1" ht="15.6">
      <c r="B59" s="555"/>
      <c r="C59" s="555"/>
      <c r="D59" s="555"/>
      <c r="E59" s="21" t="s">
        <v>41</v>
      </c>
      <c r="F59" s="46">
        <f t="shared" ref="F59" si="116">+D58*$D$43</f>
        <v>29.669999999999998</v>
      </c>
      <c r="G59" s="47"/>
      <c r="H59" s="47">
        <f t="shared" ref="H59" si="117">F59+G59+J58</f>
        <v>45.644999999999996</v>
      </c>
      <c r="I59" s="47"/>
      <c r="J59" s="47">
        <f t="shared" si="75"/>
        <v>45.644999999999996</v>
      </c>
      <c r="K59" s="48">
        <f t="shared" si="77"/>
        <v>0</v>
      </c>
      <c r="L59" s="563"/>
      <c r="M59" s="563"/>
      <c r="N59" s="563"/>
      <c r="O59" s="563"/>
      <c r="P59" s="564"/>
      <c r="Q59" s="565"/>
    </row>
    <row r="60" spans="2:18" s="15" customFormat="1" ht="15.6">
      <c r="B60" s="558" t="s">
        <v>472</v>
      </c>
      <c r="C60" s="558"/>
      <c r="D60" s="558">
        <f>SUM(D38:D59)</f>
        <v>6087.0000000999999</v>
      </c>
      <c r="E60" s="21" t="s">
        <v>56</v>
      </c>
      <c r="F60" s="27">
        <f>F48+F50+F52+F54+F56+F58</f>
        <v>1065.0001065000001</v>
      </c>
      <c r="G60" s="27">
        <f>G48+G50+G52+G54+G56+G58</f>
        <v>0</v>
      </c>
      <c r="H60" s="27">
        <f>F60+G60</f>
        <v>1065.0001065000001</v>
      </c>
      <c r="I60" s="27">
        <f>I48+I50+I52+I54+I56+I58</f>
        <v>4.9000000000000002E-2</v>
      </c>
      <c r="J60" s="27">
        <f>H60-I60</f>
        <v>1064.9511065000002</v>
      </c>
      <c r="K60" s="25">
        <f>(I60/H60)</f>
        <v>4.6009385070422989E-5</v>
      </c>
      <c r="L60" s="559">
        <f>F60+F61</f>
        <v>3043.0003043000006</v>
      </c>
      <c r="M60" s="560">
        <f>G60+G61</f>
        <v>0</v>
      </c>
      <c r="N60" s="560">
        <f t="shared" ref="N60" si="118">L60+M60</f>
        <v>3043.0003043000006</v>
      </c>
      <c r="O60" s="560">
        <f>I60+I61</f>
        <v>4.9000000000000002E-2</v>
      </c>
      <c r="P60" s="560">
        <f>N60-O60</f>
        <v>3042.9513043000006</v>
      </c>
      <c r="Q60" s="560">
        <f t="shared" ref="Q60" si="119">O60/N60</f>
        <v>1.6102528787381032E-5</v>
      </c>
    </row>
    <row r="61" spans="2:18" s="15" customFormat="1" ht="15.6">
      <c r="B61" s="558"/>
      <c r="C61" s="558"/>
      <c r="D61" s="558"/>
      <c r="E61" s="21" t="s">
        <v>41</v>
      </c>
      <c r="F61" s="27">
        <f>F49+F51+F53+F55+F57+F59</f>
        <v>1978.0001978000003</v>
      </c>
      <c r="G61" s="27">
        <f>G49+G51+G53+G55+G57+G59</f>
        <v>0</v>
      </c>
      <c r="H61" s="27">
        <f>F61+G61</f>
        <v>1978.0001978000003</v>
      </c>
      <c r="I61" s="27">
        <f>I49+I51+I53+I55+I57+I59</f>
        <v>0</v>
      </c>
      <c r="J61" s="27">
        <f>H61-I61</f>
        <v>1978.0001978000003</v>
      </c>
      <c r="K61" s="25">
        <f>(I61/H61)</f>
        <v>0</v>
      </c>
      <c r="L61" s="559"/>
      <c r="M61" s="560"/>
      <c r="N61" s="560"/>
      <c r="O61" s="560"/>
      <c r="P61" s="560"/>
      <c r="Q61" s="560"/>
    </row>
    <row r="62" spans="2:18" ht="15" thickBot="1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2:18" s="15" customFormat="1" ht="16.2" thickBot="1">
      <c r="B63" s="566" t="s">
        <v>68</v>
      </c>
      <c r="C63" s="567"/>
      <c r="D63" s="567"/>
      <c r="E63" s="568"/>
      <c r="F63" s="50">
        <f>SUM(F48:F59)</f>
        <v>3043.0003043000002</v>
      </c>
      <c r="G63" s="50">
        <f>SUM(G48:G59)</f>
        <v>0</v>
      </c>
      <c r="H63" s="50">
        <f>+F63+G63</f>
        <v>3043.0003043000002</v>
      </c>
      <c r="I63" s="51">
        <f>SUM(I48:I59)</f>
        <v>4.9000000000000002E-2</v>
      </c>
      <c r="J63" s="50">
        <f>H63-I63</f>
        <v>3042.9513043000002</v>
      </c>
      <c r="K63" s="52">
        <f>(I63/H63)</f>
        <v>1.6102528787381035E-5</v>
      </c>
      <c r="L63" s="49"/>
      <c r="M63" s="49"/>
      <c r="N63" s="49"/>
      <c r="O63" s="49"/>
      <c r="P63" s="49"/>
      <c r="Q63" s="49"/>
      <c r="R63" s="29"/>
    </row>
    <row r="64" spans="2:18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</row>
    <row r="65" spans="2:17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</row>
    <row r="66" spans="2:17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</row>
    <row r="67" spans="2:17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</row>
    <row r="68" spans="2:17">
      <c r="B68" s="1111" t="s">
        <v>417</v>
      </c>
      <c r="C68" s="1112"/>
      <c r="D68" s="1112"/>
      <c r="E68" s="1112"/>
      <c r="F68" s="1113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</row>
    <row r="69" spans="2:17">
      <c r="B69" s="1114" t="s">
        <v>472</v>
      </c>
      <c r="C69" s="1114"/>
      <c r="D69" s="1106"/>
      <c r="E69" s="1103"/>
      <c r="F69" s="110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</row>
    <row r="70" spans="2:17">
      <c r="B70" s="1114"/>
      <c r="C70" s="1114"/>
      <c r="D70" s="1109" t="s">
        <v>418</v>
      </c>
      <c r="E70" s="1110" t="s">
        <v>419</v>
      </c>
      <c r="F70" s="1109" t="s">
        <v>420</v>
      </c>
      <c r="G70" s="49"/>
      <c r="H70" s="49"/>
      <c r="J70" s="49"/>
      <c r="K70" s="49"/>
      <c r="L70" s="49"/>
      <c r="M70" s="49"/>
      <c r="N70" s="49"/>
      <c r="O70" s="49"/>
      <c r="P70" s="49"/>
      <c r="Q70" s="49"/>
    </row>
    <row r="71" spans="2:17">
      <c r="B71" s="1115"/>
      <c r="C71" s="1116">
        <v>0</v>
      </c>
      <c r="D71" s="1107"/>
      <c r="E71" s="1104"/>
      <c r="F71" s="1107">
        <v>0</v>
      </c>
      <c r="G71" s="49"/>
      <c r="H71" s="49"/>
      <c r="J71" s="49"/>
      <c r="K71" s="49"/>
      <c r="L71" s="49"/>
      <c r="M71" s="49"/>
      <c r="N71" s="49"/>
      <c r="O71" s="49"/>
      <c r="P71" s="49"/>
      <c r="Q71" s="49"/>
    </row>
    <row r="72" spans="2:17">
      <c r="B72" s="1115" t="s">
        <v>60</v>
      </c>
      <c r="C72" s="1116"/>
      <c r="D72" s="1107">
        <v>4.5999999999999999E-2</v>
      </c>
      <c r="E72" s="1104">
        <v>4.9000000000000002E-2</v>
      </c>
      <c r="F72" s="1107">
        <v>9.5000000000000001E-2</v>
      </c>
      <c r="G72" s="49"/>
      <c r="H72" s="49"/>
      <c r="J72" s="49"/>
      <c r="K72" s="49"/>
      <c r="L72" s="49"/>
      <c r="M72" s="49"/>
      <c r="N72" s="49"/>
      <c r="O72" s="49"/>
      <c r="P72" s="49"/>
      <c r="Q72" s="49"/>
    </row>
    <row r="73" spans="2:17">
      <c r="B73" s="1115" t="s">
        <v>72</v>
      </c>
      <c r="C73" s="1116"/>
      <c r="D73" s="1107">
        <v>245.97200000000004</v>
      </c>
      <c r="E73" s="1104"/>
      <c r="F73" s="1107">
        <v>245.97200000000004</v>
      </c>
      <c r="G73" s="49"/>
      <c r="H73" s="49"/>
      <c r="J73" s="49"/>
      <c r="K73" s="49"/>
      <c r="L73" s="49"/>
      <c r="M73" s="49"/>
      <c r="N73" s="49"/>
      <c r="O73" s="49"/>
      <c r="P73" s="49"/>
      <c r="Q73" s="49"/>
    </row>
    <row r="74" spans="2:17">
      <c r="B74" s="1115" t="s">
        <v>73</v>
      </c>
      <c r="C74" s="1116"/>
      <c r="D74" s="1107">
        <v>246.14500000000004</v>
      </c>
      <c r="E74" s="1104"/>
      <c r="F74" s="1107">
        <v>246.14500000000004</v>
      </c>
      <c r="G74" s="49"/>
      <c r="H74" s="49"/>
      <c r="J74" s="49"/>
      <c r="K74" s="49"/>
      <c r="L74" s="49"/>
      <c r="M74" s="49"/>
      <c r="N74" s="49"/>
      <c r="O74" s="49"/>
      <c r="P74" s="49"/>
      <c r="Q74" s="49"/>
    </row>
    <row r="75" spans="2:17">
      <c r="B75" s="1115" t="s">
        <v>471</v>
      </c>
      <c r="C75" s="1116">
        <v>3.6999999999999998E-2</v>
      </c>
      <c r="D75" s="1107"/>
      <c r="E75" s="1104"/>
      <c r="F75" s="1107">
        <v>3.6999999999999998E-2</v>
      </c>
      <c r="G75" s="49"/>
      <c r="H75" s="49"/>
      <c r="J75" s="49"/>
      <c r="K75" s="49"/>
      <c r="L75" s="49"/>
      <c r="M75" s="49"/>
      <c r="N75" s="49"/>
      <c r="O75" s="49"/>
      <c r="P75" s="49"/>
      <c r="Q75" s="49"/>
    </row>
    <row r="76" spans="2:17">
      <c r="B76" s="1117" t="s">
        <v>420</v>
      </c>
      <c r="C76" s="1118">
        <v>3.6999999999999998E-2</v>
      </c>
      <c r="D76" s="1108">
        <v>492.16300000000007</v>
      </c>
      <c r="E76" s="1105">
        <v>4.9000000000000002E-2</v>
      </c>
      <c r="F76" s="1108">
        <v>492.24900000000008</v>
      </c>
      <c r="G76" s="49"/>
      <c r="H76" s="49"/>
      <c r="J76" s="49"/>
      <c r="K76" s="49"/>
      <c r="L76" s="49"/>
      <c r="M76" s="49"/>
      <c r="N76" s="49"/>
      <c r="O76" s="49"/>
      <c r="P76" s="49"/>
      <c r="Q76" s="49"/>
    </row>
    <row r="77" spans="2:17">
      <c r="B77" s="49"/>
      <c r="C77" s="49"/>
      <c r="D77" s="49"/>
      <c r="E77" s="49"/>
      <c r="F77" s="49"/>
      <c r="G77" s="49"/>
      <c r="H77" s="49"/>
      <c r="J77" s="49"/>
      <c r="K77" s="49"/>
      <c r="L77" s="49"/>
      <c r="M77" s="49"/>
      <c r="N77" s="49"/>
      <c r="O77" s="49"/>
      <c r="P77" s="49"/>
      <c r="Q77" s="49"/>
    </row>
    <row r="78" spans="2:17">
      <c r="B78" s="49"/>
      <c r="C78" s="49"/>
      <c r="D78" s="49"/>
      <c r="E78" s="49"/>
      <c r="F78" s="49"/>
      <c r="G78" s="1119">
        <v>305.55599999999998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</row>
    <row r="79" spans="2:17">
      <c r="B79" s="49"/>
      <c r="C79" s="49"/>
      <c r="D79" s="49"/>
      <c r="E79" s="49"/>
      <c r="F79" s="49"/>
      <c r="G79" s="1119">
        <v>106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</row>
    <row r="80" spans="2:17">
      <c r="B80" s="49"/>
      <c r="C80" s="49"/>
      <c r="D80" s="49"/>
      <c r="E80" s="49"/>
      <c r="F80" s="49"/>
      <c r="G80" s="1119">
        <v>193.87899999999999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</row>
    <row r="81" spans="2:17">
      <c r="B81" s="49"/>
      <c r="C81" s="49"/>
      <c r="D81" s="49"/>
      <c r="E81" s="49"/>
      <c r="F81" s="49"/>
      <c r="G81" s="1119">
        <v>27.254000000000001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</row>
    <row r="82" spans="2:17">
      <c r="B82" s="49"/>
      <c r="C82" s="49"/>
      <c r="D82" s="49"/>
      <c r="E82" s="49"/>
      <c r="F82" s="49"/>
      <c r="G82" s="1122">
        <v>722.274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</row>
    <row r="83" spans="2:17">
      <c r="B83" s="49"/>
      <c r="C83" s="49"/>
      <c r="D83" s="49"/>
      <c r="E83" s="49"/>
      <c r="F83" s="49"/>
      <c r="G83" s="1119">
        <v>1402.471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2:17">
      <c r="B84" s="49"/>
      <c r="C84" s="49"/>
      <c r="D84" s="49"/>
      <c r="E84" s="49"/>
      <c r="F84" s="49"/>
      <c r="G84" s="49">
        <v>1363.3109999999999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</row>
    <row r="85" spans="2:17">
      <c r="B85" s="49"/>
      <c r="C85" s="49"/>
      <c r="D85" s="49"/>
      <c r="E85" s="49"/>
      <c r="F85" s="49"/>
      <c r="G85" s="49">
        <f>SUM(G78:G84)</f>
        <v>4120.7449999999999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</row>
    <row r="86" spans="2:17"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</row>
    <row r="87" spans="2:17"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</row>
    <row r="88" spans="2:17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</row>
    <row r="89" spans="2:17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</row>
    <row r="90" spans="2:17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</row>
    <row r="91" spans="2:17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</row>
    <row r="92" spans="2:17"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</row>
    <row r="93" spans="2:17"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</row>
    <row r="94" spans="2:17"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</row>
    <row r="95" spans="2:17"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</row>
    <row r="96" spans="2:17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</row>
    <row r="97" spans="2:17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</row>
    <row r="98" spans="2:17"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</row>
    <row r="99" spans="2:17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</row>
    <row r="100" spans="2:17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</row>
    <row r="101" spans="2:17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</row>
    <row r="102" spans="2:17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</row>
    <row r="103" spans="2:17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</row>
    <row r="104" spans="2:17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</row>
    <row r="105" spans="2:17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</row>
    <row r="106" spans="2:17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</row>
    <row r="107" spans="2:17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</row>
    <row r="108" spans="2:17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</row>
    <row r="109" spans="2:17"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</row>
    <row r="110" spans="2:17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</row>
    <row r="112" spans="2:17"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</row>
    <row r="113" spans="2:17"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</row>
    <row r="114" spans="2:17"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</row>
    <row r="115" spans="2:17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</row>
    <row r="116" spans="2:17"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</row>
    <row r="117" spans="2:17"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</row>
    <row r="118" spans="2:17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</row>
    <row r="119" spans="2:17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</row>
    <row r="120" spans="2:17"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</row>
    <row r="121" spans="2:17"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</row>
    <row r="122" spans="2:17"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</row>
    <row r="123" spans="2:17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</row>
    <row r="124" spans="2:17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</row>
    <row r="125" spans="2:17"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</row>
    <row r="126" spans="2:17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</row>
    <row r="127" spans="2:17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</row>
    <row r="128" spans="2:17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</row>
    <row r="129" spans="2:17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</row>
    <row r="130" spans="2:17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</row>
    <row r="131" spans="2:17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</row>
    <row r="132" spans="2:17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</row>
    <row r="133" spans="2:17"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</row>
    <row r="134" spans="2:17"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</row>
    <row r="135" spans="2:17"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</row>
    <row r="136" spans="2:17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</row>
    <row r="137" spans="2:17"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</row>
    <row r="138" spans="2:17"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</row>
    <row r="139" spans="2:17"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</row>
    <row r="140" spans="2:17"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</row>
    <row r="141" spans="2:17"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</row>
    <row r="142" spans="2:17"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</row>
    <row r="143" spans="2:17"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</row>
    <row r="144" spans="2:17"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</row>
    <row r="145" spans="2:17"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</row>
    <row r="146" spans="2:17"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</row>
    <row r="147" spans="2:17"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</row>
    <row r="148" spans="2:17"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</row>
    <row r="149" spans="2:17"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</row>
    <row r="150" spans="2:17"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</row>
    <row r="151" spans="2:17"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</row>
    <row r="152" spans="2:17"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</row>
    <row r="153" spans="2:17"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</row>
    <row r="154" spans="2:17"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</row>
    <row r="155" spans="2:17"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</row>
    <row r="156" spans="2:17"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</row>
    <row r="157" spans="2:17"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</row>
    <row r="158" spans="2:17"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</row>
    <row r="159" spans="2:17"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</row>
    <row r="160" spans="2:17"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</row>
    <row r="161" spans="2:17"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</row>
    <row r="162" spans="2:17"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</row>
    <row r="163" spans="2:17"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</row>
    <row r="164" spans="2:17"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</row>
    <row r="165" spans="2:17"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</row>
    <row r="166" spans="2:17"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</row>
    <row r="167" spans="2:17"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</row>
    <row r="168" spans="2:17"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</row>
    <row r="169" spans="2:17"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</row>
    <row r="170" spans="2:17"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</row>
    <row r="171" spans="2:17"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</row>
    <row r="172" spans="2:17"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</row>
    <row r="173" spans="2:17"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</row>
    <row r="174" spans="2:17"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</row>
    <row r="175" spans="2:17"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</row>
    <row r="176" spans="2:17"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</row>
    <row r="177" spans="2:17"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</row>
    <row r="178" spans="2:17"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</row>
    <row r="179" spans="2:17"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</row>
    <row r="180" spans="2:17"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</row>
    <row r="181" spans="2:17"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</row>
    <row r="182" spans="2:17"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</row>
    <row r="183" spans="2:17"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</row>
    <row r="184" spans="2:17"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</row>
    <row r="185" spans="2:17"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</row>
    <row r="186" spans="2:17"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</row>
    <row r="187" spans="2:17"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</row>
    <row r="188" spans="2:17"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</row>
    <row r="189" spans="2:17"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</row>
    <row r="190" spans="2:17"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</row>
    <row r="191" spans="2:17"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</row>
    <row r="192" spans="2:17"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</row>
    <row r="193" spans="2:17"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</row>
    <row r="194" spans="2:17"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</row>
    <row r="195" spans="2:17"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</row>
    <row r="196" spans="2:17"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</row>
    <row r="197" spans="2:17"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</row>
    <row r="198" spans="2:17"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</row>
    <row r="199" spans="2:17"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</row>
    <row r="200" spans="2:17"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</row>
    <row r="201" spans="2:17"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</row>
    <row r="202" spans="2:17"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</row>
    <row r="203" spans="2:17"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</row>
    <row r="204" spans="2:17"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</row>
    <row r="205" spans="2:17"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</row>
    <row r="206" spans="2:17"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</row>
    <row r="207" spans="2:17"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</row>
    <row r="208" spans="2:17"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</row>
    <row r="209" spans="2:17"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</row>
    <row r="210" spans="2:17"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</row>
    <row r="211" spans="2:17"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</row>
    <row r="212" spans="2:17"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</row>
    <row r="213" spans="2:17"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</row>
    <row r="214" spans="2:17"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</row>
    <row r="215" spans="2:17"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</row>
    <row r="216" spans="2:17"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</row>
    <row r="217" spans="2:17"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</row>
    <row r="218" spans="2:17"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</row>
    <row r="219" spans="2:17"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</row>
    <row r="220" spans="2:17"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</row>
    <row r="221" spans="2:17"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</row>
    <row r="222" spans="2:17"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</row>
    <row r="223" spans="2:17"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</row>
    <row r="224" spans="2:17"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</row>
    <row r="225" spans="2:17"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</row>
    <row r="226" spans="2:17"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</row>
    <row r="227" spans="2:17"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</row>
    <row r="228" spans="2:17"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</row>
    <row r="229" spans="2:17"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</row>
    <row r="230" spans="2:17"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</row>
    <row r="231" spans="2:17"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</row>
    <row r="232" spans="2:17"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</row>
    <row r="233" spans="2:17"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</row>
    <row r="234" spans="2:17"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</row>
    <row r="235" spans="2:17"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</row>
    <row r="236" spans="2:17"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</row>
    <row r="237" spans="2:17"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</row>
    <row r="238" spans="2:17"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</row>
    <row r="239" spans="2:17"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</row>
    <row r="240" spans="2:17"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</row>
    <row r="241" spans="2:17"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</row>
    <row r="242" spans="2:17"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</row>
    <row r="243" spans="2:17"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</row>
    <row r="244" spans="2:17"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</row>
    <row r="245" spans="2:17"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</row>
    <row r="246" spans="2:17"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</row>
    <row r="247" spans="2:17"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</row>
    <row r="248" spans="2:17"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</row>
    <row r="249" spans="2:17"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</row>
    <row r="250" spans="2:17"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</row>
    <row r="251" spans="2:17"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</row>
    <row r="252" spans="2:17"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</row>
    <row r="253" spans="2:17"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</row>
    <row r="254" spans="2:17"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</row>
    <row r="255" spans="2:17"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</row>
    <row r="256" spans="2:17"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</row>
    <row r="257" spans="2:17"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</row>
    <row r="258" spans="2:17"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</row>
    <row r="259" spans="2:17"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</row>
    <row r="260" spans="2:17"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</row>
    <row r="261" spans="2:17"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</row>
    <row r="262" spans="2:17"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</row>
    <row r="263" spans="2:17"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</row>
    <row r="264" spans="2:17"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</row>
    <row r="265" spans="2:17"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</row>
    <row r="266" spans="2:17"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</row>
    <row r="267" spans="2:17"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</row>
    <row r="268" spans="2:17"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</row>
    <row r="269" spans="2:17"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</row>
    <row r="270" spans="2:17"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</row>
    <row r="271" spans="2:17"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</row>
    <row r="272" spans="2:17"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</row>
    <row r="273" spans="2:17"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</row>
    <row r="274" spans="2:17"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</row>
    <row r="275" spans="2:17"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</row>
    <row r="276" spans="2:17"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</row>
    <row r="277" spans="2:17"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</row>
    <row r="278" spans="2:17"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</row>
    <row r="279" spans="2:17"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</row>
    <row r="280" spans="2:17"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</row>
    <row r="281" spans="2:17"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</row>
    <row r="282" spans="2:17"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</row>
    <row r="283" spans="2:17"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</row>
    <row r="284" spans="2:17"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</row>
    <row r="285" spans="2:17"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</row>
    <row r="286" spans="2:17"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</row>
    <row r="287" spans="2:17"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</row>
    <row r="288" spans="2:17"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</row>
    <row r="289" spans="2:17"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</row>
    <row r="290" spans="2:17"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</row>
    <row r="291" spans="2:17"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</row>
    <row r="292" spans="2:17"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</row>
    <row r="293" spans="2:17"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</row>
    <row r="294" spans="2:17"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</row>
    <row r="295" spans="2:17"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</row>
    <row r="296" spans="2:17"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</row>
    <row r="297" spans="2:17"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</row>
    <row r="298" spans="2:17"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</row>
    <row r="299" spans="2:17"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</row>
    <row r="300" spans="2:17"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</row>
    <row r="301" spans="2:17"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</row>
    <row r="302" spans="2:17"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</row>
    <row r="303" spans="2:17"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</row>
    <row r="304" spans="2:17"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</row>
    <row r="305" spans="2:17"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</row>
    <row r="306" spans="2:17"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</row>
    <row r="307" spans="2:17"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</row>
    <row r="308" spans="2:17"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</row>
    <row r="309" spans="2:17"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</row>
    <row r="310" spans="2:17"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</row>
    <row r="311" spans="2:17"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</row>
    <row r="312" spans="2:17"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</row>
    <row r="313" spans="2:17"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</row>
    <row r="314" spans="2:17"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</row>
    <row r="315" spans="2:17"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</row>
    <row r="316" spans="2:17"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</row>
    <row r="317" spans="2:17"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</row>
    <row r="318" spans="2:17"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</row>
    <row r="319" spans="2:17"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</row>
    <row r="320" spans="2:17"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</row>
    <row r="321" spans="2:17"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</row>
    <row r="322" spans="2:17"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</row>
    <row r="323" spans="2:17"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</row>
    <row r="324" spans="2:17"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</row>
    <row r="325" spans="2:17"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</row>
    <row r="326" spans="2:17"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</row>
    <row r="327" spans="2:17"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</row>
    <row r="328" spans="2:17"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</row>
    <row r="329" spans="2:17"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</row>
    <row r="330" spans="2:17"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</row>
    <row r="331" spans="2:17"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</row>
    <row r="332" spans="2:17"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</row>
    <row r="333" spans="2:17"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</row>
    <row r="334" spans="2:17"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</row>
    <row r="335" spans="2:17"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</row>
    <row r="336" spans="2:17"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</row>
    <row r="337" spans="2:17"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</row>
    <row r="338" spans="2:17"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</row>
    <row r="339" spans="2:17"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</row>
    <row r="340" spans="2:17"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</row>
    <row r="341" spans="2:17"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</row>
    <row r="342" spans="2:17"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</row>
    <row r="343" spans="2:17"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</row>
    <row r="344" spans="2:17"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</row>
    <row r="345" spans="2:17"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</row>
    <row r="346" spans="2:17"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</row>
    <row r="347" spans="2:17"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</row>
    <row r="348" spans="2:17"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</row>
    <row r="349" spans="2:17"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</row>
    <row r="350" spans="2:17"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</row>
    <row r="351" spans="2:17"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</row>
    <row r="352" spans="2:17"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</row>
    <row r="353" spans="2:17"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</row>
    <row r="354" spans="2:17"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</row>
    <row r="355" spans="2:17"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</row>
    <row r="356" spans="2:17"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</row>
    <row r="357" spans="2:17"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</row>
    <row r="358" spans="2:17"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</row>
    <row r="359" spans="2:17"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</row>
    <row r="360" spans="2:17"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</row>
    <row r="361" spans="2:17"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</row>
    <row r="362" spans="2:17"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</row>
    <row r="363" spans="2:17"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</row>
    <row r="364" spans="2:17"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</row>
    <row r="365" spans="2:17"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</row>
    <row r="366" spans="2:17"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</row>
    <row r="367" spans="2:17"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</row>
    <row r="368" spans="2:17"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</row>
    <row r="369" spans="2:17"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</row>
    <row r="370" spans="2:17"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</row>
    <row r="371" spans="2:17"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</row>
    <row r="372" spans="2:17"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</row>
    <row r="373" spans="2:17"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</row>
    <row r="374" spans="2:17"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</row>
    <row r="375" spans="2:17"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</row>
    <row r="376" spans="2:17"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</row>
    <row r="377" spans="2:17"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</row>
    <row r="378" spans="2:17"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</row>
    <row r="379" spans="2:17"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</row>
    <row r="380" spans="2:17"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</row>
    <row r="381" spans="2:17"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</row>
    <row r="382" spans="2:17"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</row>
    <row r="383" spans="2:17"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</row>
    <row r="384" spans="2:17"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</row>
    <row r="385" spans="2:17"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</row>
    <row r="386" spans="2:17"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</row>
    <row r="387" spans="2:17"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</row>
    <row r="388" spans="2:17"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</row>
    <row r="389" spans="2:17"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</row>
    <row r="390" spans="2:17"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</row>
    <row r="391" spans="2:17"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</row>
    <row r="392" spans="2:17"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</row>
    <row r="393" spans="2:17"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</row>
    <row r="394" spans="2:17"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</row>
    <row r="395" spans="2:17"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</row>
    <row r="396" spans="2:17"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</row>
    <row r="397" spans="2:17"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</row>
    <row r="398" spans="2:17"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</row>
    <row r="399" spans="2:17"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</row>
    <row r="400" spans="2:17"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</row>
    <row r="401" spans="2:17"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</row>
    <row r="402" spans="2:17"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</row>
    <row r="403" spans="2:17"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</row>
    <row r="404" spans="2:17"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</row>
    <row r="405" spans="2:17"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</row>
    <row r="406" spans="2:17"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</row>
    <row r="407" spans="2:17"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</row>
    <row r="408" spans="2:17"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</row>
    <row r="409" spans="2:17"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</row>
    <row r="410" spans="2:17"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</row>
    <row r="411" spans="2:17"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</row>
    <row r="412" spans="2:17"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</row>
    <row r="413" spans="2:17"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</row>
    <row r="414" spans="2:17"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</row>
    <row r="415" spans="2:17"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</row>
    <row r="416" spans="2:17"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</row>
    <row r="417" spans="2:17"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</row>
    <row r="418" spans="2:17"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</row>
    <row r="419" spans="2:17"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</row>
    <row r="420" spans="2:17"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</row>
    <row r="421" spans="2:17"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</row>
    <row r="422" spans="2:17"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</row>
    <row r="423" spans="2:17"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</row>
    <row r="424" spans="2:17"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</row>
    <row r="425" spans="2:17"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</row>
    <row r="426" spans="2:17"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</row>
    <row r="427" spans="2:17"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</row>
    <row r="428" spans="2:17"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</row>
    <row r="429" spans="2:17"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</row>
    <row r="430" spans="2:17"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</row>
    <row r="431" spans="2:17"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</row>
    <row r="432" spans="2:17"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</row>
    <row r="433" spans="2:17"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</row>
    <row r="434" spans="2:17"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</row>
    <row r="435" spans="2:17"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</row>
    <row r="436" spans="2:17"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</row>
    <row r="437" spans="2:17"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</row>
    <row r="438" spans="2:17"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</row>
    <row r="439" spans="2:17"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</row>
    <row r="440" spans="2:17"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</row>
    <row r="441" spans="2:17"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</row>
    <row r="442" spans="2:17"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</row>
    <row r="443" spans="2:17"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</row>
    <row r="444" spans="2:17"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</row>
    <row r="445" spans="2:17"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</row>
    <row r="446" spans="2:17"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</row>
    <row r="447" spans="2:17"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</row>
    <row r="448" spans="2:17"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</row>
    <row r="449" spans="2:17"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</row>
    <row r="450" spans="2:17"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</row>
    <row r="451" spans="2:17"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</row>
    <row r="452" spans="2:17"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</row>
    <row r="453" spans="2:17"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</row>
    <row r="454" spans="2:17"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</row>
    <row r="455" spans="2:17"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</row>
    <row r="456" spans="2:17"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</row>
    <row r="457" spans="2:17"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</row>
    <row r="458" spans="2:17"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</row>
    <row r="459" spans="2:17"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</row>
    <row r="460" spans="2:17"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</row>
    <row r="461" spans="2:17"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</row>
    <row r="462" spans="2:17"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</row>
    <row r="463" spans="2:17"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</row>
    <row r="464" spans="2:17"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</row>
    <row r="465" spans="2:17"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</row>
    <row r="466" spans="2:17"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</row>
    <row r="467" spans="2:17"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</row>
    <row r="468" spans="2:17"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</row>
    <row r="469" spans="2:17"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</row>
    <row r="470" spans="2:17"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</row>
    <row r="471" spans="2:17"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</row>
    <row r="472" spans="2:17"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</row>
    <row r="473" spans="2:17"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</row>
    <row r="474" spans="2:17"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</row>
    <row r="475" spans="2:17"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</row>
    <row r="476" spans="2:17"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</row>
    <row r="477" spans="2:17"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</row>
    <row r="478" spans="2:17"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</row>
    <row r="479" spans="2:17"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</row>
    <row r="480" spans="2:17"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</row>
    <row r="481" spans="2:17"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</row>
    <row r="482" spans="2:17"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</row>
    <row r="483" spans="2:17"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</row>
    <row r="484" spans="2:17"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</row>
    <row r="485" spans="2:17"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</row>
    <row r="486" spans="2:17"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</row>
    <row r="487" spans="2:17"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</row>
    <row r="488" spans="2:17"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</row>
    <row r="489" spans="2:17"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</row>
    <row r="490" spans="2:17"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</row>
    <row r="491" spans="2:17"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</row>
    <row r="492" spans="2:17"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</row>
    <row r="493" spans="2:17"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</row>
    <row r="494" spans="2:17"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</row>
    <row r="495" spans="2:17"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</row>
    <row r="496" spans="2:17"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</row>
    <row r="497" spans="2:17"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</row>
    <row r="498" spans="2:17"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</row>
    <row r="499" spans="2:17"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</row>
    <row r="500" spans="2:17"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</row>
    <row r="501" spans="2:17"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</row>
    <row r="502" spans="2:17"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</row>
    <row r="503" spans="2:17"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</row>
    <row r="504" spans="2:17"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</row>
    <row r="505" spans="2:17"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</row>
    <row r="506" spans="2:17"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</row>
    <row r="507" spans="2:17"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</row>
    <row r="508" spans="2:17"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</row>
    <row r="509" spans="2:17"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</row>
    <row r="510" spans="2:17"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</row>
    <row r="511" spans="2:17"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</row>
    <row r="512" spans="2:17"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</row>
    <row r="513" spans="2:17"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</row>
    <row r="514" spans="2:17"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</row>
    <row r="515" spans="2:17"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</row>
    <row r="516" spans="2:17"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</row>
    <row r="517" spans="2:17"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</row>
    <row r="518" spans="2:17"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</row>
    <row r="519" spans="2:17"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</row>
    <row r="520" spans="2:17"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</row>
    <row r="521" spans="2:17"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</row>
    <row r="522" spans="2:17"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</row>
    <row r="523" spans="2:17"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</row>
    <row r="524" spans="2:17"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</row>
    <row r="525" spans="2:17"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</row>
    <row r="526" spans="2:17"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</row>
    <row r="527" spans="2:17"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</row>
    <row r="528" spans="2:17"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</row>
    <row r="529" spans="2:17"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</row>
    <row r="530" spans="2:17"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</row>
    <row r="531" spans="2:17"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</row>
    <row r="532" spans="2:17"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</row>
    <row r="533" spans="2:17"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</row>
    <row r="534" spans="2:17"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</row>
    <row r="535" spans="2:17"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</row>
    <row r="536" spans="2:17"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</row>
    <row r="537" spans="2:17"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</row>
    <row r="538" spans="2:17"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</row>
    <row r="539" spans="2:17"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</row>
    <row r="540" spans="2:17"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</row>
    <row r="541" spans="2:17"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</row>
    <row r="542" spans="2:17"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</row>
    <row r="543" spans="2:17"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</row>
    <row r="544" spans="2:17"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</row>
    <row r="545" spans="2:17"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</row>
    <row r="546" spans="2:17"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</row>
    <row r="547" spans="2:17"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</row>
    <row r="548" spans="2:17"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</row>
    <row r="549" spans="2:17"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</row>
    <row r="550" spans="2:17"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</row>
    <row r="551" spans="2:17"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</row>
    <row r="552" spans="2:17"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</row>
    <row r="553" spans="2:17"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</row>
    <row r="554" spans="2:17"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</row>
    <row r="555" spans="2:17"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</row>
    <row r="556" spans="2:17"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</row>
    <row r="557" spans="2:17"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</row>
    <row r="558" spans="2:17"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</row>
    <row r="559" spans="2:17"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</row>
  </sheetData>
  <mergeCells count="162">
    <mergeCell ref="B68:F68"/>
    <mergeCell ref="B69:C70"/>
    <mergeCell ref="Q60:Q61"/>
    <mergeCell ref="B63:E63"/>
    <mergeCell ref="O58:O59"/>
    <mergeCell ref="P58:P59"/>
    <mergeCell ref="Q58:Q59"/>
    <mergeCell ref="B60:C61"/>
    <mergeCell ref="D60:D61"/>
    <mergeCell ref="L60:L61"/>
    <mergeCell ref="M60:M61"/>
    <mergeCell ref="N60:N61"/>
    <mergeCell ref="O60:O61"/>
    <mergeCell ref="P60:P61"/>
    <mergeCell ref="M56:M57"/>
    <mergeCell ref="N56:N57"/>
    <mergeCell ref="O56:O57"/>
    <mergeCell ref="P56:P57"/>
    <mergeCell ref="Q56:Q57"/>
    <mergeCell ref="C58:C59"/>
    <mergeCell ref="D58:D59"/>
    <mergeCell ref="L58:L59"/>
    <mergeCell ref="M58:M59"/>
    <mergeCell ref="N58:N59"/>
    <mergeCell ref="M52:M53"/>
    <mergeCell ref="N52:N53"/>
    <mergeCell ref="O52:O53"/>
    <mergeCell ref="P52:P53"/>
    <mergeCell ref="Q52:Q53"/>
    <mergeCell ref="C54:C55"/>
    <mergeCell ref="D54:D55"/>
    <mergeCell ref="L54:L55"/>
    <mergeCell ref="M54:M55"/>
    <mergeCell ref="N54:N55"/>
    <mergeCell ref="O54:O55"/>
    <mergeCell ref="P54:P55"/>
    <mergeCell ref="Q54:Q55"/>
    <mergeCell ref="M48:M49"/>
    <mergeCell ref="N48:N49"/>
    <mergeCell ref="O48:O49"/>
    <mergeCell ref="P48:P49"/>
    <mergeCell ref="Q48:Q49"/>
    <mergeCell ref="C50:C51"/>
    <mergeCell ref="D50:D51"/>
    <mergeCell ref="L50:L51"/>
    <mergeCell ref="M50:M51"/>
    <mergeCell ref="N50:N51"/>
    <mergeCell ref="O50:O51"/>
    <mergeCell ref="P50:P51"/>
    <mergeCell ref="Q50:Q51"/>
    <mergeCell ref="B37:E37"/>
    <mergeCell ref="B41:B44"/>
    <mergeCell ref="B48:B59"/>
    <mergeCell ref="C48:C49"/>
    <mergeCell ref="D48:D49"/>
    <mergeCell ref="L48:L49"/>
    <mergeCell ref="C56:C57"/>
    <mergeCell ref="D56:D57"/>
    <mergeCell ref="L56:L57"/>
    <mergeCell ref="C52:C53"/>
    <mergeCell ref="D52:D53"/>
    <mergeCell ref="L52:L53"/>
    <mergeCell ref="P32:P33"/>
    <mergeCell ref="Q32:Q33"/>
    <mergeCell ref="B34:C35"/>
    <mergeCell ref="D34:D35"/>
    <mergeCell ref="L34:L35"/>
    <mergeCell ref="M34:M35"/>
    <mergeCell ref="N34:N35"/>
    <mergeCell ref="O34:O35"/>
    <mergeCell ref="P34:P35"/>
    <mergeCell ref="Q34:Q35"/>
    <mergeCell ref="C32:C33"/>
    <mergeCell ref="D32:D33"/>
    <mergeCell ref="L32:L33"/>
    <mergeCell ref="M32:M33"/>
    <mergeCell ref="N32:N33"/>
    <mergeCell ref="O32:O33"/>
    <mergeCell ref="P28:P29"/>
    <mergeCell ref="Q28:Q29"/>
    <mergeCell ref="C30:C31"/>
    <mergeCell ref="D30:D31"/>
    <mergeCell ref="L30:L31"/>
    <mergeCell ref="M30:M31"/>
    <mergeCell ref="N30:N31"/>
    <mergeCell ref="O30:O31"/>
    <mergeCell ref="P30:P31"/>
    <mergeCell ref="Q30:Q31"/>
    <mergeCell ref="C28:C29"/>
    <mergeCell ref="D28:D29"/>
    <mergeCell ref="L28:L29"/>
    <mergeCell ref="M28:M29"/>
    <mergeCell ref="N28:N29"/>
    <mergeCell ref="O28:O29"/>
    <mergeCell ref="P24:P25"/>
    <mergeCell ref="Q24:Q25"/>
    <mergeCell ref="C26:C27"/>
    <mergeCell ref="D26:D27"/>
    <mergeCell ref="L26:L27"/>
    <mergeCell ref="M26:M27"/>
    <mergeCell ref="N26:N27"/>
    <mergeCell ref="O26:O27"/>
    <mergeCell ref="P26:P27"/>
    <mergeCell ref="Q26:Q27"/>
    <mergeCell ref="C24:C25"/>
    <mergeCell ref="D24:D25"/>
    <mergeCell ref="L24:L25"/>
    <mergeCell ref="M24:M25"/>
    <mergeCell ref="N24:N25"/>
    <mergeCell ref="O24:O25"/>
    <mergeCell ref="P20:P21"/>
    <mergeCell ref="Q20:Q21"/>
    <mergeCell ref="C22:C23"/>
    <mergeCell ref="D22:D23"/>
    <mergeCell ref="L22:L23"/>
    <mergeCell ref="M22:M23"/>
    <mergeCell ref="N22:N23"/>
    <mergeCell ref="O22:O23"/>
    <mergeCell ref="P22:P23"/>
    <mergeCell ref="Q22:Q23"/>
    <mergeCell ref="C20:C21"/>
    <mergeCell ref="D20:D21"/>
    <mergeCell ref="L20:L21"/>
    <mergeCell ref="M20:M21"/>
    <mergeCell ref="N20:N21"/>
    <mergeCell ref="O20:O21"/>
    <mergeCell ref="L18:L19"/>
    <mergeCell ref="M18:M19"/>
    <mergeCell ref="N18:N19"/>
    <mergeCell ref="O18:O19"/>
    <mergeCell ref="P18:P19"/>
    <mergeCell ref="Q18:Q19"/>
    <mergeCell ref="C16:C17"/>
    <mergeCell ref="D16:D17"/>
    <mergeCell ref="L16:L17"/>
    <mergeCell ref="M16:M17"/>
    <mergeCell ref="N16:N17"/>
    <mergeCell ref="O16:O17"/>
    <mergeCell ref="B2:Q2"/>
    <mergeCell ref="B3:Q3"/>
    <mergeCell ref="B6:B9"/>
    <mergeCell ref="B12:B33"/>
    <mergeCell ref="C12:C13"/>
    <mergeCell ref="D12:D13"/>
    <mergeCell ref="L12:L13"/>
    <mergeCell ref="M12:M13"/>
    <mergeCell ref="N12:N13"/>
    <mergeCell ref="O12:O13"/>
    <mergeCell ref="P12:P13"/>
    <mergeCell ref="Q12:Q13"/>
    <mergeCell ref="C14:C15"/>
    <mergeCell ref="D14:D15"/>
    <mergeCell ref="L14:L15"/>
    <mergeCell ref="M14:M15"/>
    <mergeCell ref="N14:N15"/>
    <mergeCell ref="O14:O15"/>
    <mergeCell ref="P14:P15"/>
    <mergeCell ref="Q14:Q15"/>
    <mergeCell ref="P16:P17"/>
    <mergeCell ref="Q16:Q17"/>
    <mergeCell ref="C18:C19"/>
    <mergeCell ref="D18:D19"/>
  </mergeCells>
  <conditionalFormatting sqref="I12:I33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1:BF59"/>
  <sheetViews>
    <sheetView showGridLines="0" topLeftCell="O8" zoomScale="77" zoomScaleNormal="77" workbookViewId="0">
      <selection activeCell="T30" sqref="T30"/>
    </sheetView>
  </sheetViews>
  <sheetFormatPr baseColWidth="10" defaultColWidth="11.44140625" defaultRowHeight="14.4"/>
  <cols>
    <col min="1" max="1" width="4.109375" style="54" customWidth="1"/>
    <col min="2" max="2" width="12.5546875" style="54" customWidth="1"/>
    <col min="3" max="3" width="11.44140625" style="54" customWidth="1"/>
    <col min="4" max="4" width="12.109375" style="54" customWidth="1"/>
    <col min="5" max="5" width="8.77734375" style="54" customWidth="1"/>
    <col min="6" max="6" width="11.5546875" style="3" customWidth="1"/>
    <col min="7" max="7" width="17" style="54" customWidth="1"/>
    <col min="8" max="8" width="16.6640625" style="54" customWidth="1"/>
    <col min="9" max="9" width="21.33203125" style="54" customWidth="1"/>
    <col min="10" max="10" width="16.109375" style="54" customWidth="1"/>
    <col min="11" max="11" width="14.109375" style="54" customWidth="1"/>
    <col min="12" max="12" width="17.88671875" style="54" customWidth="1"/>
    <col min="13" max="13" width="10.109375" style="3" customWidth="1"/>
    <col min="14" max="14" width="16" style="54" customWidth="1"/>
    <col min="15" max="15" width="13.33203125" style="54" customWidth="1"/>
    <col min="16" max="16" width="10.88671875" style="54" customWidth="1"/>
    <col min="17" max="17" width="16.33203125" style="54" customWidth="1"/>
    <col min="18" max="18" width="16" style="54" customWidth="1"/>
    <col min="19" max="19" width="29.44140625" style="54" customWidth="1"/>
    <col min="20" max="20" width="25.6640625" style="54" customWidth="1"/>
    <col min="21" max="21" width="18.44140625" style="54" customWidth="1"/>
    <col min="22" max="22" width="40" style="54" customWidth="1"/>
    <col min="23" max="23" width="16" style="54" bestFit="1" customWidth="1"/>
    <col min="24" max="24" width="12.33203125" style="54" bestFit="1" customWidth="1"/>
    <col min="25" max="25" width="17.33203125" style="54" bestFit="1" customWidth="1"/>
    <col min="26" max="26" width="23" style="54" bestFit="1" customWidth="1"/>
    <col min="27" max="27" width="18.33203125" style="54" bestFit="1" customWidth="1"/>
    <col min="28" max="28" width="15" style="54" customWidth="1"/>
    <col min="29" max="29" width="12.5546875" style="54" bestFit="1" customWidth="1"/>
    <col min="30" max="30" width="14.5546875" style="54" bestFit="1" customWidth="1"/>
    <col min="31" max="31" width="16" style="54" bestFit="1" customWidth="1"/>
    <col min="32" max="32" width="21" style="54" bestFit="1" customWidth="1"/>
    <col min="33" max="33" width="23" style="54" bestFit="1" customWidth="1"/>
    <col min="34" max="34" width="18.33203125" style="54" bestFit="1" customWidth="1"/>
    <col min="35" max="35" width="21.5546875" style="54" bestFit="1" customWidth="1"/>
    <col min="36" max="36" width="12.5546875" style="54" bestFit="1" customWidth="1"/>
    <col min="37" max="37" width="9.6640625" style="54" bestFit="1" customWidth="1"/>
    <col min="38" max="38" width="14.109375" style="54" bestFit="1" customWidth="1"/>
    <col min="39" max="39" width="10" style="54" bestFit="1" customWidth="1"/>
    <col min="40" max="40" width="15.5546875" style="54" customWidth="1"/>
    <col min="41" max="41" width="44.44140625" style="54" customWidth="1"/>
    <col min="42" max="42" width="14.5546875" style="54" bestFit="1" customWidth="1"/>
    <col min="43" max="43" width="12.33203125" style="1" bestFit="1" customWidth="1"/>
    <col min="44" max="44" width="21.88671875" style="54" customWidth="1"/>
    <col min="45" max="45" width="23" style="54" bestFit="1" customWidth="1"/>
    <col min="46" max="46" width="18.33203125" style="54" bestFit="1" customWidth="1"/>
    <col min="47" max="47" width="14.5546875" style="54" customWidth="1"/>
    <col min="48" max="48" width="17.44140625" style="54" customWidth="1"/>
    <col min="49" max="49" width="9.33203125" style="54" bestFit="1" customWidth="1"/>
    <col min="50" max="50" width="14.5546875" style="54" bestFit="1" customWidth="1"/>
    <col min="51" max="51" width="21" style="54" bestFit="1" customWidth="1"/>
    <col min="52" max="52" width="23" style="54" bestFit="1" customWidth="1"/>
    <col min="53" max="53" width="18.33203125" style="54" bestFit="1" customWidth="1"/>
    <col min="54" max="54" width="21.5546875" style="54" bestFit="1" customWidth="1"/>
    <col min="55" max="55" width="12.5546875" style="54" bestFit="1" customWidth="1"/>
    <col min="56" max="56" width="9.6640625" style="54" bestFit="1" customWidth="1"/>
    <col min="57" max="57" width="14.109375" style="54" bestFit="1" customWidth="1"/>
    <col min="58" max="58" width="6.44140625" style="54" hidden="1" customWidth="1"/>
    <col min="59" max="59" width="24.6640625" style="54" customWidth="1"/>
    <col min="60" max="60" width="16.6640625" style="54" customWidth="1"/>
    <col min="61" max="61" width="42.44140625" style="54" bestFit="1" customWidth="1"/>
    <col min="62" max="62" width="18.33203125" style="54" customWidth="1"/>
    <col min="63" max="63" width="11.44140625" style="54"/>
    <col min="64" max="64" width="14.88671875" style="54" bestFit="1" customWidth="1"/>
    <col min="65" max="65" width="20.6640625" style="54" customWidth="1"/>
    <col min="66" max="66" width="15.6640625" style="54" customWidth="1"/>
    <col min="67" max="67" width="11.44140625" style="54"/>
    <col min="68" max="68" width="14" style="54" customWidth="1"/>
    <col min="69" max="69" width="11.44140625" style="54"/>
    <col min="70" max="70" width="17.5546875" style="54" customWidth="1"/>
    <col min="71" max="71" width="21" style="54" bestFit="1" customWidth="1"/>
    <col min="72" max="72" width="14.109375" style="54" bestFit="1" customWidth="1"/>
    <col min="73" max="73" width="18.33203125" style="54" bestFit="1" customWidth="1"/>
    <col min="74" max="74" width="12.6640625" style="54" bestFit="1" customWidth="1"/>
    <col min="75" max="75" width="12.5546875" style="54" bestFit="1" customWidth="1"/>
    <col min="76" max="76" width="9.6640625" style="54" bestFit="1" customWidth="1"/>
    <col min="77" max="77" width="14.109375" style="54" bestFit="1" customWidth="1"/>
    <col min="78" max="16384" width="11.44140625" style="54"/>
  </cols>
  <sheetData>
    <row r="1" spans="2:17" ht="15" thickBot="1">
      <c r="H1" s="55"/>
    </row>
    <row r="2" spans="2:17" ht="33" customHeight="1">
      <c r="B2" s="569" t="s">
        <v>384</v>
      </c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1"/>
    </row>
    <row r="3" spans="2:17" ht="18.600000000000001" customHeight="1" thickBot="1">
      <c r="B3" s="572">
        <f>+'Resumen Cuota Global'!B4:I4</f>
        <v>43510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4"/>
    </row>
    <row r="4" spans="2:17" ht="15" thickBot="1">
      <c r="G4" s="54" t="s">
        <v>75</v>
      </c>
      <c r="H4" s="55"/>
      <c r="J4" s="56"/>
    </row>
    <row r="5" spans="2:17" ht="43.2">
      <c r="B5" s="245" t="s">
        <v>77</v>
      </c>
      <c r="C5" s="246" t="s">
        <v>78</v>
      </c>
      <c r="D5" s="246" t="s">
        <v>79</v>
      </c>
      <c r="E5" s="246" t="s">
        <v>46</v>
      </c>
      <c r="F5" s="247" t="s">
        <v>4</v>
      </c>
      <c r="G5" s="247" t="s">
        <v>5</v>
      </c>
      <c r="H5" s="247" t="s">
        <v>6</v>
      </c>
      <c r="I5" s="247" t="s">
        <v>7</v>
      </c>
      <c r="J5" s="247" t="s">
        <v>80</v>
      </c>
      <c r="K5" s="248" t="s">
        <v>81</v>
      </c>
      <c r="L5" s="242" t="s">
        <v>3</v>
      </c>
      <c r="M5" s="243" t="s">
        <v>4</v>
      </c>
      <c r="N5" s="243" t="s">
        <v>5</v>
      </c>
      <c r="O5" s="243" t="s">
        <v>6</v>
      </c>
      <c r="P5" s="243" t="s">
        <v>7</v>
      </c>
      <c r="Q5" s="244" t="s">
        <v>82</v>
      </c>
    </row>
    <row r="6" spans="2:17" ht="15.6" customHeight="1">
      <c r="B6" s="249">
        <v>1</v>
      </c>
      <c r="C6" s="575" t="s">
        <v>83</v>
      </c>
      <c r="D6" s="250" t="s">
        <v>84</v>
      </c>
      <c r="E6" s="251">
        <v>164.208</v>
      </c>
      <c r="F6" s="252"/>
      <c r="G6" s="163">
        <f>E6+F6</f>
        <v>164.208</v>
      </c>
      <c r="H6" s="253">
        <f>+F43</f>
        <v>26.551000000000002</v>
      </c>
      <c r="I6" s="254">
        <f>G6-H6</f>
        <v>137.65699999999998</v>
      </c>
      <c r="J6" s="255">
        <f>(H6/G6)</f>
        <v>0.16169126960927604</v>
      </c>
      <c r="K6" s="256" t="s">
        <v>32</v>
      </c>
      <c r="L6" s="576">
        <f>E6+E7</f>
        <v>258.59000000000003</v>
      </c>
      <c r="M6" s="577">
        <f>F6+F7</f>
        <v>0</v>
      </c>
      <c r="N6" s="577">
        <f>L6+M6</f>
        <v>258.59000000000003</v>
      </c>
      <c r="O6" s="578">
        <f>H6+H7</f>
        <v>26.551000000000002</v>
      </c>
      <c r="P6" s="578">
        <f>N6-O6</f>
        <v>232.03900000000004</v>
      </c>
      <c r="Q6" s="579">
        <f>O6/N6</f>
        <v>0.10267605089137244</v>
      </c>
    </row>
    <row r="7" spans="2:17">
      <c r="B7" s="249">
        <v>2</v>
      </c>
      <c r="C7" s="575"/>
      <c r="D7" s="250" t="s">
        <v>85</v>
      </c>
      <c r="E7" s="251">
        <v>94.382000000000005</v>
      </c>
      <c r="F7" s="252"/>
      <c r="G7" s="163">
        <f>E7+F7+I6</f>
        <v>232.03899999999999</v>
      </c>
      <c r="H7" s="253"/>
      <c r="I7" s="163">
        <f>G7-H7</f>
        <v>232.03899999999999</v>
      </c>
      <c r="J7" s="255">
        <f>(H7/G7)</f>
        <v>0</v>
      </c>
      <c r="K7" s="256" t="s">
        <v>32</v>
      </c>
      <c r="L7" s="576"/>
      <c r="M7" s="577"/>
      <c r="N7" s="577"/>
      <c r="O7" s="577"/>
      <c r="P7" s="577"/>
      <c r="Q7" s="579"/>
    </row>
    <row r="8" spans="2:17">
      <c r="B8" s="249">
        <v>3</v>
      </c>
      <c r="C8" s="580" t="s">
        <v>86</v>
      </c>
      <c r="D8" s="250" t="s">
        <v>84</v>
      </c>
      <c r="E8" s="251">
        <v>385.625</v>
      </c>
      <c r="F8" s="307">
        <v>-305.55599999999998</v>
      </c>
      <c r="G8" s="163">
        <f t="shared" ref="G8" si="0">E8+F8</f>
        <v>80.069000000000017</v>
      </c>
      <c r="H8" s="253">
        <f>+F44</f>
        <v>53.684999999999988</v>
      </c>
      <c r="I8" s="254">
        <f t="shared" ref="I8:I19" si="1">G8-H8</f>
        <v>26.384000000000029</v>
      </c>
      <c r="J8" s="255">
        <f t="shared" ref="J8:J20" si="2">(H8/G8)</f>
        <v>0.67048420737114212</v>
      </c>
      <c r="K8" s="256" t="s">
        <v>32</v>
      </c>
      <c r="L8" s="576">
        <f>E8+E9</f>
        <v>607.27099999999996</v>
      </c>
      <c r="M8" s="577">
        <f>F8+F9</f>
        <v>-305.55599999999998</v>
      </c>
      <c r="N8" s="577">
        <f>L8+M8</f>
        <v>301.71499999999997</v>
      </c>
      <c r="O8" s="578">
        <f>H8+H9</f>
        <v>53.684999999999988</v>
      </c>
      <c r="P8" s="578">
        <f>N8-O8</f>
        <v>248.02999999999997</v>
      </c>
      <c r="Q8" s="579">
        <f>O8/N8</f>
        <v>0.17793281739389818</v>
      </c>
    </row>
    <row r="9" spans="2:17">
      <c r="B9" s="249">
        <v>4</v>
      </c>
      <c r="C9" s="580" t="s">
        <v>86</v>
      </c>
      <c r="D9" s="250" t="s">
        <v>85</v>
      </c>
      <c r="E9" s="251">
        <v>221.64599999999999</v>
      </c>
      <c r="F9" s="252"/>
      <c r="G9" s="163">
        <f t="shared" ref="G9" si="3">E9+F9+I8</f>
        <v>248.03000000000003</v>
      </c>
      <c r="H9" s="253"/>
      <c r="I9" s="254">
        <v>230.679</v>
      </c>
      <c r="J9" s="255">
        <f t="shared" si="2"/>
        <v>0</v>
      </c>
      <c r="K9" s="256" t="s">
        <v>32</v>
      </c>
      <c r="L9" s="576"/>
      <c r="M9" s="577"/>
      <c r="N9" s="577"/>
      <c r="O9" s="577"/>
      <c r="P9" s="577"/>
      <c r="Q9" s="579"/>
    </row>
    <row r="10" spans="2:17">
      <c r="B10" s="249">
        <v>5</v>
      </c>
      <c r="C10" s="575" t="s">
        <v>87</v>
      </c>
      <c r="D10" s="250" t="s">
        <v>84</v>
      </c>
      <c r="E10" s="251">
        <v>145.399</v>
      </c>
      <c r="F10" s="252"/>
      <c r="G10" s="163">
        <f t="shared" ref="G10" si="4">E10+F10</f>
        <v>145.399</v>
      </c>
      <c r="H10" s="253">
        <f>+F45</f>
        <v>57.401999999999994</v>
      </c>
      <c r="I10" s="254">
        <f t="shared" si="1"/>
        <v>87.997000000000014</v>
      </c>
      <c r="J10" s="255">
        <f t="shared" si="2"/>
        <v>0.39478951024422448</v>
      </c>
      <c r="K10" s="256" t="s">
        <v>32</v>
      </c>
      <c r="L10" s="576">
        <f>E10+E11</f>
        <v>228.97</v>
      </c>
      <c r="M10" s="577">
        <f>F10+F11</f>
        <v>0</v>
      </c>
      <c r="N10" s="577">
        <f>L10+M10</f>
        <v>228.97</v>
      </c>
      <c r="O10" s="578">
        <f>H10+H11</f>
        <v>57.401999999999994</v>
      </c>
      <c r="P10" s="578">
        <f>N10-O10</f>
        <v>171.56800000000001</v>
      </c>
      <c r="Q10" s="579">
        <f>O10/N10</f>
        <v>0.25069659780757303</v>
      </c>
    </row>
    <row r="11" spans="2:17">
      <c r="B11" s="249">
        <v>6</v>
      </c>
      <c r="C11" s="575" t="s">
        <v>87</v>
      </c>
      <c r="D11" s="250" t="s">
        <v>85</v>
      </c>
      <c r="E11" s="251">
        <v>83.570999999999998</v>
      </c>
      <c r="F11" s="252"/>
      <c r="G11" s="163">
        <f t="shared" ref="G11" si="5">E11+F11+I10</f>
        <v>171.56800000000001</v>
      </c>
      <c r="H11" s="253"/>
      <c r="I11" s="254">
        <f t="shared" si="1"/>
        <v>171.56800000000001</v>
      </c>
      <c r="J11" s="255">
        <f t="shared" si="2"/>
        <v>0</v>
      </c>
      <c r="K11" s="256" t="s">
        <v>32</v>
      </c>
      <c r="L11" s="576"/>
      <c r="M11" s="577"/>
      <c r="N11" s="577"/>
      <c r="O11" s="577"/>
      <c r="P11" s="577"/>
      <c r="Q11" s="579"/>
    </row>
    <row r="12" spans="2:17">
      <c r="B12" s="249">
        <v>7</v>
      </c>
      <c r="C12" s="575" t="s">
        <v>88</v>
      </c>
      <c r="D12" s="250" t="s">
        <v>84</v>
      </c>
      <c r="E12" s="251">
        <v>16.343</v>
      </c>
      <c r="F12" s="252"/>
      <c r="G12" s="163">
        <f t="shared" ref="G12" si="6">E12+F12</f>
        <v>16.343</v>
      </c>
      <c r="H12" s="253">
        <v>0</v>
      </c>
      <c r="I12" s="254">
        <f t="shared" si="1"/>
        <v>16.343</v>
      </c>
      <c r="J12" s="255">
        <f t="shared" si="2"/>
        <v>0</v>
      </c>
      <c r="K12" s="256" t="s">
        <v>32</v>
      </c>
      <c r="L12" s="576">
        <f>E12+E13</f>
        <v>25.736000000000001</v>
      </c>
      <c r="M12" s="577">
        <f>F12+F13</f>
        <v>0</v>
      </c>
      <c r="N12" s="577">
        <f>L12+M12</f>
        <v>25.736000000000001</v>
      </c>
      <c r="O12" s="578">
        <f>H12+H13</f>
        <v>0</v>
      </c>
      <c r="P12" s="578">
        <f>N12-O12</f>
        <v>25.736000000000001</v>
      </c>
      <c r="Q12" s="579">
        <f>O12/N12</f>
        <v>0</v>
      </c>
    </row>
    <row r="13" spans="2:17">
      <c r="B13" s="249">
        <v>8</v>
      </c>
      <c r="C13" s="575" t="s">
        <v>88</v>
      </c>
      <c r="D13" s="250" t="s">
        <v>85</v>
      </c>
      <c r="E13" s="251">
        <v>9.3930000000000007</v>
      </c>
      <c r="F13" s="252"/>
      <c r="G13" s="163">
        <f t="shared" ref="G13" si="7">E13+F13+I12</f>
        <v>25.736000000000001</v>
      </c>
      <c r="H13" s="253"/>
      <c r="I13" s="254">
        <f t="shared" si="1"/>
        <v>25.736000000000001</v>
      </c>
      <c r="J13" s="255">
        <f t="shared" si="2"/>
        <v>0</v>
      </c>
      <c r="K13" s="256" t="s">
        <v>32</v>
      </c>
      <c r="L13" s="576"/>
      <c r="M13" s="577"/>
      <c r="N13" s="577"/>
      <c r="O13" s="577"/>
      <c r="P13" s="577"/>
      <c r="Q13" s="579"/>
    </row>
    <row r="14" spans="2:17">
      <c r="B14" s="249">
        <v>9</v>
      </c>
      <c r="C14" s="575" t="s">
        <v>89</v>
      </c>
      <c r="D14" s="250" t="s">
        <v>84</v>
      </c>
      <c r="E14" s="251">
        <v>150.81899999999999</v>
      </c>
      <c r="F14" s="252"/>
      <c r="G14" s="163">
        <f t="shared" ref="G14" si="8">E14+F14</f>
        <v>150.81899999999999</v>
      </c>
      <c r="H14" s="253">
        <f>+F47</f>
        <v>24.026999999999997</v>
      </c>
      <c r="I14" s="254">
        <f t="shared" si="1"/>
        <v>126.79199999999999</v>
      </c>
      <c r="J14" s="255">
        <f t="shared" si="2"/>
        <v>0.15931016649095936</v>
      </c>
      <c r="K14" s="256" t="s">
        <v>32</v>
      </c>
      <c r="L14" s="576">
        <f>E14+E15</f>
        <v>237.50599999999997</v>
      </c>
      <c r="M14" s="577">
        <f>F14+F15</f>
        <v>0</v>
      </c>
      <c r="N14" s="577">
        <f>L14+M14</f>
        <v>237.50599999999997</v>
      </c>
      <c r="O14" s="578">
        <f>H14+H15</f>
        <v>24.026999999999997</v>
      </c>
      <c r="P14" s="578">
        <f>N14-O14</f>
        <v>213.47899999999998</v>
      </c>
      <c r="Q14" s="579">
        <f>O14/N14</f>
        <v>0.10116376007342973</v>
      </c>
    </row>
    <row r="15" spans="2:17">
      <c r="B15" s="249">
        <v>10</v>
      </c>
      <c r="C15" s="575" t="s">
        <v>89</v>
      </c>
      <c r="D15" s="250" t="s">
        <v>85</v>
      </c>
      <c r="E15" s="251">
        <v>86.686999999999998</v>
      </c>
      <c r="F15" s="252"/>
      <c r="G15" s="163">
        <f t="shared" ref="G15" si="9">E15+F15+I14</f>
        <v>213.47899999999998</v>
      </c>
      <c r="H15" s="253"/>
      <c r="I15" s="254">
        <f t="shared" si="1"/>
        <v>213.47899999999998</v>
      </c>
      <c r="J15" s="255">
        <f t="shared" si="2"/>
        <v>0</v>
      </c>
      <c r="K15" s="256" t="s">
        <v>32</v>
      </c>
      <c r="L15" s="576"/>
      <c r="M15" s="577"/>
      <c r="N15" s="577"/>
      <c r="O15" s="577"/>
      <c r="P15" s="577"/>
      <c r="Q15" s="579"/>
    </row>
    <row r="16" spans="2:17">
      <c r="B16" s="249">
        <v>11</v>
      </c>
      <c r="C16" s="575" t="s">
        <v>90</v>
      </c>
      <c r="D16" s="250" t="s">
        <v>84</v>
      </c>
      <c r="E16" s="251">
        <v>366.63600000000002</v>
      </c>
      <c r="F16" s="252"/>
      <c r="G16" s="163">
        <f t="shared" ref="G16" si="10">E16+F16</f>
        <v>366.63600000000002</v>
      </c>
      <c r="H16" s="253">
        <f>+F48</f>
        <v>92.224999999999937</v>
      </c>
      <c r="I16" s="254">
        <f t="shared" si="1"/>
        <v>274.41100000000006</v>
      </c>
      <c r="J16" s="255">
        <f t="shared" si="2"/>
        <v>0.25154376547856711</v>
      </c>
      <c r="K16" s="256" t="s">
        <v>32</v>
      </c>
      <c r="L16" s="576">
        <f>E16+E17</f>
        <v>577.36800000000005</v>
      </c>
      <c r="M16" s="577">
        <f>F16+F17</f>
        <v>0</v>
      </c>
      <c r="N16" s="577">
        <f>L16+M16</f>
        <v>577.36800000000005</v>
      </c>
      <c r="O16" s="578">
        <f>H16+H17</f>
        <v>92.224999999999937</v>
      </c>
      <c r="P16" s="578">
        <f>N16-O16</f>
        <v>485.14300000000014</v>
      </c>
      <c r="Q16" s="579">
        <f>O16/N16</f>
        <v>0.15973348020673112</v>
      </c>
    </row>
    <row r="17" spans="2:17">
      <c r="B17" s="249">
        <v>12</v>
      </c>
      <c r="C17" s="575" t="s">
        <v>90</v>
      </c>
      <c r="D17" s="250" t="s">
        <v>85</v>
      </c>
      <c r="E17" s="251">
        <v>210.732</v>
      </c>
      <c r="F17" s="252"/>
      <c r="G17" s="163">
        <f t="shared" ref="G17" si="11">E17+F17+I16</f>
        <v>485.14300000000003</v>
      </c>
      <c r="H17" s="253"/>
      <c r="I17" s="254">
        <f t="shared" si="1"/>
        <v>485.14300000000003</v>
      </c>
      <c r="J17" s="255">
        <f t="shared" si="2"/>
        <v>0</v>
      </c>
      <c r="K17" s="256" t="s">
        <v>32</v>
      </c>
      <c r="L17" s="576"/>
      <c r="M17" s="577"/>
      <c r="N17" s="577"/>
      <c r="O17" s="577"/>
      <c r="P17" s="577"/>
      <c r="Q17" s="579"/>
    </row>
    <row r="18" spans="2:17">
      <c r="B18" s="249">
        <v>13</v>
      </c>
      <c r="C18" s="575" t="s">
        <v>91</v>
      </c>
      <c r="D18" s="250" t="s">
        <v>84</v>
      </c>
      <c r="E18" s="251">
        <v>131.066</v>
      </c>
      <c r="F18" s="252"/>
      <c r="G18" s="163">
        <f t="shared" ref="G18" si="12">E18+F18</f>
        <v>131.066</v>
      </c>
      <c r="H18" s="253">
        <f>+F49</f>
        <v>31.665999999999993</v>
      </c>
      <c r="I18" s="254">
        <f t="shared" si="1"/>
        <v>99.4</v>
      </c>
      <c r="J18" s="255">
        <f t="shared" si="2"/>
        <v>0.24160346695557958</v>
      </c>
      <c r="K18" s="256" t="s">
        <v>32</v>
      </c>
      <c r="L18" s="576">
        <f>E18+E19</f>
        <v>206.399</v>
      </c>
      <c r="M18" s="577">
        <f>F18+F19</f>
        <v>0</v>
      </c>
      <c r="N18" s="577">
        <f>L18+M18</f>
        <v>206.399</v>
      </c>
      <c r="O18" s="578">
        <f>H18+H19</f>
        <v>31.665999999999993</v>
      </c>
      <c r="P18" s="578">
        <f>N18-O18</f>
        <v>174.733</v>
      </c>
      <c r="Q18" s="579">
        <f>O18/N18</f>
        <v>0.15342128595584278</v>
      </c>
    </row>
    <row r="19" spans="2:17">
      <c r="B19" s="249">
        <v>14</v>
      </c>
      <c r="C19" s="575" t="s">
        <v>91</v>
      </c>
      <c r="D19" s="250" t="s">
        <v>85</v>
      </c>
      <c r="E19" s="251">
        <v>75.332999999999998</v>
      </c>
      <c r="F19" s="252"/>
      <c r="G19" s="163">
        <f t="shared" ref="G19" si="13">E19+F19+I18</f>
        <v>174.733</v>
      </c>
      <c r="H19" s="253"/>
      <c r="I19" s="254">
        <f t="shared" si="1"/>
        <v>174.733</v>
      </c>
      <c r="J19" s="255">
        <f t="shared" si="2"/>
        <v>0</v>
      </c>
      <c r="K19" s="256" t="s">
        <v>32</v>
      </c>
      <c r="L19" s="576"/>
      <c r="M19" s="577"/>
      <c r="N19" s="577"/>
      <c r="O19" s="577"/>
      <c r="P19" s="577"/>
      <c r="Q19" s="579"/>
    </row>
    <row r="20" spans="2:17">
      <c r="B20" s="249">
        <v>15</v>
      </c>
      <c r="C20" s="575" t="s">
        <v>92</v>
      </c>
      <c r="D20" s="250" t="s">
        <v>84</v>
      </c>
      <c r="E20" s="251">
        <v>103.06</v>
      </c>
      <c r="F20" s="252"/>
      <c r="G20" s="163">
        <f t="shared" ref="G20" si="14">E20+F20</f>
        <v>103.06</v>
      </c>
      <c r="H20" s="253">
        <f>+F50</f>
        <v>14.406000000000001</v>
      </c>
      <c r="I20" s="163">
        <f t="shared" ref="I20:I31" si="15">G20-H20</f>
        <v>88.653999999999996</v>
      </c>
      <c r="J20" s="255">
        <f t="shared" si="2"/>
        <v>0.13978265088298078</v>
      </c>
      <c r="K20" s="256" t="s">
        <v>32</v>
      </c>
      <c r="L20" s="576">
        <f>E20+E21</f>
        <v>162.29599999999999</v>
      </c>
      <c r="M20" s="577">
        <f>F20+F21</f>
        <v>0</v>
      </c>
      <c r="N20" s="577">
        <f>L20+M20</f>
        <v>162.29599999999999</v>
      </c>
      <c r="O20" s="578">
        <f>H20+H21</f>
        <v>14.406000000000001</v>
      </c>
      <c r="P20" s="578">
        <f>N20-O20</f>
        <v>147.88999999999999</v>
      </c>
      <c r="Q20" s="579">
        <f>O20/N20</f>
        <v>8.8763740326317356E-2</v>
      </c>
    </row>
    <row r="21" spans="2:17">
      <c r="B21" s="249">
        <v>16</v>
      </c>
      <c r="C21" s="575" t="s">
        <v>92</v>
      </c>
      <c r="D21" s="250" t="s">
        <v>85</v>
      </c>
      <c r="E21" s="251">
        <v>59.235999999999997</v>
      </c>
      <c r="F21" s="252"/>
      <c r="G21" s="163">
        <f t="shared" ref="G21" si="16">E21+F21+I20</f>
        <v>147.88999999999999</v>
      </c>
      <c r="H21" s="253"/>
      <c r="I21" s="163">
        <f t="shared" si="15"/>
        <v>147.88999999999999</v>
      </c>
      <c r="J21" s="255">
        <f t="shared" ref="J21:J37" si="17">(H21/G21)</f>
        <v>0</v>
      </c>
      <c r="K21" s="256" t="s">
        <v>32</v>
      </c>
      <c r="L21" s="576"/>
      <c r="M21" s="577"/>
      <c r="N21" s="577"/>
      <c r="O21" s="577"/>
      <c r="P21" s="577"/>
      <c r="Q21" s="579"/>
    </row>
    <row r="22" spans="2:17">
      <c r="B22" s="249">
        <v>17</v>
      </c>
      <c r="C22" s="575" t="s">
        <v>93</v>
      </c>
      <c r="D22" s="250" t="s">
        <v>84</v>
      </c>
      <c r="E22" s="251">
        <v>1240.7249999999999</v>
      </c>
      <c r="F22" s="252"/>
      <c r="G22" s="163">
        <f t="shared" ref="G22" si="18">E22+F22</f>
        <v>1240.7249999999999</v>
      </c>
      <c r="H22" s="253">
        <f>+F51</f>
        <v>519.90200000000061</v>
      </c>
      <c r="I22" s="254">
        <f t="shared" si="15"/>
        <v>720.8229999999993</v>
      </c>
      <c r="J22" s="255">
        <f t="shared" si="17"/>
        <v>0.41903080859981112</v>
      </c>
      <c r="K22" s="256" t="s">
        <v>32</v>
      </c>
      <c r="L22" s="576">
        <f>E22+E23</f>
        <v>1953.8579999999999</v>
      </c>
      <c r="M22" s="577">
        <f>F22+F23</f>
        <v>0</v>
      </c>
      <c r="N22" s="577">
        <f>L22+M22</f>
        <v>1953.8579999999999</v>
      </c>
      <c r="O22" s="578">
        <f>H22+H23</f>
        <v>519.90200000000061</v>
      </c>
      <c r="P22" s="578">
        <f>N22-O22</f>
        <v>1433.9559999999992</v>
      </c>
      <c r="Q22" s="579">
        <f>O22/N22</f>
        <v>0.26608996150180853</v>
      </c>
    </row>
    <row r="23" spans="2:17">
      <c r="B23" s="249">
        <v>18</v>
      </c>
      <c r="C23" s="575" t="s">
        <v>93</v>
      </c>
      <c r="D23" s="250" t="s">
        <v>85</v>
      </c>
      <c r="E23" s="251">
        <v>713.13300000000004</v>
      </c>
      <c r="F23" s="252"/>
      <c r="G23" s="163">
        <f t="shared" ref="G23" si="19">E23+F23+I22</f>
        <v>1433.9559999999992</v>
      </c>
      <c r="H23" s="253"/>
      <c r="I23" s="254">
        <f t="shared" si="15"/>
        <v>1433.9559999999992</v>
      </c>
      <c r="J23" s="255">
        <f t="shared" si="17"/>
        <v>0</v>
      </c>
      <c r="K23" s="256" t="s">
        <v>32</v>
      </c>
      <c r="L23" s="576"/>
      <c r="M23" s="577"/>
      <c r="N23" s="577"/>
      <c r="O23" s="577"/>
      <c r="P23" s="577"/>
      <c r="Q23" s="579"/>
    </row>
    <row r="24" spans="2:17">
      <c r="B24" s="249">
        <v>19</v>
      </c>
      <c r="C24" s="580" t="s">
        <v>94</v>
      </c>
      <c r="D24" s="250" t="s">
        <v>84</v>
      </c>
      <c r="E24" s="251">
        <v>67.554000000000002</v>
      </c>
      <c r="F24" s="307">
        <v>-106</v>
      </c>
      <c r="G24" s="163">
        <f t="shared" ref="G24" si="20">E24+F24</f>
        <v>-38.445999999999998</v>
      </c>
      <c r="H24" s="253">
        <v>0</v>
      </c>
      <c r="I24" s="254">
        <f t="shared" si="15"/>
        <v>-38.445999999999998</v>
      </c>
      <c r="J24" s="255">
        <f t="shared" si="17"/>
        <v>0</v>
      </c>
      <c r="K24" s="257">
        <v>43509</v>
      </c>
      <c r="L24" s="576">
        <f>E24+E25</f>
        <v>106.38200000000001</v>
      </c>
      <c r="M24" s="577">
        <f>F24+F25</f>
        <v>-106</v>
      </c>
      <c r="N24" s="577">
        <f>L24+M24</f>
        <v>0.382000000000005</v>
      </c>
      <c r="O24" s="578">
        <f>H24+H25</f>
        <v>0</v>
      </c>
      <c r="P24" s="578">
        <f>N24-O24</f>
        <v>0.382000000000005</v>
      </c>
      <c r="Q24" s="579">
        <f>O24/N24</f>
        <v>0</v>
      </c>
    </row>
    <row r="25" spans="2:17">
      <c r="B25" s="249">
        <v>20</v>
      </c>
      <c r="C25" s="580" t="s">
        <v>94</v>
      </c>
      <c r="D25" s="250" t="s">
        <v>85</v>
      </c>
      <c r="E25" s="251">
        <v>38.828000000000003</v>
      </c>
      <c r="F25" s="252"/>
      <c r="G25" s="163">
        <f t="shared" ref="G25" si="21">E25+F25+I24</f>
        <v>0.382000000000005</v>
      </c>
      <c r="H25" s="253"/>
      <c r="I25" s="163">
        <f t="shared" si="15"/>
        <v>0.382000000000005</v>
      </c>
      <c r="J25" s="255">
        <f t="shared" si="17"/>
        <v>0</v>
      </c>
      <c r="K25" s="256" t="s">
        <v>32</v>
      </c>
      <c r="L25" s="576"/>
      <c r="M25" s="577"/>
      <c r="N25" s="577"/>
      <c r="O25" s="577"/>
      <c r="P25" s="577"/>
      <c r="Q25" s="579"/>
    </row>
    <row r="26" spans="2:17">
      <c r="B26" s="249">
        <v>21</v>
      </c>
      <c r="C26" s="575" t="s">
        <v>95</v>
      </c>
      <c r="D26" s="250" t="s">
        <v>84</v>
      </c>
      <c r="E26" s="251">
        <v>329.71199999999999</v>
      </c>
      <c r="F26" s="252"/>
      <c r="G26" s="163">
        <f t="shared" ref="G26" si="22">E26+F26</f>
        <v>329.71199999999999</v>
      </c>
      <c r="H26" s="253">
        <f>+F53</f>
        <v>44.339000000000006</v>
      </c>
      <c r="I26" s="254">
        <f t="shared" si="15"/>
        <v>285.37299999999999</v>
      </c>
      <c r="J26" s="255">
        <f t="shared" si="17"/>
        <v>0.13447796865142914</v>
      </c>
      <c r="K26" s="256" t="s">
        <v>32</v>
      </c>
      <c r="L26" s="576">
        <f>E26+E27</f>
        <v>519.221</v>
      </c>
      <c r="M26" s="577">
        <f>F26+F27</f>
        <v>0</v>
      </c>
      <c r="N26" s="577">
        <f>L26+M26</f>
        <v>519.221</v>
      </c>
      <c r="O26" s="578">
        <f>H26+H27</f>
        <v>44.339000000000006</v>
      </c>
      <c r="P26" s="578">
        <f>N26-O26</f>
        <v>474.88200000000001</v>
      </c>
      <c r="Q26" s="579">
        <f>O26/N26</f>
        <v>8.5395236325187168E-2</v>
      </c>
    </row>
    <row r="27" spans="2:17">
      <c r="B27" s="249">
        <v>22</v>
      </c>
      <c r="C27" s="575" t="s">
        <v>95</v>
      </c>
      <c r="D27" s="250" t="s">
        <v>85</v>
      </c>
      <c r="E27" s="251">
        <v>189.50899999999999</v>
      </c>
      <c r="F27" s="252"/>
      <c r="G27" s="163">
        <f t="shared" ref="G27" si="23">E27+F27+I26</f>
        <v>474.88199999999995</v>
      </c>
      <c r="H27" s="253"/>
      <c r="I27" s="254">
        <f t="shared" si="15"/>
        <v>474.88199999999995</v>
      </c>
      <c r="J27" s="255">
        <f t="shared" si="17"/>
        <v>0</v>
      </c>
      <c r="K27" s="256" t="s">
        <v>32</v>
      </c>
      <c r="L27" s="576"/>
      <c r="M27" s="577"/>
      <c r="N27" s="577"/>
      <c r="O27" s="577"/>
      <c r="P27" s="577"/>
      <c r="Q27" s="579"/>
    </row>
    <row r="28" spans="2:17">
      <c r="B28" s="249">
        <v>23</v>
      </c>
      <c r="C28" s="575" t="s">
        <v>96</v>
      </c>
      <c r="D28" s="250" t="s">
        <v>84</v>
      </c>
      <c r="E28" s="251">
        <v>248.315</v>
      </c>
      <c r="F28" s="252"/>
      <c r="G28" s="163">
        <f t="shared" ref="G28" si="24">E28+F28</f>
        <v>248.315</v>
      </c>
      <c r="H28" s="253">
        <f>+F54</f>
        <v>94.217999999999989</v>
      </c>
      <c r="I28" s="254">
        <f t="shared" si="15"/>
        <v>154.09700000000001</v>
      </c>
      <c r="J28" s="255">
        <f t="shared" si="17"/>
        <v>0.37942935384491466</v>
      </c>
      <c r="K28" s="256" t="s">
        <v>32</v>
      </c>
      <c r="L28" s="576">
        <f>E28+E29</f>
        <v>391.03899999999999</v>
      </c>
      <c r="M28" s="577">
        <f>F28+F29</f>
        <v>0</v>
      </c>
      <c r="N28" s="577">
        <f>L28+M28</f>
        <v>391.03899999999999</v>
      </c>
      <c r="O28" s="578">
        <f>H28+H29</f>
        <v>94.217999999999989</v>
      </c>
      <c r="P28" s="578">
        <f>N28-O28</f>
        <v>296.82100000000003</v>
      </c>
      <c r="Q28" s="579">
        <f>O28/N28</f>
        <v>0.24094271926841054</v>
      </c>
    </row>
    <row r="29" spans="2:17">
      <c r="B29" s="249">
        <v>24</v>
      </c>
      <c r="C29" s="575" t="s">
        <v>96</v>
      </c>
      <c r="D29" s="250" t="s">
        <v>85</v>
      </c>
      <c r="E29" s="251">
        <v>142.72399999999999</v>
      </c>
      <c r="F29" s="252"/>
      <c r="G29" s="163">
        <f t="shared" ref="G29" si="25">E29+F29+I28</f>
        <v>296.82100000000003</v>
      </c>
      <c r="H29" s="253"/>
      <c r="I29" s="254">
        <f t="shared" si="15"/>
        <v>296.82100000000003</v>
      </c>
      <c r="J29" s="255">
        <f t="shared" si="17"/>
        <v>0</v>
      </c>
      <c r="K29" s="256" t="s">
        <v>32</v>
      </c>
      <c r="L29" s="576"/>
      <c r="M29" s="577"/>
      <c r="N29" s="577"/>
      <c r="O29" s="577"/>
      <c r="P29" s="577"/>
      <c r="Q29" s="579"/>
    </row>
    <row r="30" spans="2:17">
      <c r="B30" s="249">
        <v>25</v>
      </c>
      <c r="C30" s="575" t="s">
        <v>97</v>
      </c>
      <c r="D30" s="250" t="s">
        <v>84</v>
      </c>
      <c r="E30" s="251">
        <v>353.33699999999999</v>
      </c>
      <c r="F30" s="252"/>
      <c r="G30" s="163">
        <f t="shared" ref="G30" si="26">E30+F30</f>
        <v>353.33699999999999</v>
      </c>
      <c r="H30" s="253">
        <f>+F55</f>
        <v>46.035000000000011</v>
      </c>
      <c r="I30" s="254">
        <f t="shared" si="15"/>
        <v>307.30199999999996</v>
      </c>
      <c r="J30" s="255">
        <f t="shared" si="17"/>
        <v>0.1302863838205453</v>
      </c>
      <c r="K30" s="256" t="s">
        <v>32</v>
      </c>
      <c r="L30" s="576">
        <f t="shared" ref="L30:M30" si="27">E30+E31</f>
        <v>556.42499999999995</v>
      </c>
      <c r="M30" s="577">
        <f t="shared" si="27"/>
        <v>0</v>
      </c>
      <c r="N30" s="577">
        <f t="shared" ref="N30" si="28">L30+M30</f>
        <v>556.42499999999995</v>
      </c>
      <c r="O30" s="578">
        <f>H30+H31</f>
        <v>46.035000000000011</v>
      </c>
      <c r="P30" s="578">
        <f t="shared" ref="P30" si="29">N30-O30</f>
        <v>510.38999999999993</v>
      </c>
      <c r="Q30" s="579">
        <f t="shared" ref="Q30" si="30">O30/N30</f>
        <v>8.2733522038010543E-2</v>
      </c>
    </row>
    <row r="31" spans="2:17">
      <c r="B31" s="249">
        <v>26</v>
      </c>
      <c r="C31" s="575" t="s">
        <v>97</v>
      </c>
      <c r="D31" s="250" t="s">
        <v>85</v>
      </c>
      <c r="E31" s="251">
        <v>203.08799999999999</v>
      </c>
      <c r="F31" s="252"/>
      <c r="G31" s="163">
        <f t="shared" ref="G31" si="31">E31+F31+I30</f>
        <v>510.39</v>
      </c>
      <c r="H31" s="253"/>
      <c r="I31" s="254">
        <f t="shared" si="15"/>
        <v>510.39</v>
      </c>
      <c r="J31" s="255">
        <f t="shared" si="17"/>
        <v>0</v>
      </c>
      <c r="K31" s="256" t="s">
        <v>32</v>
      </c>
      <c r="L31" s="576"/>
      <c r="M31" s="577"/>
      <c r="N31" s="577"/>
      <c r="O31" s="577"/>
      <c r="P31" s="577"/>
      <c r="Q31" s="579"/>
    </row>
    <row r="32" spans="2:17">
      <c r="B32" s="249">
        <v>27</v>
      </c>
      <c r="C32" s="575" t="s">
        <v>98</v>
      </c>
      <c r="D32" s="250" t="s">
        <v>84</v>
      </c>
      <c r="E32" s="251">
        <v>208.69499999999999</v>
      </c>
      <c r="F32" s="252"/>
      <c r="G32" s="163">
        <f t="shared" ref="G32" si="32">E32+F32</f>
        <v>208.69499999999999</v>
      </c>
      <c r="H32" s="253">
        <f>+F56</f>
        <v>12.468999999999999</v>
      </c>
      <c r="I32" s="254">
        <v>231.679</v>
      </c>
      <c r="J32" s="255">
        <f t="shared" si="17"/>
        <v>5.9747478377536599E-2</v>
      </c>
      <c r="K32" s="256" t="s">
        <v>32</v>
      </c>
      <c r="L32" s="576">
        <f t="shared" ref="L32:M32" si="33">E32+E33</f>
        <v>328.64699999999999</v>
      </c>
      <c r="M32" s="577">
        <f t="shared" si="33"/>
        <v>0</v>
      </c>
      <c r="N32" s="577">
        <f t="shared" ref="N32" si="34">L32+M32</f>
        <v>328.64699999999999</v>
      </c>
      <c r="O32" s="578">
        <f>H32+H33</f>
        <v>12.468999999999999</v>
      </c>
      <c r="P32" s="578">
        <f t="shared" ref="P32" si="35">N32-O32</f>
        <v>316.178</v>
      </c>
      <c r="Q32" s="579">
        <f t="shared" ref="Q32" si="36">O32/N32</f>
        <v>3.7940404141829989E-2</v>
      </c>
    </row>
    <row r="33" spans="2:43">
      <c r="B33" s="249">
        <v>28</v>
      </c>
      <c r="C33" s="575" t="s">
        <v>98</v>
      </c>
      <c r="D33" s="250" t="s">
        <v>85</v>
      </c>
      <c r="E33" s="251">
        <v>119.952</v>
      </c>
      <c r="F33" s="252"/>
      <c r="G33" s="163">
        <f t="shared" ref="G33" si="37">E33+F33+I32</f>
        <v>351.63099999999997</v>
      </c>
      <c r="H33" s="253"/>
      <c r="I33" s="254">
        <f>G33-H33</f>
        <v>351.63099999999997</v>
      </c>
      <c r="J33" s="255">
        <f t="shared" si="17"/>
        <v>0</v>
      </c>
      <c r="K33" s="256" t="s">
        <v>32</v>
      </c>
      <c r="L33" s="576"/>
      <c r="M33" s="577"/>
      <c r="N33" s="577"/>
      <c r="O33" s="577"/>
      <c r="P33" s="577"/>
      <c r="Q33" s="579"/>
    </row>
    <row r="34" spans="2:43" s="57" customFormat="1">
      <c r="B34" s="249">
        <v>29</v>
      </c>
      <c r="C34" s="575" t="s">
        <v>99</v>
      </c>
      <c r="D34" s="250" t="s">
        <v>84</v>
      </c>
      <c r="E34" s="251">
        <v>20.506</v>
      </c>
      <c r="F34" s="252"/>
      <c r="G34" s="163">
        <f t="shared" ref="G34" si="38">E34+F34</f>
        <v>20.506</v>
      </c>
      <c r="H34" s="253">
        <f>+F57</f>
        <v>32.481000000000002</v>
      </c>
      <c r="I34" s="254">
        <f>G34-H34</f>
        <v>-11.975000000000001</v>
      </c>
      <c r="J34" s="255">
        <f t="shared" si="17"/>
        <v>1.5839754218277577</v>
      </c>
      <c r="K34" s="257">
        <v>43479</v>
      </c>
      <c r="L34" s="576">
        <f t="shared" ref="L34:M34" si="39">E34+E35</f>
        <v>32.292000000000002</v>
      </c>
      <c r="M34" s="577">
        <f t="shared" si="39"/>
        <v>0</v>
      </c>
      <c r="N34" s="577">
        <f t="shared" ref="N34" si="40">L34+M34</f>
        <v>32.292000000000002</v>
      </c>
      <c r="O34" s="578">
        <f>H34+H35</f>
        <v>32.481000000000002</v>
      </c>
      <c r="P34" s="591">
        <f t="shared" ref="P34" si="41">N34-O34</f>
        <v>-0.18900000000000006</v>
      </c>
      <c r="Q34" s="593">
        <f t="shared" ref="Q34" si="42">O34/N34</f>
        <v>1.0058528428093645</v>
      </c>
      <c r="R34" s="54"/>
      <c r="AQ34" s="1"/>
    </row>
    <row r="35" spans="2:43">
      <c r="B35" s="249">
        <v>30</v>
      </c>
      <c r="C35" s="575" t="s">
        <v>99</v>
      </c>
      <c r="D35" s="250" t="s">
        <v>85</v>
      </c>
      <c r="E35" s="251">
        <v>11.786</v>
      </c>
      <c r="F35" s="252"/>
      <c r="G35" s="163">
        <f t="shared" ref="G35" si="43">E35+F35+I34</f>
        <v>-0.18900000000000183</v>
      </c>
      <c r="H35" s="253"/>
      <c r="I35" s="254">
        <f>G35-H35</f>
        <v>-0.18900000000000183</v>
      </c>
      <c r="J35" s="255">
        <f t="shared" si="17"/>
        <v>0</v>
      </c>
      <c r="K35" s="257">
        <v>43479</v>
      </c>
      <c r="L35" s="576"/>
      <c r="M35" s="577"/>
      <c r="N35" s="577"/>
      <c r="O35" s="577"/>
      <c r="P35" s="592"/>
      <c r="Q35" s="593"/>
    </row>
    <row r="36" spans="2:43">
      <c r="B36" s="583" t="s">
        <v>383</v>
      </c>
      <c r="C36" s="584"/>
      <c r="D36" s="258" t="s">
        <v>84</v>
      </c>
      <c r="E36" s="259">
        <f>+E6+E8+E10+E12+E14+E16+E18+E20+E22+E24+E26+E28+E30+E32+E34</f>
        <v>3932</v>
      </c>
      <c r="F36" s="259">
        <f>+F6+F8+F10+F12+F14+F16+F18+F20+F22+F24+F26+F28+F30+F32+F34</f>
        <v>-411.55599999999998</v>
      </c>
      <c r="G36" s="259">
        <f>E36+F36</f>
        <v>3520.444</v>
      </c>
      <c r="H36" s="259">
        <f>H6+H8+H10+H12+H14+H16+H18+H20+H22+H24+H26+H28+H30+H32+H34</f>
        <v>1049.4060000000006</v>
      </c>
      <c r="I36" s="259">
        <f>G36-H36</f>
        <v>2471.0379999999996</v>
      </c>
      <c r="J36" s="260">
        <f t="shared" si="17"/>
        <v>0.29808910466975208</v>
      </c>
      <c r="K36" s="256" t="s">
        <v>32</v>
      </c>
      <c r="L36" s="587">
        <f>SUM(L6:L35)</f>
        <v>6192</v>
      </c>
      <c r="M36" s="589">
        <f>F36+F37</f>
        <v>-411.55599999999998</v>
      </c>
      <c r="N36" s="589">
        <f>L36+M36</f>
        <v>5780.4440000000004</v>
      </c>
      <c r="O36" s="589">
        <f>H36+H37</f>
        <v>1049.4060000000006</v>
      </c>
      <c r="P36" s="589">
        <f>N36-O36</f>
        <v>4731.0379999999996</v>
      </c>
      <c r="Q36" s="581">
        <f>O36/N36</f>
        <v>0.18154418587914709</v>
      </c>
    </row>
    <row r="37" spans="2:43" ht="15" thickBot="1">
      <c r="B37" s="585"/>
      <c r="C37" s="586"/>
      <c r="D37" s="261" t="s">
        <v>85</v>
      </c>
      <c r="E37" s="262">
        <f>+E7+E9+E11+E13+E15+E17+E19+E21+E23+E25+E27+E29+E31+E33+E35</f>
        <v>2260</v>
      </c>
      <c r="F37" s="262">
        <f>+F7+F9+F11+F13+F15+F17+F19+F21+F23+F25+F27+F29+F31+F33+F35</f>
        <v>0</v>
      </c>
      <c r="G37" s="262">
        <f>E37+F37</f>
        <v>2260</v>
      </c>
      <c r="H37" s="262">
        <f>H7+H9+H11+H13+H15+H17+H19+H21+H23+H25+H27+H29+H31+H33+H35</f>
        <v>0</v>
      </c>
      <c r="I37" s="262">
        <f>G37-H37</f>
        <v>2260</v>
      </c>
      <c r="J37" s="263">
        <f t="shared" si="17"/>
        <v>0</v>
      </c>
      <c r="K37" s="264" t="s">
        <v>32</v>
      </c>
      <c r="L37" s="588"/>
      <c r="M37" s="590"/>
      <c r="N37" s="590"/>
      <c r="O37" s="590"/>
      <c r="P37" s="590"/>
      <c r="Q37" s="582"/>
    </row>
    <row r="38" spans="2:43">
      <c r="F38" s="54"/>
      <c r="M38" s="54"/>
    </row>
    <row r="41" spans="2:43">
      <c r="B41" s="1146" t="s">
        <v>475</v>
      </c>
      <c r="C41" s="1146"/>
      <c r="D41" s="1146"/>
      <c r="E41" s="1146"/>
      <c r="F41" s="1146"/>
      <c r="L41" s="3"/>
      <c r="M41" s="54"/>
      <c r="AP41" s="1"/>
      <c r="AQ41" s="54"/>
    </row>
    <row r="42" spans="2:43" ht="12" customHeight="1">
      <c r="B42" s="1147" t="s">
        <v>77</v>
      </c>
      <c r="C42" s="1147" t="s">
        <v>78</v>
      </c>
      <c r="D42" s="1147" t="s">
        <v>79</v>
      </c>
      <c r="E42" s="1147" t="s">
        <v>421</v>
      </c>
      <c r="F42" s="1147" t="s">
        <v>422</v>
      </c>
    </row>
    <row r="43" spans="2:43" ht="12" customHeight="1">
      <c r="B43" s="1148">
        <v>1</v>
      </c>
      <c r="C43" s="1149" t="s">
        <v>83</v>
      </c>
      <c r="D43" s="1148">
        <v>1</v>
      </c>
      <c r="E43" s="1148">
        <v>164.208</v>
      </c>
      <c r="F43" s="1148">
        <v>26.551000000000002</v>
      </c>
    </row>
    <row r="44" spans="2:43" ht="12" customHeight="1">
      <c r="B44" s="1148">
        <v>3</v>
      </c>
      <c r="C44" s="1149" t="s">
        <v>86</v>
      </c>
      <c r="D44" s="1148">
        <v>1</v>
      </c>
      <c r="E44" s="1148">
        <v>385.625</v>
      </c>
      <c r="F44" s="1148">
        <v>53.684999999999988</v>
      </c>
    </row>
    <row r="45" spans="2:43" ht="12" customHeight="1">
      <c r="B45" s="1148">
        <v>5</v>
      </c>
      <c r="C45" s="1149" t="s">
        <v>87</v>
      </c>
      <c r="D45" s="1148">
        <v>1</v>
      </c>
      <c r="E45" s="1148">
        <v>145.399</v>
      </c>
      <c r="F45" s="1148">
        <v>57.401999999999994</v>
      </c>
    </row>
    <row r="46" spans="2:43" ht="12" customHeight="1">
      <c r="B46" s="1148">
        <v>7</v>
      </c>
      <c r="C46" s="1149" t="s">
        <v>88</v>
      </c>
      <c r="D46" s="1148">
        <v>1</v>
      </c>
      <c r="E46" s="1148">
        <v>16.343</v>
      </c>
      <c r="F46" s="1150"/>
    </row>
    <row r="47" spans="2:43" ht="12" customHeight="1">
      <c r="B47" s="1148">
        <v>9</v>
      </c>
      <c r="C47" s="1149" t="s">
        <v>89</v>
      </c>
      <c r="D47" s="1148">
        <v>1</v>
      </c>
      <c r="E47" s="1148">
        <v>150.81899999999999</v>
      </c>
      <c r="F47" s="1148">
        <v>24.026999999999997</v>
      </c>
    </row>
    <row r="48" spans="2:43" ht="12" customHeight="1">
      <c r="B48" s="1148">
        <v>11</v>
      </c>
      <c r="C48" s="1149" t="s">
        <v>90</v>
      </c>
      <c r="D48" s="1148">
        <v>1</v>
      </c>
      <c r="E48" s="1148">
        <v>366.63600000000002</v>
      </c>
      <c r="F48" s="1148">
        <v>92.224999999999937</v>
      </c>
    </row>
    <row r="49" spans="2:6" ht="12" customHeight="1">
      <c r="B49" s="1148">
        <v>13</v>
      </c>
      <c r="C49" s="1149" t="s">
        <v>91</v>
      </c>
      <c r="D49" s="1148">
        <v>1</v>
      </c>
      <c r="E49" s="1148">
        <v>131.066</v>
      </c>
      <c r="F49" s="1148">
        <v>31.665999999999993</v>
      </c>
    </row>
    <row r="50" spans="2:6" ht="12" customHeight="1">
      <c r="B50" s="1148">
        <v>15</v>
      </c>
      <c r="C50" s="1149" t="s">
        <v>92</v>
      </c>
      <c r="D50" s="1148">
        <v>1</v>
      </c>
      <c r="E50" s="1148">
        <v>103.06</v>
      </c>
      <c r="F50" s="1148">
        <v>14.406000000000001</v>
      </c>
    </row>
    <row r="51" spans="2:6" ht="12" customHeight="1">
      <c r="B51" s="1148">
        <v>17</v>
      </c>
      <c r="C51" s="1149" t="s">
        <v>93</v>
      </c>
      <c r="D51" s="1148">
        <v>1</v>
      </c>
      <c r="E51" s="1148">
        <v>1240.7249999999999</v>
      </c>
      <c r="F51" s="1148">
        <v>519.90200000000061</v>
      </c>
    </row>
    <row r="52" spans="2:6" ht="12" customHeight="1">
      <c r="B52" s="1148">
        <v>19</v>
      </c>
      <c r="C52" s="1149" t="s">
        <v>94</v>
      </c>
      <c r="D52" s="1148">
        <v>1</v>
      </c>
      <c r="E52" s="1148">
        <v>67.554000000000002</v>
      </c>
      <c r="F52" s="1150"/>
    </row>
    <row r="53" spans="2:6" ht="12" customHeight="1">
      <c r="B53" s="1148">
        <v>21</v>
      </c>
      <c r="C53" s="1149" t="s">
        <v>95</v>
      </c>
      <c r="D53" s="1148">
        <v>1</v>
      </c>
      <c r="E53" s="1148">
        <v>329.71199999999999</v>
      </c>
      <c r="F53" s="1148">
        <v>44.339000000000006</v>
      </c>
    </row>
    <row r="54" spans="2:6" ht="12" customHeight="1">
      <c r="B54" s="1148">
        <v>23</v>
      </c>
      <c r="C54" s="1149" t="s">
        <v>96</v>
      </c>
      <c r="D54" s="1148">
        <v>1</v>
      </c>
      <c r="E54" s="1148">
        <v>248.315</v>
      </c>
      <c r="F54" s="1148">
        <v>94.217999999999989</v>
      </c>
    </row>
    <row r="55" spans="2:6" ht="12" customHeight="1">
      <c r="B55" s="1148">
        <v>25</v>
      </c>
      <c r="C55" s="1149" t="s">
        <v>97</v>
      </c>
      <c r="D55" s="1148">
        <v>1</v>
      </c>
      <c r="E55" s="1148">
        <v>353.33699999999999</v>
      </c>
      <c r="F55" s="1148">
        <v>46.035000000000011</v>
      </c>
    </row>
    <row r="56" spans="2:6" ht="12" customHeight="1">
      <c r="B56" s="1148">
        <v>27</v>
      </c>
      <c r="C56" s="1149" t="s">
        <v>98</v>
      </c>
      <c r="D56" s="1148">
        <v>1</v>
      </c>
      <c r="E56" s="1148">
        <v>208.69499999999999</v>
      </c>
      <c r="F56" s="1148">
        <v>12.468999999999999</v>
      </c>
    </row>
    <row r="57" spans="2:6" ht="12" customHeight="1">
      <c r="B57" s="1148">
        <v>29</v>
      </c>
      <c r="C57" s="1149" t="s">
        <v>99</v>
      </c>
      <c r="D57" s="1148">
        <v>1</v>
      </c>
      <c r="E57" s="1148">
        <v>20.506</v>
      </c>
      <c r="F57" s="1148">
        <v>32.481000000000002</v>
      </c>
    </row>
    <row r="58" spans="2:6" ht="12" customHeight="1">
      <c r="B58" s="1148" t="s">
        <v>74</v>
      </c>
      <c r="C58" s="1148" t="s">
        <v>74</v>
      </c>
      <c r="D58" s="1148" t="s">
        <v>74</v>
      </c>
      <c r="E58" s="1148" t="s">
        <v>74</v>
      </c>
      <c r="F58" s="1148" t="s">
        <v>476</v>
      </c>
    </row>
    <row r="59" spans="2:6" ht="12" customHeight="1"/>
  </sheetData>
  <mergeCells count="115">
    <mergeCell ref="B41:F41"/>
    <mergeCell ref="Q36:Q37"/>
    <mergeCell ref="B36:C37"/>
    <mergeCell ref="L36:L37"/>
    <mergeCell ref="M36:M37"/>
    <mergeCell ref="N36:N37"/>
    <mergeCell ref="O36:O37"/>
    <mergeCell ref="P36:P37"/>
    <mergeCell ref="Q32:Q33"/>
    <mergeCell ref="C34:C35"/>
    <mergeCell ref="L34:L35"/>
    <mergeCell ref="M34:M35"/>
    <mergeCell ref="N34:N35"/>
    <mergeCell ref="O34:O35"/>
    <mergeCell ref="P34:P35"/>
    <mergeCell ref="Q34:Q35"/>
    <mergeCell ref="C32:C33"/>
    <mergeCell ref="L32:L33"/>
    <mergeCell ref="M32:M33"/>
    <mergeCell ref="N32:N33"/>
    <mergeCell ref="O32:O33"/>
    <mergeCell ref="P32:P33"/>
    <mergeCell ref="Q28:Q29"/>
    <mergeCell ref="C30:C31"/>
    <mergeCell ref="L30:L31"/>
    <mergeCell ref="M30:M31"/>
    <mergeCell ref="N30:N31"/>
    <mergeCell ref="O30:O31"/>
    <mergeCell ref="P30:P31"/>
    <mergeCell ref="Q30:Q31"/>
    <mergeCell ref="C28:C29"/>
    <mergeCell ref="L28:L29"/>
    <mergeCell ref="M28:M29"/>
    <mergeCell ref="N28:N29"/>
    <mergeCell ref="O28:O29"/>
    <mergeCell ref="P28:P29"/>
    <mergeCell ref="Q24:Q25"/>
    <mergeCell ref="C26:C27"/>
    <mergeCell ref="L26:L27"/>
    <mergeCell ref="M26:M27"/>
    <mergeCell ref="N26:N27"/>
    <mergeCell ref="O26:O27"/>
    <mergeCell ref="P26:P27"/>
    <mergeCell ref="Q26:Q27"/>
    <mergeCell ref="C24:C25"/>
    <mergeCell ref="L24:L25"/>
    <mergeCell ref="M24:M25"/>
    <mergeCell ref="N24:N25"/>
    <mergeCell ref="O24:O25"/>
    <mergeCell ref="P24:P25"/>
    <mergeCell ref="Q20:Q21"/>
    <mergeCell ref="C22:C23"/>
    <mergeCell ref="L22:L23"/>
    <mergeCell ref="M22:M23"/>
    <mergeCell ref="N22:N23"/>
    <mergeCell ref="O22:O23"/>
    <mergeCell ref="P22:P23"/>
    <mergeCell ref="Q22:Q23"/>
    <mergeCell ref="C20:C21"/>
    <mergeCell ref="L20:L21"/>
    <mergeCell ref="M20:M21"/>
    <mergeCell ref="N20:N21"/>
    <mergeCell ref="O20:O21"/>
    <mergeCell ref="P20:P21"/>
    <mergeCell ref="Q16:Q17"/>
    <mergeCell ref="C18:C19"/>
    <mergeCell ref="L18:L19"/>
    <mergeCell ref="M18:M19"/>
    <mergeCell ref="N18:N19"/>
    <mergeCell ref="O18:O19"/>
    <mergeCell ref="P18:P19"/>
    <mergeCell ref="Q18:Q19"/>
    <mergeCell ref="C16:C17"/>
    <mergeCell ref="L16:L17"/>
    <mergeCell ref="M16:M17"/>
    <mergeCell ref="N16:N17"/>
    <mergeCell ref="O16:O17"/>
    <mergeCell ref="P16:P17"/>
    <mergeCell ref="Q12:Q13"/>
    <mergeCell ref="C14:C15"/>
    <mergeCell ref="L14:L15"/>
    <mergeCell ref="M14:M15"/>
    <mergeCell ref="N14:N15"/>
    <mergeCell ref="O14:O15"/>
    <mergeCell ref="P14:P15"/>
    <mergeCell ref="Q14:Q15"/>
    <mergeCell ref="C12:C13"/>
    <mergeCell ref="L12:L13"/>
    <mergeCell ref="M12:M13"/>
    <mergeCell ref="N12:N13"/>
    <mergeCell ref="O12:O13"/>
    <mergeCell ref="P12:P13"/>
    <mergeCell ref="Q8:Q9"/>
    <mergeCell ref="C10:C11"/>
    <mergeCell ref="L10:L11"/>
    <mergeCell ref="M10:M11"/>
    <mergeCell ref="N10:N11"/>
    <mergeCell ref="O10:O11"/>
    <mergeCell ref="P10:P11"/>
    <mergeCell ref="Q10:Q11"/>
    <mergeCell ref="C8:C9"/>
    <mergeCell ref="L8:L9"/>
    <mergeCell ref="M8:M9"/>
    <mergeCell ref="N8:N9"/>
    <mergeCell ref="O8:O9"/>
    <mergeCell ref="P8:P9"/>
    <mergeCell ref="B2:Q2"/>
    <mergeCell ref="B3:Q3"/>
    <mergeCell ref="C6:C7"/>
    <mergeCell ref="L6:L7"/>
    <mergeCell ref="M6:M7"/>
    <mergeCell ref="N6:N7"/>
    <mergeCell ref="O6:O7"/>
    <mergeCell ref="P6:P7"/>
    <mergeCell ref="Q6:Q7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T232"/>
  <sheetViews>
    <sheetView showGridLines="0" topLeftCell="A190" zoomScale="67" zoomScaleNormal="67" workbookViewId="0">
      <selection activeCell="C230" sqref="C230"/>
    </sheetView>
  </sheetViews>
  <sheetFormatPr baseColWidth="10" defaultRowHeight="14.4"/>
  <cols>
    <col min="1" max="1" width="3" customWidth="1"/>
    <col min="2" max="2" width="11.5546875" customWidth="1"/>
    <col min="3" max="3" width="31.33203125" style="320" customWidth="1"/>
    <col min="4" max="4" width="11.5546875" customWidth="1"/>
    <col min="5" max="5" width="17.33203125" customWidth="1"/>
    <col min="6" max="6" width="10.21875" customWidth="1"/>
    <col min="7" max="7" width="13.5546875" customWidth="1"/>
    <col min="8" max="8" width="14.5546875" customWidth="1"/>
    <col min="10" max="10" width="11.33203125" customWidth="1"/>
    <col min="11" max="11" width="12.33203125" customWidth="1"/>
    <col min="12" max="12" width="14" customWidth="1"/>
    <col min="13" max="13" width="13" customWidth="1"/>
    <col min="14" max="14" width="13.77734375" customWidth="1"/>
    <col min="15" max="15" width="13.88671875" customWidth="1"/>
  </cols>
  <sheetData>
    <row r="1" spans="1:19" ht="15" thickBot="1">
      <c r="A1" s="54"/>
      <c r="B1" s="54"/>
      <c r="C1" s="57"/>
      <c r="D1" s="54"/>
      <c r="E1" s="3"/>
      <c r="F1" s="54"/>
      <c r="G1" s="55"/>
      <c r="H1" s="54"/>
      <c r="I1" s="54"/>
      <c r="J1" s="54"/>
      <c r="K1" s="54"/>
      <c r="L1" s="3"/>
      <c r="M1" s="54"/>
      <c r="N1" s="54"/>
      <c r="O1" s="54"/>
      <c r="P1" s="54"/>
      <c r="Q1" s="54"/>
      <c r="R1" s="54"/>
      <c r="S1" s="54"/>
    </row>
    <row r="2" spans="1:19" ht="23.4">
      <c r="A2" s="54"/>
      <c r="B2" s="719" t="s">
        <v>240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1"/>
    </row>
    <row r="3" spans="1:19" ht="21.6" thickBot="1">
      <c r="A3" s="54"/>
      <c r="B3" s="722">
        <f>+'Resumen Cuota Global'!B4:I4</f>
        <v>43510</v>
      </c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4"/>
    </row>
    <row r="4" spans="1:19">
      <c r="A4" s="54"/>
      <c r="B4" s="54"/>
      <c r="C4" s="57"/>
      <c r="D4" s="54"/>
      <c r="E4" s="3"/>
      <c r="F4" s="86"/>
      <c r="G4" s="55"/>
      <c r="H4" s="54"/>
      <c r="I4" s="56"/>
      <c r="J4" s="54"/>
      <c r="K4" s="54"/>
      <c r="L4" s="3"/>
      <c r="M4" s="54"/>
      <c r="N4" s="54"/>
      <c r="O4" s="54"/>
      <c r="P4" s="54"/>
      <c r="Q4" s="54"/>
      <c r="R4" s="54"/>
      <c r="S4" s="54"/>
    </row>
    <row r="5" spans="1:19" s="298" customFormat="1" ht="43.2">
      <c r="A5" s="29"/>
      <c r="B5" s="330" t="s">
        <v>241</v>
      </c>
      <c r="C5" s="331" t="s">
        <v>36</v>
      </c>
      <c r="D5" s="332" t="s">
        <v>3</v>
      </c>
      <c r="E5" s="3"/>
      <c r="F5" s="54"/>
      <c r="G5" s="330" t="s">
        <v>242</v>
      </c>
      <c r="H5" s="333" t="s">
        <v>4</v>
      </c>
      <c r="I5" s="330" t="s">
        <v>5</v>
      </c>
      <c r="J5" s="330" t="s">
        <v>243</v>
      </c>
      <c r="K5" s="330" t="s">
        <v>48</v>
      </c>
      <c r="L5" s="330" t="s">
        <v>49</v>
      </c>
      <c r="M5" s="54"/>
      <c r="N5" s="54"/>
      <c r="O5" s="29"/>
      <c r="P5" s="29"/>
      <c r="Q5" s="29"/>
      <c r="R5" s="29"/>
      <c r="S5" s="29"/>
    </row>
    <row r="6" spans="1:19" s="298" customFormat="1" ht="15.6">
      <c r="A6" s="29"/>
      <c r="B6" s="725" t="s">
        <v>244</v>
      </c>
      <c r="C6" s="334" t="s">
        <v>38</v>
      </c>
      <c r="D6" s="304">
        <v>2396</v>
      </c>
      <c r="E6" s="3"/>
      <c r="F6" s="54"/>
      <c r="G6" s="335">
        <f>+G44+G83+G156+G195</f>
        <v>2395.9999966455998</v>
      </c>
      <c r="H6" s="335">
        <f>+H44+H83+H156+H195</f>
        <v>-2284.1690000000003</v>
      </c>
      <c r="I6" s="335">
        <f>+H6+G6</f>
        <v>111.8309966455995</v>
      </c>
      <c r="J6" s="335">
        <f>+J44+J83+J156+J195</f>
        <v>121.47366666666667</v>
      </c>
      <c r="K6" s="336">
        <f>+I6-J6</f>
        <v>-9.6426700210671754</v>
      </c>
      <c r="L6" s="333">
        <f>J6/I6</f>
        <v>1.086225378564992</v>
      </c>
      <c r="M6" s="54"/>
      <c r="N6" s="54"/>
      <c r="O6" s="29"/>
      <c r="P6" s="29"/>
      <c r="Q6" s="29"/>
      <c r="R6" s="29"/>
      <c r="S6" s="29"/>
    </row>
    <row r="7" spans="1:19" s="298" customFormat="1" ht="15.6">
      <c r="A7" s="299"/>
      <c r="B7" s="725"/>
      <c r="C7" s="334" t="s">
        <v>39</v>
      </c>
      <c r="D7" s="304" t="s">
        <v>40</v>
      </c>
      <c r="E7" s="3"/>
      <c r="F7" s="54"/>
      <c r="G7" s="304" t="s">
        <v>40</v>
      </c>
      <c r="H7" s="304" t="s">
        <v>40</v>
      </c>
      <c r="I7" s="304" t="s">
        <v>40</v>
      </c>
      <c r="J7" s="304" t="s">
        <v>40</v>
      </c>
      <c r="K7" s="304" t="s">
        <v>40</v>
      </c>
      <c r="L7" s="304" t="s">
        <v>40</v>
      </c>
      <c r="M7" s="54"/>
      <c r="N7" s="54"/>
      <c r="O7" s="300"/>
      <c r="P7" s="301"/>
      <c r="Q7" s="29"/>
      <c r="R7" s="29"/>
      <c r="S7" s="299"/>
    </row>
    <row r="8" spans="1:19" s="298" customFormat="1" ht="15.6">
      <c r="A8" s="29"/>
      <c r="B8" s="725"/>
      <c r="C8" s="334" t="s">
        <v>102</v>
      </c>
      <c r="D8" s="304">
        <v>1378</v>
      </c>
      <c r="E8" s="3"/>
      <c r="F8" s="54"/>
      <c r="G8" s="335">
        <f>+G45+G84+G157+G196</f>
        <v>1377.9999980708003</v>
      </c>
      <c r="H8" s="335">
        <f>+H45+H84+H157+H196</f>
        <v>0</v>
      </c>
      <c r="I8" s="337">
        <f>G8+H8+K6</f>
        <v>1368.357328049733</v>
      </c>
      <c r="J8" s="335">
        <f>+J45+J84+J157+J196</f>
        <v>0</v>
      </c>
      <c r="K8" s="336">
        <f>+I8-J8</f>
        <v>1368.357328049733</v>
      </c>
      <c r="L8" s="333">
        <f>J8/I8</f>
        <v>0</v>
      </c>
      <c r="M8" s="54"/>
      <c r="N8" s="54"/>
      <c r="O8" s="29"/>
      <c r="P8" s="29"/>
      <c r="Q8" s="29"/>
      <c r="R8" s="29"/>
      <c r="S8" s="29"/>
    </row>
    <row r="9" spans="1:19" s="298" customFormat="1" ht="15.6">
      <c r="A9" s="29"/>
      <c r="B9" s="725"/>
      <c r="C9" s="331" t="s">
        <v>245</v>
      </c>
      <c r="D9" s="333">
        <f>SUM(D6:D8)</f>
        <v>3774</v>
      </c>
      <c r="E9" s="3"/>
      <c r="F9" s="54"/>
      <c r="G9" s="333">
        <f>+G156+G157+G195+G196+G44+G45+G83+G84</f>
        <v>3773.9999947164001</v>
      </c>
      <c r="H9" s="333">
        <f>+H156+H157+H195+H196+H44+H45+H83+H84</f>
        <v>-2284.1690000000003</v>
      </c>
      <c r="I9" s="333">
        <f>+G9+H9</f>
        <v>1489.8309947163998</v>
      </c>
      <c r="J9" s="333">
        <f>+J156+J157+J195+J196+J44+J45+J83+J84</f>
        <v>121.47366666666667</v>
      </c>
      <c r="K9" s="333">
        <f>+I9-J9</f>
        <v>1368.357328049733</v>
      </c>
      <c r="L9" s="338">
        <f>+J9/I9</f>
        <v>8.1535199024228969E-2</v>
      </c>
      <c r="M9" s="54"/>
      <c r="N9" s="54"/>
      <c r="O9" s="29"/>
      <c r="P9" s="29"/>
      <c r="Q9" s="29"/>
      <c r="R9" s="29"/>
      <c r="S9" s="29"/>
    </row>
    <row r="10" spans="1:19" ht="15" thickBo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19" ht="36" customHeight="1" thickBot="1">
      <c r="A11" s="54"/>
      <c r="B11" s="89" t="s">
        <v>246</v>
      </c>
      <c r="C11" s="322" t="s">
        <v>247</v>
      </c>
      <c r="D11" s="323" t="s">
        <v>248</v>
      </c>
      <c r="E11" s="305" t="s">
        <v>249</v>
      </c>
      <c r="F11" s="90" t="s">
        <v>250</v>
      </c>
      <c r="G11" s="90" t="s">
        <v>242</v>
      </c>
      <c r="H11" s="92" t="s">
        <v>4</v>
      </c>
      <c r="I11" s="90" t="s">
        <v>5</v>
      </c>
      <c r="J11" s="90" t="s">
        <v>243</v>
      </c>
      <c r="K11" s="90" t="s">
        <v>48</v>
      </c>
      <c r="L11" s="93" t="s">
        <v>49</v>
      </c>
      <c r="M11" s="236" t="s">
        <v>81</v>
      </c>
      <c r="N11" s="233" t="s">
        <v>251</v>
      </c>
      <c r="O11" s="234" t="s">
        <v>4</v>
      </c>
      <c r="P11" s="234" t="s">
        <v>5</v>
      </c>
      <c r="Q11" s="234" t="s">
        <v>6</v>
      </c>
      <c r="R11" s="234" t="s">
        <v>7</v>
      </c>
      <c r="S11" s="235" t="s">
        <v>252</v>
      </c>
    </row>
    <row r="12" spans="1:19" ht="15" customHeight="1">
      <c r="A12" s="54">
        <v>1</v>
      </c>
      <c r="B12" s="726" t="s">
        <v>253</v>
      </c>
      <c r="C12" s="499" t="s">
        <v>256</v>
      </c>
      <c r="D12" s="610">
        <v>4309</v>
      </c>
      <c r="E12" s="630">
        <v>1.5542385299999999E-2</v>
      </c>
      <c r="F12" s="326" t="s">
        <v>38</v>
      </c>
      <c r="G12" s="97">
        <f>+E12*$D$6</f>
        <v>37.239555178799996</v>
      </c>
      <c r="H12" s="98"/>
      <c r="I12" s="99">
        <f>G12+H12</f>
        <v>37.239555178799996</v>
      </c>
      <c r="J12" s="100">
        <v>9.6866666666666656</v>
      </c>
      <c r="K12" s="99">
        <f t="shared" ref="K12:K31" si="0">I12-J12</f>
        <v>27.552888512133329</v>
      </c>
      <c r="L12" s="329">
        <f t="shared" ref="L12:L31" si="1">J12/I12</f>
        <v>0.26011767917628514</v>
      </c>
      <c r="M12" s="306" t="s">
        <v>32</v>
      </c>
      <c r="N12" s="694">
        <f>G12+G13</f>
        <v>58.656962122199999</v>
      </c>
      <c r="O12" s="619">
        <f>H12+H13</f>
        <v>0</v>
      </c>
      <c r="P12" s="619">
        <f t="shared" ref="P12" si="2">N12+O12</f>
        <v>58.656962122199999</v>
      </c>
      <c r="Q12" s="619">
        <f>J12+J13</f>
        <v>9.6866666666666656</v>
      </c>
      <c r="R12" s="619">
        <f>P12-Q12</f>
        <v>48.970295455533332</v>
      </c>
      <c r="S12" s="599">
        <f>Q12/P12</f>
        <v>0.16514095371128223</v>
      </c>
    </row>
    <row r="13" spans="1:19" ht="15" customHeight="1">
      <c r="A13" s="54"/>
      <c r="B13" s="727"/>
      <c r="C13" s="391"/>
      <c r="D13" s="610"/>
      <c r="E13" s="630"/>
      <c r="F13" s="326" t="s">
        <v>102</v>
      </c>
      <c r="G13" s="97">
        <f>+E12*$D$8</f>
        <v>21.4174069434</v>
      </c>
      <c r="H13" s="98"/>
      <c r="I13" s="99">
        <f>G13+H13+K12</f>
        <v>48.970295455533332</v>
      </c>
      <c r="J13" s="102"/>
      <c r="K13" s="99">
        <f t="shared" si="0"/>
        <v>48.970295455533332</v>
      </c>
      <c r="L13" s="116">
        <f t="shared" si="1"/>
        <v>0</v>
      </c>
      <c r="M13" s="306" t="s">
        <v>32</v>
      </c>
      <c r="N13" s="698"/>
      <c r="O13" s="633"/>
      <c r="P13" s="633"/>
      <c r="Q13" s="633"/>
      <c r="R13" s="633"/>
      <c r="S13" s="631"/>
    </row>
    <row r="14" spans="1:19" ht="15" customHeight="1">
      <c r="A14" s="54">
        <v>2</v>
      </c>
      <c r="B14" s="727"/>
      <c r="C14" s="499" t="s">
        <v>257</v>
      </c>
      <c r="D14" s="610">
        <v>4370</v>
      </c>
      <c r="E14" s="630">
        <v>1.3921925E-2</v>
      </c>
      <c r="F14" s="326" t="s">
        <v>38</v>
      </c>
      <c r="G14" s="97">
        <f>+E14*$D$6</f>
        <v>33.356932299999997</v>
      </c>
      <c r="H14" s="98"/>
      <c r="I14" s="99">
        <f>G14+H14</f>
        <v>33.356932299999997</v>
      </c>
      <c r="J14" s="100">
        <v>4.9255555555555555</v>
      </c>
      <c r="K14" s="99">
        <f t="shared" si="0"/>
        <v>28.431376744444442</v>
      </c>
      <c r="L14" s="116">
        <f t="shared" si="1"/>
        <v>0.14766212645865986</v>
      </c>
      <c r="M14" s="306" t="s">
        <v>32</v>
      </c>
      <c r="N14" s="694">
        <f t="shared" ref="N14:O14" si="3">G14+G15</f>
        <v>52.541344949999996</v>
      </c>
      <c r="O14" s="619">
        <f t="shared" si="3"/>
        <v>0</v>
      </c>
      <c r="P14" s="619">
        <f t="shared" ref="P14" si="4">N14+O14</f>
        <v>52.541344949999996</v>
      </c>
      <c r="Q14" s="619">
        <f t="shared" ref="Q14" si="5">J14+J15</f>
        <v>4.9255555555555555</v>
      </c>
      <c r="R14" s="619">
        <f t="shared" ref="R14" si="6">P14-Q14</f>
        <v>47.615789394444441</v>
      </c>
      <c r="S14" s="599">
        <f t="shared" ref="S14" si="7">Q14/P14</f>
        <v>9.3746278483028356E-2</v>
      </c>
    </row>
    <row r="15" spans="1:19" ht="15" customHeight="1">
      <c r="A15" s="402"/>
      <c r="B15" s="727"/>
      <c r="C15" s="391"/>
      <c r="D15" s="610"/>
      <c r="E15" s="630"/>
      <c r="F15" s="326" t="s">
        <v>102</v>
      </c>
      <c r="G15" s="97">
        <f>+E14*$D$8</f>
        <v>19.184412649999999</v>
      </c>
      <c r="H15" s="98"/>
      <c r="I15" s="99">
        <f>G15+H15+K14</f>
        <v>47.615789394444441</v>
      </c>
      <c r="J15" s="102"/>
      <c r="K15" s="99">
        <f t="shared" si="0"/>
        <v>47.615789394444441</v>
      </c>
      <c r="L15" s="116">
        <f t="shared" si="1"/>
        <v>0</v>
      </c>
      <c r="M15" s="306" t="s">
        <v>32</v>
      </c>
      <c r="N15" s="698"/>
      <c r="O15" s="633"/>
      <c r="P15" s="633"/>
      <c r="Q15" s="633"/>
      <c r="R15" s="633"/>
      <c r="S15" s="631"/>
    </row>
    <row r="16" spans="1:19" ht="15" customHeight="1">
      <c r="A16" s="54">
        <v>3</v>
      </c>
      <c r="B16" s="727"/>
      <c r="C16" s="499" t="s">
        <v>416</v>
      </c>
      <c r="D16" s="610" t="s">
        <v>259</v>
      </c>
      <c r="E16" s="630">
        <v>1.3424028500000001E-2</v>
      </c>
      <c r="F16" s="96" t="s">
        <v>38</v>
      </c>
      <c r="G16" s="97">
        <f>+E16*$D$6</f>
        <v>32.163972286000003</v>
      </c>
      <c r="H16" s="310">
        <v>-50.661999999999999</v>
      </c>
      <c r="I16" s="99">
        <f>G16+H16</f>
        <v>-18.498027713999996</v>
      </c>
      <c r="J16" s="100"/>
      <c r="K16" s="99">
        <f t="shared" si="0"/>
        <v>-18.498027713999996</v>
      </c>
      <c r="L16" s="116">
        <f t="shared" si="1"/>
        <v>0</v>
      </c>
      <c r="M16" s="408">
        <v>43508</v>
      </c>
      <c r="N16" s="713">
        <f t="shared" ref="N16:O16" si="8">G16+G17</f>
        <v>50.662283559000002</v>
      </c>
      <c r="O16" s="715">
        <f t="shared" si="8"/>
        <v>-50.661999999999999</v>
      </c>
      <c r="P16" s="715">
        <f t="shared" ref="P16" si="9">N16+O16</f>
        <v>2.8355900000320844E-4</v>
      </c>
      <c r="Q16" s="715">
        <f t="shared" ref="Q16" si="10">J16+J17</f>
        <v>0</v>
      </c>
      <c r="R16" s="715">
        <f t="shared" ref="R16" si="11">P16-Q16</f>
        <v>2.8355900000320844E-4</v>
      </c>
      <c r="S16" s="717">
        <f t="shared" ref="S16" si="12">Q16/P16</f>
        <v>0</v>
      </c>
    </row>
    <row r="17" spans="1:19" ht="15" customHeight="1">
      <c r="A17" s="54"/>
      <c r="B17" s="727"/>
      <c r="C17" s="391"/>
      <c r="D17" s="610"/>
      <c r="E17" s="630"/>
      <c r="F17" s="103" t="s">
        <v>102</v>
      </c>
      <c r="G17" s="104">
        <f>+E16*$D$8</f>
        <v>18.498311273000002</v>
      </c>
      <c r="H17" s="230"/>
      <c r="I17" s="107">
        <f>G17+H17+K16</f>
        <v>2.8355900000676115E-4</v>
      </c>
      <c r="J17" s="102"/>
      <c r="K17" s="107">
        <f t="shared" si="0"/>
        <v>2.8355900000676115E-4</v>
      </c>
      <c r="L17" s="121">
        <f t="shared" si="1"/>
        <v>0</v>
      </c>
      <c r="M17" s="408">
        <v>43508</v>
      </c>
      <c r="N17" s="714"/>
      <c r="O17" s="716"/>
      <c r="P17" s="716"/>
      <c r="Q17" s="716"/>
      <c r="R17" s="716"/>
      <c r="S17" s="718"/>
    </row>
    <row r="18" spans="1:19" ht="15" customHeight="1">
      <c r="A18" s="54">
        <v>4</v>
      </c>
      <c r="B18" s="727"/>
      <c r="C18" s="499" t="s">
        <v>415</v>
      </c>
      <c r="D18" s="610" t="s">
        <v>263</v>
      </c>
      <c r="E18" s="630">
        <v>2.4624648E-3</v>
      </c>
      <c r="F18" s="326" t="s">
        <v>38</v>
      </c>
      <c r="G18" s="97">
        <f>+E18*$D$6</f>
        <v>5.9000656608000002</v>
      </c>
      <c r="H18" s="98"/>
      <c r="I18" s="99">
        <f>G18+H18</f>
        <v>5.9000656608000002</v>
      </c>
      <c r="J18" s="100"/>
      <c r="K18" s="99">
        <f t="shared" si="0"/>
        <v>5.9000656608000002</v>
      </c>
      <c r="L18" s="116">
        <f t="shared" si="1"/>
        <v>0</v>
      </c>
      <c r="M18" s="306" t="s">
        <v>32</v>
      </c>
      <c r="N18" s="694">
        <f t="shared" ref="N18:O18" si="13">G18+G19</f>
        <v>9.2933421551999995</v>
      </c>
      <c r="O18" s="619">
        <f t="shared" si="13"/>
        <v>0</v>
      </c>
      <c r="P18" s="619">
        <f t="shared" ref="P18" si="14">N18+O18</f>
        <v>9.2933421551999995</v>
      </c>
      <c r="Q18" s="619">
        <f t="shared" ref="Q18" si="15">J18+J19</f>
        <v>0</v>
      </c>
      <c r="R18" s="619">
        <f t="shared" ref="R18" si="16">P18-Q18</f>
        <v>9.2933421551999995</v>
      </c>
      <c r="S18" s="599">
        <f t="shared" ref="S18" si="17">Q18/P18</f>
        <v>0</v>
      </c>
    </row>
    <row r="19" spans="1:19" ht="15" customHeight="1">
      <c r="A19" s="402"/>
      <c r="B19" s="727"/>
      <c r="C19" s="391"/>
      <c r="D19" s="610"/>
      <c r="E19" s="630"/>
      <c r="F19" s="326" t="s">
        <v>102</v>
      </c>
      <c r="G19" s="97">
        <f>+E18*$D$8</f>
        <v>3.3932764943999998</v>
      </c>
      <c r="H19" s="98"/>
      <c r="I19" s="99">
        <f>G19+H19+K18</f>
        <v>9.2933421551999995</v>
      </c>
      <c r="J19" s="102"/>
      <c r="K19" s="99">
        <f t="shared" si="0"/>
        <v>9.2933421551999995</v>
      </c>
      <c r="L19" s="116">
        <f t="shared" si="1"/>
        <v>0</v>
      </c>
      <c r="M19" s="306" t="s">
        <v>32</v>
      </c>
      <c r="N19" s="698"/>
      <c r="O19" s="633"/>
      <c r="P19" s="633"/>
      <c r="Q19" s="633"/>
      <c r="R19" s="633"/>
      <c r="S19" s="631"/>
    </row>
    <row r="20" spans="1:19" ht="15" customHeight="1">
      <c r="A20" s="54">
        <v>5</v>
      </c>
      <c r="B20" s="727"/>
      <c r="C20" s="499" t="s">
        <v>393</v>
      </c>
      <c r="D20" s="610" t="s">
        <v>260</v>
      </c>
      <c r="E20" s="630">
        <v>2.4172300599999998E-2</v>
      </c>
      <c r="F20" s="326" t="s">
        <v>38</v>
      </c>
      <c r="G20" s="97">
        <f>+E20*$D$6</f>
        <v>57.916832237599998</v>
      </c>
      <c r="H20" s="98"/>
      <c r="I20" s="99">
        <f>G20+H20</f>
        <v>57.916832237599998</v>
      </c>
      <c r="J20" s="100"/>
      <c r="K20" s="99">
        <f t="shared" si="0"/>
        <v>57.916832237599998</v>
      </c>
      <c r="L20" s="116">
        <f t="shared" si="1"/>
        <v>0</v>
      </c>
      <c r="M20" s="306" t="s">
        <v>32</v>
      </c>
      <c r="N20" s="694">
        <f t="shared" ref="N20:O20" si="18">G20+G21</f>
        <v>91.226262464399994</v>
      </c>
      <c r="O20" s="619">
        <f t="shared" si="18"/>
        <v>0</v>
      </c>
      <c r="P20" s="619">
        <f t="shared" ref="P20" si="19">N20+O20</f>
        <v>91.226262464399994</v>
      </c>
      <c r="Q20" s="619">
        <f t="shared" ref="Q20" si="20">J20+J21</f>
        <v>0</v>
      </c>
      <c r="R20" s="619">
        <f t="shared" ref="R20" si="21">P20-Q20</f>
        <v>91.226262464399994</v>
      </c>
      <c r="S20" s="599">
        <f t="shared" ref="S20" si="22">Q20/P20</f>
        <v>0</v>
      </c>
    </row>
    <row r="21" spans="1:19" ht="15" customHeight="1">
      <c r="A21" s="54"/>
      <c r="B21" s="727"/>
      <c r="C21" s="391"/>
      <c r="D21" s="610"/>
      <c r="E21" s="630"/>
      <c r="F21" s="326" t="s">
        <v>102</v>
      </c>
      <c r="G21" s="97">
        <f>+E20*$D$8</f>
        <v>33.309430226799996</v>
      </c>
      <c r="H21" s="98"/>
      <c r="I21" s="99">
        <f>G21+H21+K20</f>
        <v>91.226262464399994</v>
      </c>
      <c r="J21" s="102"/>
      <c r="K21" s="99">
        <f t="shared" si="0"/>
        <v>91.226262464399994</v>
      </c>
      <c r="L21" s="116">
        <f t="shared" si="1"/>
        <v>0</v>
      </c>
      <c r="M21" s="306" t="s">
        <v>32</v>
      </c>
      <c r="N21" s="698"/>
      <c r="O21" s="633"/>
      <c r="P21" s="633"/>
      <c r="Q21" s="633"/>
      <c r="R21" s="633"/>
      <c r="S21" s="631"/>
    </row>
    <row r="22" spans="1:19" ht="15" customHeight="1">
      <c r="A22" s="54">
        <v>6</v>
      </c>
      <c r="B22" s="727"/>
      <c r="C22" s="499" t="s">
        <v>463</v>
      </c>
      <c r="D22" s="610" t="s">
        <v>264</v>
      </c>
      <c r="E22" s="699">
        <v>1.6349055000000001E-2</v>
      </c>
      <c r="F22" s="334" t="s">
        <v>38</v>
      </c>
      <c r="G22" s="405">
        <f>+E22*$D$6</f>
        <v>39.172335780000004</v>
      </c>
      <c r="H22" s="108">
        <v>-59.545000000000002</v>
      </c>
      <c r="I22" s="406">
        <f>G22+H22</f>
        <v>-20.372664219999997</v>
      </c>
      <c r="J22" s="100">
        <v>1.5555555555555556</v>
      </c>
      <c r="K22" s="406">
        <f t="shared" si="0"/>
        <v>-21.928219775555554</v>
      </c>
      <c r="L22" s="407">
        <f t="shared" si="1"/>
        <v>-7.63550382393509E-2</v>
      </c>
      <c r="M22" s="306" t="s">
        <v>32</v>
      </c>
      <c r="N22" s="700">
        <f t="shared" ref="N22:O22" si="23">G22+G23</f>
        <v>61.701333570000003</v>
      </c>
      <c r="O22" s="702">
        <f t="shared" si="23"/>
        <v>-59.545000000000002</v>
      </c>
      <c r="P22" s="702">
        <f t="shared" ref="P22" si="24">N22+O22</f>
        <v>2.156333570000001</v>
      </c>
      <c r="Q22" s="702">
        <f t="shared" ref="Q22" si="25">J22+J23</f>
        <v>1.5555555555555556</v>
      </c>
      <c r="R22" s="702">
        <f t="shared" ref="R22" si="26">P22-Q22</f>
        <v>0.60077801444444545</v>
      </c>
      <c r="S22" s="709">
        <f t="shared" ref="S22" si="27">Q22/P22</f>
        <v>0.72138911029222386</v>
      </c>
    </row>
    <row r="23" spans="1:19" ht="15" customHeight="1">
      <c r="A23" s="402"/>
      <c r="B23" s="727"/>
      <c r="C23" s="391"/>
      <c r="D23" s="610"/>
      <c r="E23" s="699"/>
      <c r="F23" s="334" t="s">
        <v>102</v>
      </c>
      <c r="G23" s="405">
        <f>+E22*$D$8</f>
        <v>22.528997790000002</v>
      </c>
      <c r="H23" s="108"/>
      <c r="I23" s="406">
        <f>G23+H23+K22</f>
        <v>0.60077801444444745</v>
      </c>
      <c r="J23" s="102"/>
      <c r="K23" s="406">
        <f t="shared" si="0"/>
        <v>0.60077801444444745</v>
      </c>
      <c r="L23" s="407">
        <f t="shared" si="1"/>
        <v>0</v>
      </c>
      <c r="M23" s="306" t="s">
        <v>32</v>
      </c>
      <c r="N23" s="701"/>
      <c r="O23" s="703"/>
      <c r="P23" s="703"/>
      <c r="Q23" s="703"/>
      <c r="R23" s="703"/>
      <c r="S23" s="710"/>
    </row>
    <row r="24" spans="1:19" ht="15" customHeight="1">
      <c r="A24" s="54">
        <v>7</v>
      </c>
      <c r="B24" s="727"/>
      <c r="C24" s="499" t="s">
        <v>394</v>
      </c>
      <c r="D24" s="610" t="s">
        <v>254</v>
      </c>
      <c r="E24" s="630">
        <v>1.08112364E-2</v>
      </c>
      <c r="F24" s="325" t="s">
        <v>38</v>
      </c>
      <c r="G24" s="114">
        <f>+E24*$D$6</f>
        <v>25.903722414400001</v>
      </c>
      <c r="H24" s="115"/>
      <c r="I24" s="118">
        <f>G24+H24</f>
        <v>25.903722414400001</v>
      </c>
      <c r="J24" s="100">
        <v>4.8311111111111105</v>
      </c>
      <c r="K24" s="118">
        <f t="shared" si="0"/>
        <v>21.072611303288891</v>
      </c>
      <c r="L24" s="119">
        <f t="shared" si="1"/>
        <v>0.18650258190017791</v>
      </c>
      <c r="M24" s="306" t="s">
        <v>32</v>
      </c>
      <c r="N24" s="729">
        <f t="shared" ref="N24:O24" si="28">G24+G25</f>
        <v>40.8016061736</v>
      </c>
      <c r="O24" s="618">
        <f t="shared" si="28"/>
        <v>0</v>
      </c>
      <c r="P24" s="618">
        <f>N24+O24</f>
        <v>40.8016061736</v>
      </c>
      <c r="Q24" s="618">
        <f t="shared" ref="Q24" si="29">J24+J25</f>
        <v>4.8311111111111105</v>
      </c>
      <c r="R24" s="618">
        <f t="shared" ref="R24" si="30">P24-Q24</f>
        <v>35.970495062488887</v>
      </c>
      <c r="S24" s="598">
        <f t="shared" ref="S24" si="31">Q24/P24</f>
        <v>0.11840492480996988</v>
      </c>
    </row>
    <row r="25" spans="1:19" ht="15" customHeight="1">
      <c r="A25" s="54"/>
      <c r="B25" s="727"/>
      <c r="C25" s="391"/>
      <c r="D25" s="610"/>
      <c r="E25" s="630">
        <v>1.08112364E-2</v>
      </c>
      <c r="F25" s="326" t="s">
        <v>102</v>
      </c>
      <c r="G25" s="97">
        <f>+E24*$D$8</f>
        <v>14.897883759200001</v>
      </c>
      <c r="H25" s="98"/>
      <c r="I25" s="99">
        <f>G25+H25+K24</f>
        <v>35.970495062488894</v>
      </c>
      <c r="J25" s="102"/>
      <c r="K25" s="99">
        <f t="shared" si="0"/>
        <v>35.970495062488894</v>
      </c>
      <c r="L25" s="116">
        <f t="shared" si="1"/>
        <v>0</v>
      </c>
      <c r="M25" s="306" t="s">
        <v>32</v>
      </c>
      <c r="N25" s="729"/>
      <c r="O25" s="618"/>
      <c r="P25" s="618"/>
      <c r="Q25" s="618"/>
      <c r="R25" s="618"/>
      <c r="S25" s="598"/>
    </row>
    <row r="26" spans="1:19" ht="15" customHeight="1">
      <c r="A26" s="54">
        <v>8</v>
      </c>
      <c r="B26" s="727"/>
      <c r="C26" s="499" t="s">
        <v>412</v>
      </c>
      <c r="D26" s="610" t="s">
        <v>266</v>
      </c>
      <c r="E26" s="630">
        <v>1.5012192999999999E-3</v>
      </c>
      <c r="F26" s="326" t="s">
        <v>38</v>
      </c>
      <c r="G26" s="97">
        <f>+E26*$D$6</f>
        <v>3.5969214427999998</v>
      </c>
      <c r="H26" s="98"/>
      <c r="I26" s="99">
        <f>G26+H26</f>
        <v>3.5969214427999998</v>
      </c>
      <c r="J26" s="100"/>
      <c r="K26" s="99">
        <f t="shared" si="0"/>
        <v>3.5969214427999998</v>
      </c>
      <c r="L26" s="116">
        <f t="shared" si="1"/>
        <v>0</v>
      </c>
      <c r="M26" s="306" t="s">
        <v>32</v>
      </c>
      <c r="N26" s="694">
        <f t="shared" ref="N26:O26" si="32">G26+G27</f>
        <v>5.6656016382000001</v>
      </c>
      <c r="O26" s="619">
        <f t="shared" si="32"/>
        <v>0</v>
      </c>
      <c r="P26" s="619">
        <f t="shared" ref="P26" si="33">N26+O26</f>
        <v>5.6656016382000001</v>
      </c>
      <c r="Q26" s="619">
        <f t="shared" ref="Q26" si="34">J26+J27</f>
        <v>0</v>
      </c>
      <c r="R26" s="619">
        <f t="shared" ref="R26" si="35">P26-Q26</f>
        <v>5.6656016382000001</v>
      </c>
      <c r="S26" s="599">
        <f t="shared" ref="S26" si="36">Q26/P26</f>
        <v>0</v>
      </c>
    </row>
    <row r="27" spans="1:19" ht="15" customHeight="1">
      <c r="A27" s="402"/>
      <c r="B27" s="727"/>
      <c r="C27" s="391"/>
      <c r="D27" s="610"/>
      <c r="E27" s="630"/>
      <c r="F27" s="326" t="s">
        <v>102</v>
      </c>
      <c r="G27" s="97">
        <f>+E26*$D$8</f>
        <v>2.0686801953999998</v>
      </c>
      <c r="H27" s="98"/>
      <c r="I27" s="99">
        <f>G27+H27+K26</f>
        <v>5.6656016382000001</v>
      </c>
      <c r="J27" s="102"/>
      <c r="K27" s="99">
        <f t="shared" si="0"/>
        <v>5.6656016382000001</v>
      </c>
      <c r="L27" s="116">
        <f t="shared" si="1"/>
        <v>0</v>
      </c>
      <c r="M27" s="306" t="s">
        <v>32</v>
      </c>
      <c r="N27" s="698"/>
      <c r="O27" s="633"/>
      <c r="P27" s="633"/>
      <c r="Q27" s="633"/>
      <c r="R27" s="633"/>
      <c r="S27" s="631"/>
    </row>
    <row r="28" spans="1:19" ht="15" customHeight="1">
      <c r="A28" s="54">
        <v>9</v>
      </c>
      <c r="B28" s="727"/>
      <c r="C28" s="499" t="s">
        <v>255</v>
      </c>
      <c r="D28" s="610">
        <v>4452</v>
      </c>
      <c r="E28" s="630">
        <v>6.7243100000000003E-4</v>
      </c>
      <c r="F28" s="326" t="s">
        <v>38</v>
      </c>
      <c r="G28" s="97">
        <f>+E28*$D$6</f>
        <v>1.6111446760000001</v>
      </c>
      <c r="H28" s="98"/>
      <c r="I28" s="99">
        <f>G28+H28</f>
        <v>1.6111446760000001</v>
      </c>
      <c r="J28" s="100"/>
      <c r="K28" s="99">
        <f t="shared" si="0"/>
        <v>1.6111446760000001</v>
      </c>
      <c r="L28" s="116">
        <f t="shared" si="1"/>
        <v>0</v>
      </c>
      <c r="M28" s="306" t="s">
        <v>32</v>
      </c>
      <c r="N28" s="729">
        <f t="shared" ref="N28:O28" si="37">G28+G29</f>
        <v>2.5377545939999999</v>
      </c>
      <c r="O28" s="618">
        <f t="shared" si="37"/>
        <v>0</v>
      </c>
      <c r="P28" s="618">
        <f>N28+O28</f>
        <v>2.5377545939999999</v>
      </c>
      <c r="Q28" s="618">
        <f t="shared" ref="Q28" si="38">J28+J29</f>
        <v>0</v>
      </c>
      <c r="R28" s="618">
        <f t="shared" ref="R28" si="39">P28-Q28</f>
        <v>2.5377545939999999</v>
      </c>
      <c r="S28" s="598">
        <f t="shared" ref="S28" si="40">Q28/P28</f>
        <v>0</v>
      </c>
    </row>
    <row r="29" spans="1:19" ht="15" customHeight="1">
      <c r="A29" s="54"/>
      <c r="B29" s="727"/>
      <c r="C29" s="391"/>
      <c r="D29" s="610"/>
      <c r="E29" s="627">
        <v>1.2413368000000001E-3</v>
      </c>
      <c r="F29" s="327" t="s">
        <v>102</v>
      </c>
      <c r="G29" s="104">
        <f>+E28*$D$8</f>
        <v>0.92660991800000003</v>
      </c>
      <c r="H29" s="230"/>
      <c r="I29" s="107">
        <f>G29+H29+K28</f>
        <v>2.5377545939999999</v>
      </c>
      <c r="J29" s="102"/>
      <c r="K29" s="107">
        <f t="shared" si="0"/>
        <v>2.5377545939999999</v>
      </c>
      <c r="L29" s="328">
        <f t="shared" si="1"/>
        <v>0</v>
      </c>
      <c r="M29" s="507" t="s">
        <v>32</v>
      </c>
      <c r="N29" s="730"/>
      <c r="O29" s="619"/>
      <c r="P29" s="618"/>
      <c r="Q29" s="619"/>
      <c r="R29" s="619"/>
      <c r="S29" s="599"/>
    </row>
    <row r="30" spans="1:19" ht="15" customHeight="1">
      <c r="A30" s="54">
        <v>10</v>
      </c>
      <c r="B30" s="727"/>
      <c r="C30" s="499" t="s">
        <v>427</v>
      </c>
      <c r="D30" s="704" t="s">
        <v>265</v>
      </c>
      <c r="E30" s="704">
        <v>1.6476685500000001E-2</v>
      </c>
      <c r="F30" s="399" t="s">
        <v>38</v>
      </c>
      <c r="G30" s="97">
        <f>+E30*$D$6</f>
        <v>39.478138458000004</v>
      </c>
      <c r="H30" s="310">
        <v>-62.183</v>
      </c>
      <c r="I30" s="303">
        <f>G30+H30</f>
        <v>-22.704861541999996</v>
      </c>
      <c r="J30" s="100"/>
      <c r="K30" s="99">
        <f t="shared" si="0"/>
        <v>-22.704861541999996</v>
      </c>
      <c r="L30" s="116">
        <f t="shared" si="1"/>
        <v>0</v>
      </c>
      <c r="M30" s="408">
        <v>43508</v>
      </c>
      <c r="N30" s="705">
        <f t="shared" ref="N30:O30" si="41">G30+G31</f>
        <v>62.183011077000003</v>
      </c>
      <c r="O30" s="707">
        <f t="shared" si="41"/>
        <v>-62.183</v>
      </c>
      <c r="P30" s="707">
        <f t="shared" ref="P30" si="42">N30+O30</f>
        <v>1.1077000003467674E-5</v>
      </c>
      <c r="Q30" s="707">
        <f t="shared" ref="Q30" si="43">J30+J31</f>
        <v>0</v>
      </c>
      <c r="R30" s="707">
        <f t="shared" ref="R30" si="44">P30-Q30</f>
        <v>1.1077000003467674E-5</v>
      </c>
      <c r="S30" s="711">
        <f t="shared" ref="S30" si="45">Q30/P30</f>
        <v>0</v>
      </c>
    </row>
    <row r="31" spans="1:19" ht="15" customHeight="1">
      <c r="A31" s="402"/>
      <c r="B31" s="727"/>
      <c r="C31" s="391"/>
      <c r="D31" s="704"/>
      <c r="E31" s="704"/>
      <c r="F31" s="399" t="s">
        <v>102</v>
      </c>
      <c r="G31" s="97">
        <f>+E30*$D$8</f>
        <v>22.704872619000003</v>
      </c>
      <c r="H31" s="98"/>
      <c r="I31" s="303">
        <f>G31+H31+K30</f>
        <v>1.1077000007020388E-5</v>
      </c>
      <c r="J31" s="102"/>
      <c r="K31" s="99">
        <f t="shared" si="0"/>
        <v>1.1077000007020388E-5</v>
      </c>
      <c r="L31" s="116">
        <f t="shared" si="1"/>
        <v>0</v>
      </c>
      <c r="M31" s="408">
        <v>43508</v>
      </c>
      <c r="N31" s="706"/>
      <c r="O31" s="708"/>
      <c r="P31" s="708"/>
      <c r="Q31" s="708"/>
      <c r="R31" s="708"/>
      <c r="S31" s="712"/>
    </row>
    <row r="32" spans="1:19" ht="15" customHeight="1">
      <c r="A32" s="54">
        <v>11</v>
      </c>
      <c r="B32" s="727"/>
      <c r="C32" s="499" t="s">
        <v>464</v>
      </c>
      <c r="D32" s="610" t="s">
        <v>258</v>
      </c>
      <c r="E32" s="630">
        <v>4.7043989000000001E-2</v>
      </c>
      <c r="F32" s="326" t="s">
        <v>38</v>
      </c>
      <c r="G32" s="97">
        <f>+E32*$D$6</f>
        <v>112.717397644</v>
      </c>
      <c r="H32" s="98"/>
      <c r="I32" s="99">
        <f>G32+H32</f>
        <v>112.717397644</v>
      </c>
      <c r="J32" s="100">
        <v>14.107777777777779</v>
      </c>
      <c r="K32" s="99">
        <f t="shared" ref="K32:K43" si="46">I32-J32</f>
        <v>98.609619866222218</v>
      </c>
      <c r="L32" s="116">
        <f t="shared" ref="L32:L42" si="47">J32/I32</f>
        <v>0.12516060583952579</v>
      </c>
      <c r="M32" s="306" t="s">
        <v>32</v>
      </c>
      <c r="N32" s="694">
        <f t="shared" ref="N32" si="48">G32+G33</f>
        <v>177.54401448600001</v>
      </c>
      <c r="O32" s="619">
        <f>H32+H33</f>
        <v>0</v>
      </c>
      <c r="P32" s="619">
        <f t="shared" ref="P32" si="49">N32+O32</f>
        <v>177.54401448600001</v>
      </c>
      <c r="Q32" s="619">
        <f t="shared" ref="Q32" si="50">J32+J33</f>
        <v>14.107777777777779</v>
      </c>
      <c r="R32" s="619">
        <f t="shared" ref="R32" si="51">P32-Q32</f>
        <v>163.43623670822222</v>
      </c>
      <c r="S32" s="599">
        <f t="shared" ref="S32" si="52">Q32/P32</f>
        <v>7.9460734390965501E-2</v>
      </c>
    </row>
    <row r="33" spans="1:19" ht="15" customHeight="1">
      <c r="A33" s="54"/>
      <c r="B33" s="727"/>
      <c r="C33" s="391"/>
      <c r="D33" s="610"/>
      <c r="E33" s="630"/>
      <c r="F33" s="327" t="s">
        <v>102</v>
      </c>
      <c r="G33" s="104">
        <f>+E32*$D$8</f>
        <v>64.826616842000007</v>
      </c>
      <c r="H33" s="230"/>
      <c r="I33" s="107">
        <f>G33+H33+K32</f>
        <v>163.43623670822222</v>
      </c>
      <c r="J33" s="102"/>
      <c r="K33" s="107">
        <f t="shared" si="46"/>
        <v>163.43623670822222</v>
      </c>
      <c r="L33" s="121">
        <f t="shared" si="47"/>
        <v>0</v>
      </c>
      <c r="M33" s="306" t="s">
        <v>32</v>
      </c>
      <c r="N33" s="698"/>
      <c r="O33" s="633"/>
      <c r="P33" s="633"/>
      <c r="Q33" s="633"/>
      <c r="R33" s="633"/>
      <c r="S33" s="631"/>
    </row>
    <row r="34" spans="1:19" ht="15" customHeight="1">
      <c r="A34" s="54">
        <v>12</v>
      </c>
      <c r="B34" s="727"/>
      <c r="C34" s="499" t="s">
        <v>261</v>
      </c>
      <c r="D34" s="610" t="s">
        <v>262</v>
      </c>
      <c r="E34" s="630">
        <v>5.4063391000000002E-2</v>
      </c>
      <c r="F34" s="96" t="s">
        <v>38</v>
      </c>
      <c r="G34" s="97">
        <f>+E34*$D$6</f>
        <v>129.53588483600001</v>
      </c>
      <c r="H34" s="98"/>
      <c r="I34" s="99">
        <f>G34+H34</f>
        <v>129.53588483600001</v>
      </c>
      <c r="J34" s="100">
        <v>31.478888888888886</v>
      </c>
      <c r="K34" s="99">
        <f>I34-J34</f>
        <v>98.056995947111119</v>
      </c>
      <c r="L34" s="116">
        <f>J34/I34</f>
        <v>0.24301288348586184</v>
      </c>
      <c r="M34" s="306" t="s">
        <v>32</v>
      </c>
      <c r="N34" s="694">
        <f t="shared" ref="N34:O34" si="53">G34+G35</f>
        <v>204.035237634</v>
      </c>
      <c r="O34" s="619">
        <f t="shared" si="53"/>
        <v>0</v>
      </c>
      <c r="P34" s="619">
        <f t="shared" ref="P34" si="54">N34+O34</f>
        <v>204.035237634</v>
      </c>
      <c r="Q34" s="619">
        <f t="shared" ref="Q34" si="55">J34+J35</f>
        <v>31.478888888888886</v>
      </c>
      <c r="R34" s="619">
        <f t="shared" ref="R34" si="56">P34-Q34</f>
        <v>172.55634874511111</v>
      </c>
      <c r="S34" s="599">
        <f t="shared" ref="S34" si="57">Q34/P34</f>
        <v>0.15428162926129438</v>
      </c>
    </row>
    <row r="35" spans="1:19" ht="15" customHeight="1">
      <c r="A35" s="402"/>
      <c r="B35" s="727"/>
      <c r="C35" s="391"/>
      <c r="D35" s="610"/>
      <c r="E35" s="630"/>
      <c r="F35" s="103" t="s">
        <v>102</v>
      </c>
      <c r="G35" s="104">
        <f>+E34*$D$8</f>
        <v>74.499352798000004</v>
      </c>
      <c r="H35" s="230"/>
      <c r="I35" s="107">
        <f>G35+H35+K34</f>
        <v>172.55634874511111</v>
      </c>
      <c r="J35" s="102"/>
      <c r="K35" s="107">
        <f>I35-J35</f>
        <v>172.55634874511111</v>
      </c>
      <c r="L35" s="121">
        <f>J35/I35</f>
        <v>0</v>
      </c>
      <c r="M35" s="306" t="s">
        <v>32</v>
      </c>
      <c r="N35" s="698"/>
      <c r="O35" s="633"/>
      <c r="P35" s="633"/>
      <c r="Q35" s="633"/>
      <c r="R35" s="633"/>
      <c r="S35" s="631"/>
    </row>
    <row r="36" spans="1:19" ht="15" customHeight="1">
      <c r="A36" s="54">
        <v>13</v>
      </c>
      <c r="B36" s="727"/>
      <c r="C36" s="499" t="s">
        <v>414</v>
      </c>
      <c r="D36" s="610" t="s">
        <v>269</v>
      </c>
      <c r="E36" s="630">
        <v>1.6682712000000001E-3</v>
      </c>
      <c r="F36" s="326" t="s">
        <v>38</v>
      </c>
      <c r="G36" s="97">
        <f>+E36*$D$6</f>
        <v>3.9971777952000003</v>
      </c>
      <c r="H36" s="98"/>
      <c r="I36" s="99">
        <f>G36+H36</f>
        <v>3.9971777952000003</v>
      </c>
      <c r="J36" s="100"/>
      <c r="K36" s="99">
        <f>I36-J36</f>
        <v>3.9971777952000003</v>
      </c>
      <c r="L36" s="116">
        <f>J36/I36</f>
        <v>0</v>
      </c>
      <c r="M36" s="306" t="s">
        <v>32</v>
      </c>
      <c r="N36" s="694">
        <f t="shared" ref="N36:O36" si="58">G36+G37</f>
        <v>6.2960555088000003</v>
      </c>
      <c r="O36" s="619">
        <f t="shared" si="58"/>
        <v>0</v>
      </c>
      <c r="P36" s="619">
        <f t="shared" ref="P36" si="59">N36+O36</f>
        <v>6.2960555088000003</v>
      </c>
      <c r="Q36" s="619">
        <f t="shared" ref="Q36" si="60">J36+J37</f>
        <v>0</v>
      </c>
      <c r="R36" s="619">
        <f t="shared" ref="R36" si="61">P36-Q36</f>
        <v>6.2960555088000003</v>
      </c>
      <c r="S36" s="599">
        <f t="shared" ref="S36" si="62">Q36/P36</f>
        <v>0</v>
      </c>
    </row>
    <row r="37" spans="1:19" ht="15" customHeight="1">
      <c r="A37" s="54"/>
      <c r="B37" s="727"/>
      <c r="C37" s="391"/>
      <c r="D37" s="610"/>
      <c r="E37" s="630"/>
      <c r="F37" s="326" t="s">
        <v>102</v>
      </c>
      <c r="G37" s="97">
        <f>+E36*$D$8</f>
        <v>2.2988777136</v>
      </c>
      <c r="H37" s="98"/>
      <c r="I37" s="99">
        <f>G37+H37+K36</f>
        <v>6.2960555088000003</v>
      </c>
      <c r="J37" s="102"/>
      <c r="K37" s="99">
        <f>I37-J37</f>
        <v>6.2960555088000003</v>
      </c>
      <c r="L37" s="116">
        <f>J37/I37</f>
        <v>0</v>
      </c>
      <c r="M37" s="306" t="s">
        <v>32</v>
      </c>
      <c r="N37" s="698"/>
      <c r="O37" s="633"/>
      <c r="P37" s="633"/>
      <c r="Q37" s="633"/>
      <c r="R37" s="633"/>
      <c r="S37" s="631"/>
    </row>
    <row r="38" spans="1:19" ht="15" customHeight="1">
      <c r="A38" s="54">
        <v>14</v>
      </c>
      <c r="B38" s="727"/>
      <c r="C38" s="624" t="s">
        <v>465</v>
      </c>
      <c r="D38" s="610" t="s">
        <v>267</v>
      </c>
      <c r="E38" s="630">
        <v>2.539492E-3</v>
      </c>
      <c r="F38" s="326" t="s">
        <v>38</v>
      </c>
      <c r="G38" s="97">
        <f>+E38*$D$6</f>
        <v>6.084622832</v>
      </c>
      <c r="H38" s="98"/>
      <c r="I38" s="99">
        <f>G38+H38</f>
        <v>6.084622832</v>
      </c>
      <c r="J38" s="100">
        <v>0.54900000000000004</v>
      </c>
      <c r="K38" s="99">
        <f t="shared" ref="K38:K39" si="63">I38-J38</f>
        <v>5.5356228319999996</v>
      </c>
      <c r="L38" s="116">
        <f t="shared" ref="L38:L39" si="64">J38/I38</f>
        <v>9.0227449614908195E-2</v>
      </c>
      <c r="M38" s="306" t="s">
        <v>32</v>
      </c>
      <c r="N38" s="694">
        <f t="shared" ref="N38:O38" si="65">G38+G39</f>
        <v>9.5840428079999995</v>
      </c>
      <c r="O38" s="619">
        <f t="shared" si="65"/>
        <v>0</v>
      </c>
      <c r="P38" s="619">
        <f>N38+O38</f>
        <v>9.5840428079999995</v>
      </c>
      <c r="Q38" s="619">
        <f t="shared" ref="Q38" si="66">J38+J39</f>
        <v>0.54900000000000004</v>
      </c>
      <c r="R38" s="619">
        <f t="shared" ref="R38" si="67">P38-Q38</f>
        <v>9.035042808</v>
      </c>
      <c r="S38" s="599">
        <f t="shared" ref="S38" si="68">Q38/P38</f>
        <v>5.7282715759756242E-2</v>
      </c>
    </row>
    <row r="39" spans="1:19" ht="15" customHeight="1">
      <c r="A39" s="402"/>
      <c r="B39" s="727"/>
      <c r="C39" s="625"/>
      <c r="D39" s="610"/>
      <c r="E39" s="630"/>
      <c r="F39" s="326" t="s">
        <v>102</v>
      </c>
      <c r="G39" s="97">
        <f>+E38*$D$8</f>
        <v>3.499419976</v>
      </c>
      <c r="H39" s="98"/>
      <c r="I39" s="99">
        <f>G39+H39+K38</f>
        <v>9.035042808</v>
      </c>
      <c r="J39" s="102"/>
      <c r="K39" s="99">
        <f t="shared" si="63"/>
        <v>9.035042808</v>
      </c>
      <c r="L39" s="116">
        <f t="shared" si="64"/>
        <v>0</v>
      </c>
      <c r="M39" s="306" t="s">
        <v>32</v>
      </c>
      <c r="N39" s="698"/>
      <c r="O39" s="633"/>
      <c r="P39" s="633"/>
      <c r="Q39" s="633"/>
      <c r="R39" s="633"/>
      <c r="S39" s="631"/>
    </row>
    <row r="40" spans="1:19" ht="15" customHeight="1">
      <c r="A40" s="54">
        <v>15</v>
      </c>
      <c r="B40" s="727"/>
      <c r="C40" s="624" t="s">
        <v>410</v>
      </c>
      <c r="D40" s="610" t="s">
        <v>268</v>
      </c>
      <c r="E40" s="630">
        <v>5.951998E-3</v>
      </c>
      <c r="F40" s="326" t="s">
        <v>38</v>
      </c>
      <c r="G40" s="97">
        <f>+E40*$D$6</f>
        <v>14.260987208</v>
      </c>
      <c r="H40" s="98"/>
      <c r="I40" s="99">
        <f>G40+H40</f>
        <v>14.260987208</v>
      </c>
      <c r="J40" s="100">
        <v>2.9266666666666667</v>
      </c>
      <c r="K40" s="99">
        <f t="shared" si="46"/>
        <v>11.334320541333334</v>
      </c>
      <c r="L40" s="116">
        <f t="shared" si="47"/>
        <v>0.20522188429037308</v>
      </c>
      <c r="M40" s="306" t="s">
        <v>32</v>
      </c>
      <c r="N40" s="694">
        <f t="shared" ref="N40:O40" si="69">G40+G41</f>
        <v>22.462840452000002</v>
      </c>
      <c r="O40" s="619">
        <f t="shared" si="69"/>
        <v>0</v>
      </c>
      <c r="P40" s="619">
        <f t="shared" ref="P40" si="70">N40+O40</f>
        <v>22.462840452000002</v>
      </c>
      <c r="Q40" s="619">
        <f t="shared" ref="Q40" si="71">J40+J41</f>
        <v>2.9266666666666667</v>
      </c>
      <c r="R40" s="619">
        <f t="shared" ref="R40" si="72">P40-Q40</f>
        <v>19.536173785333336</v>
      </c>
      <c r="S40" s="599">
        <f t="shared" ref="S40" si="73">Q40/P40</f>
        <v>0.13028925139367617</v>
      </c>
    </row>
    <row r="41" spans="1:19" ht="15" customHeight="1">
      <c r="A41" s="54"/>
      <c r="B41" s="727"/>
      <c r="C41" s="625"/>
      <c r="D41" s="610"/>
      <c r="E41" s="630"/>
      <c r="F41" s="326" t="s">
        <v>102</v>
      </c>
      <c r="G41" s="97">
        <f>+E40*$D$8</f>
        <v>8.2018532440000005</v>
      </c>
      <c r="H41" s="98"/>
      <c r="I41" s="99">
        <f>G41+H41+K40</f>
        <v>19.536173785333332</v>
      </c>
      <c r="J41" s="102"/>
      <c r="K41" s="99">
        <f t="shared" si="46"/>
        <v>19.536173785333332</v>
      </c>
      <c r="L41" s="116">
        <f t="shared" si="47"/>
        <v>0</v>
      </c>
      <c r="M41" s="306" t="s">
        <v>32</v>
      </c>
      <c r="N41" s="698"/>
      <c r="O41" s="633"/>
      <c r="P41" s="633"/>
      <c r="Q41" s="633"/>
      <c r="R41" s="633"/>
      <c r="S41" s="631"/>
    </row>
    <row r="42" spans="1:19" ht="15" customHeight="1">
      <c r="A42" s="54">
        <v>16</v>
      </c>
      <c r="B42" s="727"/>
      <c r="C42" s="499" t="s">
        <v>270</v>
      </c>
      <c r="D42" s="610"/>
      <c r="E42" s="630">
        <v>8.3270640000000003E-3</v>
      </c>
      <c r="F42" s="326" t="s">
        <v>38</v>
      </c>
      <c r="G42" s="97">
        <f>+E42*$D$6</f>
        <v>19.951645343999999</v>
      </c>
      <c r="H42" s="98"/>
      <c r="I42" s="99">
        <f>G42+H42</f>
        <v>19.951645343999999</v>
      </c>
      <c r="J42" s="100">
        <v>11.229999999999999</v>
      </c>
      <c r="K42" s="99">
        <f t="shared" si="46"/>
        <v>8.7216453440000006</v>
      </c>
      <c r="L42" s="116">
        <f t="shared" si="47"/>
        <v>0.56286084713194662</v>
      </c>
      <c r="M42" s="306" t="s">
        <v>32</v>
      </c>
      <c r="N42" s="694">
        <f t="shared" ref="N42:O42" si="74">G42+G43</f>
        <v>31.426339536</v>
      </c>
      <c r="O42" s="619">
        <f t="shared" si="74"/>
        <v>0</v>
      </c>
      <c r="P42" s="619">
        <f t="shared" ref="P42" si="75">N42+O42</f>
        <v>31.426339536</v>
      </c>
      <c r="Q42" s="619">
        <f t="shared" ref="Q42" si="76">J42+J43</f>
        <v>11.229999999999999</v>
      </c>
      <c r="R42" s="619">
        <f t="shared" ref="R42" si="77">P42-Q42</f>
        <v>20.196339536000004</v>
      </c>
      <c r="S42" s="599">
        <f t="shared" ref="S42:S44" si="78">Q42/P42</f>
        <v>0.35734355848652466</v>
      </c>
    </row>
    <row r="43" spans="1:19" ht="15" customHeight="1" thickBot="1">
      <c r="A43" s="402"/>
      <c r="B43" s="728"/>
      <c r="C43" s="391"/>
      <c r="D43" s="610"/>
      <c r="E43" s="630"/>
      <c r="F43" s="327" t="s">
        <v>102</v>
      </c>
      <c r="G43" s="104">
        <f>+E42*$D$8</f>
        <v>11.474694192000001</v>
      </c>
      <c r="H43" s="230"/>
      <c r="I43" s="107">
        <f>G43+H43+K42</f>
        <v>20.196339536000004</v>
      </c>
      <c r="J43" s="102"/>
      <c r="K43" s="107">
        <f t="shared" si="46"/>
        <v>20.196339536000004</v>
      </c>
      <c r="L43" s="121">
        <f>J43/I43</f>
        <v>0</v>
      </c>
      <c r="M43" s="306" t="s">
        <v>32</v>
      </c>
      <c r="N43" s="695"/>
      <c r="O43" s="696"/>
      <c r="P43" s="696"/>
      <c r="Q43" s="696"/>
      <c r="R43" s="696"/>
      <c r="S43" s="697"/>
    </row>
    <row r="44" spans="1:19" ht="15.6" customHeight="1">
      <c r="A44" s="54"/>
      <c r="B44" s="159" t="s">
        <v>271</v>
      </c>
      <c r="C44" s="321"/>
      <c r="D44" s="324"/>
      <c r="E44" s="687">
        <f>SUM(E12:E43)</f>
        <v>0.24698050980000003</v>
      </c>
      <c r="F44" s="157" t="s">
        <v>38</v>
      </c>
      <c r="G44" s="111">
        <f t="shared" ref="G44:K45" si="79">G12+G16+G18+G20+G22+G24+G26+G28+G30+G32+G34+G36+G14+G38+G42+G40</f>
        <v>562.88733609359997</v>
      </c>
      <c r="H44" s="111">
        <f t="shared" si="79"/>
        <v>-172.39</v>
      </c>
      <c r="I44" s="111">
        <f t="shared" si="79"/>
        <v>390.49733609359998</v>
      </c>
      <c r="J44" s="111">
        <f t="shared" si="79"/>
        <v>81.291222222222231</v>
      </c>
      <c r="K44" s="111">
        <f t="shared" si="79"/>
        <v>309.2061138713778</v>
      </c>
      <c r="L44" s="237">
        <f t="shared" ref="L44" si="80">J44/I44</f>
        <v>0.2081735640899153</v>
      </c>
      <c r="M44" s="688" t="s">
        <v>32</v>
      </c>
      <c r="N44" s="604">
        <f>SUM(N12:N43)</f>
        <v>886.61803272840007</v>
      </c>
      <c r="O44" s="690">
        <f>SUM(O24:O43)</f>
        <v>-62.183</v>
      </c>
      <c r="P44" s="678">
        <f>+N44+O44</f>
        <v>824.43503272840007</v>
      </c>
      <c r="Q44" s="678">
        <f>SUM(Q24:Q43)</f>
        <v>65.123444444444445</v>
      </c>
      <c r="R44" s="678">
        <f>+P44-Q44</f>
        <v>759.31158828395564</v>
      </c>
      <c r="S44" s="680">
        <f t="shared" si="78"/>
        <v>7.8991602563180455E-2</v>
      </c>
    </row>
    <row r="45" spans="1:19" ht="16.2" thickBot="1">
      <c r="A45" s="54"/>
      <c r="B45" s="161"/>
      <c r="C45" s="315"/>
      <c r="D45" s="162"/>
      <c r="E45" s="601"/>
      <c r="F45" s="158" t="s">
        <v>102</v>
      </c>
      <c r="G45" s="112">
        <f t="shared" si="79"/>
        <v>323.7306966348001</v>
      </c>
      <c r="H45" s="112">
        <f t="shared" si="79"/>
        <v>0</v>
      </c>
      <c r="I45" s="112">
        <f t="shared" si="79"/>
        <v>632.93681050617772</v>
      </c>
      <c r="J45" s="112">
        <f t="shared" si="79"/>
        <v>0</v>
      </c>
      <c r="K45" s="112">
        <f t="shared" si="79"/>
        <v>632.93681050617772</v>
      </c>
      <c r="L45" s="238">
        <f>J45/I45</f>
        <v>0</v>
      </c>
      <c r="M45" s="689"/>
      <c r="N45" s="605"/>
      <c r="O45" s="691"/>
      <c r="P45" s="679"/>
      <c r="Q45" s="679"/>
      <c r="R45" s="679"/>
      <c r="S45" s="681"/>
    </row>
    <row r="46" spans="1:19">
      <c r="A46" s="54"/>
      <c r="B46" s="77"/>
      <c r="C46" s="316"/>
      <c r="D46" s="77"/>
      <c r="E46" s="77"/>
      <c r="F46" s="77"/>
      <c r="G46" s="77"/>
      <c r="H46" s="77"/>
      <c r="I46" s="77"/>
      <c r="J46" s="77"/>
      <c r="K46" s="77"/>
      <c r="L46" s="53"/>
      <c r="M46" s="77"/>
      <c r="N46" s="77"/>
      <c r="O46" s="77"/>
      <c r="P46" s="77"/>
      <c r="Q46" s="77"/>
      <c r="R46" s="77"/>
      <c r="S46" s="77"/>
    </row>
    <row r="47" spans="1:19" ht="15" thickBot="1">
      <c r="A47" s="54"/>
      <c r="B47" s="77"/>
      <c r="C47" s="316"/>
      <c r="D47" s="77"/>
      <c r="E47" s="77"/>
      <c r="F47" s="85"/>
      <c r="G47" s="77"/>
      <c r="H47" s="77"/>
      <c r="I47" s="77"/>
      <c r="J47" s="77"/>
      <c r="K47" s="77"/>
      <c r="L47" s="85"/>
      <c r="M47" s="77"/>
      <c r="N47" s="77"/>
      <c r="O47" s="77"/>
      <c r="P47" s="77"/>
      <c r="Q47" s="77"/>
      <c r="R47" s="77"/>
      <c r="S47" s="77"/>
    </row>
    <row r="48" spans="1:19" ht="47.4" thickBot="1">
      <c r="A48" s="54"/>
      <c r="B48" s="113" t="s">
        <v>246</v>
      </c>
      <c r="C48" s="317" t="s">
        <v>247</v>
      </c>
      <c r="D48" s="90" t="s">
        <v>248</v>
      </c>
      <c r="E48" s="91" t="s">
        <v>249</v>
      </c>
      <c r="F48" s="90" t="s">
        <v>250</v>
      </c>
      <c r="G48" s="90" t="s">
        <v>242</v>
      </c>
      <c r="H48" s="92" t="s">
        <v>4</v>
      </c>
      <c r="I48" s="90" t="s">
        <v>5</v>
      </c>
      <c r="J48" s="323" t="s">
        <v>243</v>
      </c>
      <c r="K48" s="90" t="s">
        <v>48</v>
      </c>
      <c r="L48" s="93" t="s">
        <v>49</v>
      </c>
      <c r="M48" s="93" t="s">
        <v>81</v>
      </c>
      <c r="N48" s="233" t="s">
        <v>251</v>
      </c>
      <c r="O48" s="234" t="s">
        <v>4</v>
      </c>
      <c r="P48" s="234" t="s">
        <v>5</v>
      </c>
      <c r="Q48" s="234" t="s">
        <v>6</v>
      </c>
      <c r="R48" s="234" t="s">
        <v>7</v>
      </c>
      <c r="S48" s="235" t="s">
        <v>252</v>
      </c>
    </row>
    <row r="49" spans="1:19" ht="15.6" customHeight="1">
      <c r="A49" s="54">
        <v>1</v>
      </c>
      <c r="B49" s="682" t="s">
        <v>272</v>
      </c>
      <c r="C49" s="665" t="s">
        <v>466</v>
      </c>
      <c r="D49" s="665">
        <v>4312</v>
      </c>
      <c r="E49" s="665">
        <v>2.0576755999999999E-3</v>
      </c>
      <c r="F49" s="117" t="s">
        <v>38</v>
      </c>
      <c r="G49" s="114">
        <f>+E49*$D$6</f>
        <v>4.9301907375999994</v>
      </c>
      <c r="H49" s="115"/>
      <c r="I49" s="118">
        <f>G49+H49</f>
        <v>4.9301907375999994</v>
      </c>
      <c r="J49" s="508">
        <v>0.47777777777777775</v>
      </c>
      <c r="K49" s="118">
        <f>I49-J49</f>
        <v>4.4524129598222215</v>
      </c>
      <c r="L49" s="119">
        <f t="shared" ref="L49:L80" si="81">J49/I49</f>
        <v>9.6908578837328799E-2</v>
      </c>
      <c r="M49" s="134" t="s">
        <v>32</v>
      </c>
      <c r="N49" s="693">
        <f>G49+G50</f>
        <v>7.7656677143999993</v>
      </c>
      <c r="O49" s="676">
        <f>H49+H50</f>
        <v>0</v>
      </c>
      <c r="P49" s="676">
        <f>N49+O49</f>
        <v>7.7656677143999993</v>
      </c>
      <c r="Q49" s="676">
        <f>J49+J50</f>
        <v>0.47777777777777775</v>
      </c>
      <c r="R49" s="676">
        <f>P49-Q49</f>
        <v>7.2878899366222214</v>
      </c>
      <c r="S49" s="677">
        <f>Q49/P49</f>
        <v>6.1524365366783199E-2</v>
      </c>
    </row>
    <row r="50" spans="1:19" ht="15.6">
      <c r="A50" s="54"/>
      <c r="B50" s="683"/>
      <c r="C50" s="672"/>
      <c r="D50" s="672"/>
      <c r="E50" s="672"/>
      <c r="F50" s="96" t="s">
        <v>102</v>
      </c>
      <c r="G50" s="97">
        <f>+E49*$D$8</f>
        <v>2.8354769767999999</v>
      </c>
      <c r="H50" s="98"/>
      <c r="I50" s="99">
        <f>G50+H50+K49</f>
        <v>7.2878899366222214</v>
      </c>
      <c r="J50" s="399"/>
      <c r="K50" s="99">
        <f t="shared" ref="K50:K80" si="82">I50-J50</f>
        <v>7.2878899366222214</v>
      </c>
      <c r="L50" s="116">
        <f t="shared" si="81"/>
        <v>0</v>
      </c>
      <c r="M50" s="134" t="s">
        <v>32</v>
      </c>
      <c r="N50" s="670"/>
      <c r="O50" s="661"/>
      <c r="P50" s="661"/>
      <c r="Q50" s="661"/>
      <c r="R50" s="661"/>
      <c r="S50" s="663"/>
    </row>
    <row r="51" spans="1:19" ht="15.6">
      <c r="A51" s="54">
        <v>2</v>
      </c>
      <c r="B51" s="683"/>
      <c r="C51" s="665" t="s">
        <v>437</v>
      </c>
      <c r="D51" s="665" t="s">
        <v>288</v>
      </c>
      <c r="E51" s="665">
        <v>2.02514905E-2</v>
      </c>
      <c r="F51" s="96" t="s">
        <v>38</v>
      </c>
      <c r="G51" s="114">
        <f>+E51*$D$6</f>
        <v>48.522571237999998</v>
      </c>
      <c r="H51" s="343">
        <v>-49.030999999999999</v>
      </c>
      <c r="I51" s="99">
        <f>G51+H51</f>
        <v>-0.5084287620000012</v>
      </c>
      <c r="J51" s="508">
        <v>5.3233333333333341</v>
      </c>
      <c r="K51" s="99">
        <f t="shared" ref="K51:K60" si="83">I51-J51</f>
        <v>-5.8317620953333353</v>
      </c>
      <c r="L51" s="116">
        <f t="shared" ref="L51:L60" si="84">J51/I51</f>
        <v>-10.470165598800882</v>
      </c>
      <c r="M51" s="134" t="s">
        <v>32</v>
      </c>
      <c r="N51" s="670">
        <f t="shared" ref="N51:O51" si="85">G51+G52</f>
        <v>76.429125146999993</v>
      </c>
      <c r="O51" s="661">
        <f t="shared" si="85"/>
        <v>-49.030999999999999</v>
      </c>
      <c r="P51" s="661">
        <f t="shared" ref="P51" si="86">N51+O51</f>
        <v>27.398125146999995</v>
      </c>
      <c r="Q51" s="661">
        <f t="shared" ref="Q51" si="87">J51+J52</f>
        <v>5.3233333333333341</v>
      </c>
      <c r="R51" s="661">
        <f t="shared" ref="R51" si="88">P51-Q51</f>
        <v>22.074791813666661</v>
      </c>
      <c r="S51" s="663">
        <f t="shared" ref="S51" si="89">Q51/P51</f>
        <v>0.19429553317140832</v>
      </c>
    </row>
    <row r="52" spans="1:19" ht="15.6">
      <c r="A52" s="54"/>
      <c r="B52" s="683"/>
      <c r="C52" s="666"/>
      <c r="D52" s="666"/>
      <c r="E52" s="666">
        <v>2.02514905E-2</v>
      </c>
      <c r="F52" s="96" t="s">
        <v>102</v>
      </c>
      <c r="G52" s="97">
        <f>+E51*$D$8</f>
        <v>27.906553908999999</v>
      </c>
      <c r="H52" s="98"/>
      <c r="I52" s="99">
        <f>G52+H52+K51</f>
        <v>22.074791813666664</v>
      </c>
      <c r="J52" s="399"/>
      <c r="K52" s="99">
        <f t="shared" si="83"/>
        <v>22.074791813666664</v>
      </c>
      <c r="L52" s="116">
        <f t="shared" si="84"/>
        <v>0</v>
      </c>
      <c r="M52" s="134" t="s">
        <v>32</v>
      </c>
      <c r="N52" s="670"/>
      <c r="O52" s="661"/>
      <c r="P52" s="661"/>
      <c r="Q52" s="661"/>
      <c r="R52" s="661"/>
      <c r="S52" s="663"/>
    </row>
    <row r="53" spans="1:19" ht="15.6">
      <c r="A53" s="54">
        <v>3</v>
      </c>
      <c r="B53" s="683"/>
      <c r="C53" s="665" t="s">
        <v>398</v>
      </c>
      <c r="D53" s="665" t="s">
        <v>278</v>
      </c>
      <c r="E53" s="665">
        <v>1.9725258700000001E-2</v>
      </c>
      <c r="F53" s="96" t="s">
        <v>279</v>
      </c>
      <c r="G53" s="114">
        <f>+E53*$D$6</f>
        <v>47.261719845200005</v>
      </c>
      <c r="H53" s="115"/>
      <c r="I53" s="99">
        <f>G53+H53</f>
        <v>47.261719845200005</v>
      </c>
      <c r="J53" s="508"/>
      <c r="K53" s="99">
        <f t="shared" si="83"/>
        <v>47.261719845200005</v>
      </c>
      <c r="L53" s="116">
        <f t="shared" si="84"/>
        <v>0</v>
      </c>
      <c r="M53" s="134" t="s">
        <v>32</v>
      </c>
      <c r="N53" s="670">
        <f t="shared" ref="N53:O53" si="90">G53+G54</f>
        <v>74.443126333800009</v>
      </c>
      <c r="O53" s="661">
        <f t="shared" si="90"/>
        <v>0</v>
      </c>
      <c r="P53" s="661">
        <f t="shared" ref="P53" si="91">N53+O53</f>
        <v>74.443126333800009</v>
      </c>
      <c r="Q53" s="661">
        <f t="shared" ref="Q53" si="92">J53+J54</f>
        <v>0</v>
      </c>
      <c r="R53" s="661">
        <f t="shared" ref="R53" si="93">P53-Q53</f>
        <v>74.443126333800009</v>
      </c>
      <c r="S53" s="663">
        <f t="shared" ref="S53" si="94">Q53/P53</f>
        <v>0</v>
      </c>
    </row>
    <row r="54" spans="1:19" ht="15.6">
      <c r="A54" s="54"/>
      <c r="B54" s="683"/>
      <c r="C54" s="672"/>
      <c r="D54" s="672"/>
      <c r="E54" s="672">
        <v>1.9725258700000001E-2</v>
      </c>
      <c r="F54" s="96" t="s">
        <v>280</v>
      </c>
      <c r="G54" s="97">
        <f>+E53*$D$8</f>
        <v>27.1814064886</v>
      </c>
      <c r="H54" s="98"/>
      <c r="I54" s="99">
        <f>G54+H54+K53</f>
        <v>74.443126333800009</v>
      </c>
      <c r="J54" s="399"/>
      <c r="K54" s="99">
        <f t="shared" si="83"/>
        <v>74.443126333800009</v>
      </c>
      <c r="L54" s="116">
        <f t="shared" si="84"/>
        <v>0</v>
      </c>
      <c r="M54" s="134" t="s">
        <v>32</v>
      </c>
      <c r="N54" s="670"/>
      <c r="O54" s="661"/>
      <c r="P54" s="661"/>
      <c r="Q54" s="661"/>
      <c r="R54" s="661"/>
      <c r="S54" s="663"/>
    </row>
    <row r="55" spans="1:19" ht="15.6">
      <c r="A55" s="54">
        <v>4</v>
      </c>
      <c r="B55" s="683"/>
      <c r="C55" s="665" t="s">
        <v>401</v>
      </c>
      <c r="D55" s="665" t="s">
        <v>287</v>
      </c>
      <c r="E55" s="665">
        <v>2.93809311E-2</v>
      </c>
      <c r="F55" s="96" t="s">
        <v>38</v>
      </c>
      <c r="G55" s="114">
        <f>+E55*$D$6</f>
        <v>70.396710915599996</v>
      </c>
      <c r="H55" s="344">
        <v>-97.352000000000004</v>
      </c>
      <c r="I55" s="99">
        <f>G55+H55</f>
        <v>-26.955289084400007</v>
      </c>
      <c r="J55" s="508">
        <v>1.7666666666666666</v>
      </c>
      <c r="K55" s="99">
        <f t="shared" si="83"/>
        <v>-28.721955751066673</v>
      </c>
      <c r="L55" s="116">
        <f t="shared" si="84"/>
        <v>-6.5540631418755588E-2</v>
      </c>
      <c r="M55" s="134" t="s">
        <v>32</v>
      </c>
      <c r="N55" s="670">
        <f t="shared" ref="N55:O55" si="95">G55+G56</f>
        <v>110.8836339714</v>
      </c>
      <c r="O55" s="661">
        <f t="shared" si="95"/>
        <v>-97.352000000000004</v>
      </c>
      <c r="P55" s="661">
        <f t="shared" ref="P55" si="96">N55+O55</f>
        <v>13.531633971399998</v>
      </c>
      <c r="Q55" s="661">
        <f t="shared" ref="Q55" si="97">J55+J56</f>
        <v>1.7666666666666666</v>
      </c>
      <c r="R55" s="661">
        <f t="shared" ref="R55" si="98">P55-Q55</f>
        <v>11.764967304733332</v>
      </c>
      <c r="S55" s="663">
        <f t="shared" ref="S55" si="99">Q55/P55</f>
        <v>0.13055826594191308</v>
      </c>
    </row>
    <row r="56" spans="1:19" ht="15.6">
      <c r="A56" s="54"/>
      <c r="B56" s="683"/>
      <c r="C56" s="666"/>
      <c r="D56" s="666"/>
      <c r="E56" s="666">
        <v>2.93809311E-2</v>
      </c>
      <c r="F56" s="96" t="s">
        <v>102</v>
      </c>
      <c r="G56" s="97">
        <f>+E55*$D$8</f>
        <v>40.486923055799998</v>
      </c>
      <c r="H56" s="98"/>
      <c r="I56" s="99">
        <f>G56+H56+K55</f>
        <v>11.764967304733325</v>
      </c>
      <c r="J56" s="399"/>
      <c r="K56" s="99">
        <f t="shared" si="83"/>
        <v>11.764967304733325</v>
      </c>
      <c r="L56" s="116">
        <f t="shared" si="84"/>
        <v>0</v>
      </c>
      <c r="M56" s="134" t="s">
        <v>32</v>
      </c>
      <c r="N56" s="670"/>
      <c r="O56" s="661"/>
      <c r="P56" s="661"/>
      <c r="Q56" s="661"/>
      <c r="R56" s="661"/>
      <c r="S56" s="663"/>
    </row>
    <row r="57" spans="1:19" ht="15.6">
      <c r="A57" s="54">
        <v>5</v>
      </c>
      <c r="B57" s="683"/>
      <c r="C57" s="665" t="s">
        <v>283</v>
      </c>
      <c r="D57" s="665" t="s">
        <v>284</v>
      </c>
      <c r="E57" s="665">
        <v>1.8474085000000001E-2</v>
      </c>
      <c r="F57" s="96" t="s">
        <v>38</v>
      </c>
      <c r="G57" s="114">
        <f>+E57*$D$6</f>
        <v>44.263907660000001</v>
      </c>
      <c r="H57" s="339">
        <v>-67.206999999999994</v>
      </c>
      <c r="I57" s="99">
        <f>G57+H57</f>
        <v>-22.943092339999993</v>
      </c>
      <c r="J57" s="508">
        <v>1.1111111111111112</v>
      </c>
      <c r="K57" s="99">
        <f t="shared" si="83"/>
        <v>-24.054203451111103</v>
      </c>
      <c r="L57" s="116">
        <f t="shared" si="84"/>
        <v>-4.8429004017647236E-2</v>
      </c>
      <c r="M57" s="134" t="s">
        <v>32</v>
      </c>
      <c r="N57" s="670">
        <f t="shared" ref="N57:O57" si="100">G57+G58</f>
        <v>69.721196790000008</v>
      </c>
      <c r="O57" s="661">
        <f t="shared" si="100"/>
        <v>-67.206999999999994</v>
      </c>
      <c r="P57" s="661">
        <f t="shared" ref="P57" si="101">N57+O57</f>
        <v>2.5141967900000139</v>
      </c>
      <c r="Q57" s="661">
        <f t="shared" ref="Q57" si="102">J57+J58</f>
        <v>1.1111111111111112</v>
      </c>
      <c r="R57" s="661">
        <f t="shared" ref="R57" si="103">P57-Q57</f>
        <v>1.4030856788889028</v>
      </c>
      <c r="S57" s="663">
        <f t="shared" ref="S57" si="104">Q57/P57</f>
        <v>0.44193482209922996</v>
      </c>
    </row>
    <row r="58" spans="1:19" ht="15.6">
      <c r="A58" s="54"/>
      <c r="B58" s="683"/>
      <c r="C58" s="672"/>
      <c r="D58" s="672"/>
      <c r="E58" s="672">
        <v>1.6815305400000001E-2</v>
      </c>
      <c r="F58" s="96" t="s">
        <v>102</v>
      </c>
      <c r="G58" s="97">
        <f>+E57*$D$8</f>
        <v>25.457289130000003</v>
      </c>
      <c r="H58" s="98"/>
      <c r="I58" s="99">
        <f>G58+H58+K57</f>
        <v>1.4030856788888997</v>
      </c>
      <c r="J58" s="399"/>
      <c r="K58" s="99">
        <f t="shared" si="83"/>
        <v>1.4030856788888997</v>
      </c>
      <c r="L58" s="116">
        <f t="shared" si="84"/>
        <v>0</v>
      </c>
      <c r="M58" s="134" t="s">
        <v>32</v>
      </c>
      <c r="N58" s="670"/>
      <c r="O58" s="661"/>
      <c r="P58" s="661"/>
      <c r="Q58" s="661"/>
      <c r="R58" s="661"/>
      <c r="S58" s="663"/>
    </row>
    <row r="59" spans="1:19" ht="15.6">
      <c r="A59" s="54">
        <v>6</v>
      </c>
      <c r="B59" s="683"/>
      <c r="C59" s="665" t="s">
        <v>467</v>
      </c>
      <c r="D59" s="665" t="s">
        <v>286</v>
      </c>
      <c r="E59" s="665">
        <v>2.3606734099999999E-2</v>
      </c>
      <c r="F59" s="96" t="s">
        <v>38</v>
      </c>
      <c r="G59" s="114">
        <f>+E59*$D$6</f>
        <v>56.561734903599998</v>
      </c>
      <c r="H59" s="115"/>
      <c r="I59" s="99">
        <f>G59+H59</f>
        <v>56.561734903599998</v>
      </c>
      <c r="J59" s="508">
        <v>12.202222222222222</v>
      </c>
      <c r="K59" s="99">
        <f t="shared" si="83"/>
        <v>44.35951268137778</v>
      </c>
      <c r="L59" s="116">
        <f t="shared" si="84"/>
        <v>0.21573281376568215</v>
      </c>
      <c r="M59" s="134" t="s">
        <v>32</v>
      </c>
      <c r="N59" s="670">
        <f t="shared" ref="N59:O59" si="105">G59+G60</f>
        <v>89.091814493399994</v>
      </c>
      <c r="O59" s="661">
        <f t="shared" si="105"/>
        <v>0</v>
      </c>
      <c r="P59" s="661">
        <f t="shared" ref="P59" si="106">N59+O59</f>
        <v>89.091814493399994</v>
      </c>
      <c r="Q59" s="661">
        <f t="shared" ref="Q59" si="107">J59+J60</f>
        <v>12.202222222222222</v>
      </c>
      <c r="R59" s="661">
        <f t="shared" ref="R59" si="108">P59-Q59</f>
        <v>76.889592271177776</v>
      </c>
      <c r="S59" s="663">
        <f t="shared" ref="S59" si="109">Q59/P59</f>
        <v>0.13696232691642141</v>
      </c>
    </row>
    <row r="60" spans="1:19" ht="15.6">
      <c r="A60" s="54"/>
      <c r="B60" s="683"/>
      <c r="C60" s="666"/>
      <c r="D60" s="666"/>
      <c r="E60" s="666">
        <v>2.3606734099999999E-2</v>
      </c>
      <c r="F60" s="96" t="s">
        <v>102</v>
      </c>
      <c r="G60" s="97">
        <f>+E59*$D$8</f>
        <v>32.530079589799996</v>
      </c>
      <c r="H60" s="98"/>
      <c r="I60" s="99">
        <f>G60+H60+K59</f>
        <v>76.889592271177776</v>
      </c>
      <c r="J60" s="399"/>
      <c r="K60" s="99">
        <f t="shared" si="83"/>
        <v>76.889592271177776</v>
      </c>
      <c r="L60" s="116">
        <f t="shared" si="84"/>
        <v>0</v>
      </c>
      <c r="M60" s="134" t="s">
        <v>32</v>
      </c>
      <c r="N60" s="670"/>
      <c r="O60" s="661"/>
      <c r="P60" s="661"/>
      <c r="Q60" s="661"/>
      <c r="R60" s="661"/>
      <c r="S60" s="663"/>
    </row>
    <row r="61" spans="1:19" ht="15.6">
      <c r="A61" s="54">
        <v>7</v>
      </c>
      <c r="B61" s="683"/>
      <c r="C61" s="665" t="s">
        <v>468</v>
      </c>
      <c r="D61" s="665" t="s">
        <v>275</v>
      </c>
      <c r="E61" s="665">
        <v>1.4061789599999999E-2</v>
      </c>
      <c r="F61" s="96" t="s">
        <v>38</v>
      </c>
      <c r="G61" s="114">
        <f>+E61*$D$6</f>
        <v>33.692047881599997</v>
      </c>
      <c r="H61" s="343">
        <v>-13.84</v>
      </c>
      <c r="I61" s="99">
        <f>G61+H61</f>
        <v>19.852047881599997</v>
      </c>
      <c r="J61" s="508">
        <v>2.8644444444444441</v>
      </c>
      <c r="K61" s="99">
        <f t="shared" si="82"/>
        <v>16.987603437155553</v>
      </c>
      <c r="L61" s="116">
        <f t="shared" si="81"/>
        <v>0.1442896199691002</v>
      </c>
      <c r="M61" s="134" t="s">
        <v>32</v>
      </c>
      <c r="N61" s="670">
        <f t="shared" ref="N61:O61" si="110">G61+G62</f>
        <v>53.069193950399992</v>
      </c>
      <c r="O61" s="661">
        <f t="shared" si="110"/>
        <v>-13.84</v>
      </c>
      <c r="P61" s="661">
        <f t="shared" ref="P61" si="111">N61+O61</f>
        <v>39.229193950399988</v>
      </c>
      <c r="Q61" s="661">
        <f t="shared" ref="Q61" si="112">J61+J62</f>
        <v>2.8644444444444441</v>
      </c>
      <c r="R61" s="661">
        <f t="shared" ref="R61" si="113">P61-Q61</f>
        <v>36.364749505955544</v>
      </c>
      <c r="S61" s="663">
        <f t="shared" ref="S61" si="114">Q61/P61</f>
        <v>7.3018182531768228E-2</v>
      </c>
    </row>
    <row r="62" spans="1:19" ht="15.6">
      <c r="A62" s="54"/>
      <c r="B62" s="683"/>
      <c r="C62" s="672"/>
      <c r="D62" s="672"/>
      <c r="E62" s="672">
        <v>1.4061789599999999E-2</v>
      </c>
      <c r="F62" s="96" t="s">
        <v>102</v>
      </c>
      <c r="G62" s="97">
        <f>+E61*$D$8</f>
        <v>19.377146068799998</v>
      </c>
      <c r="H62" s="98"/>
      <c r="I62" s="99">
        <f>G62+H62+K61</f>
        <v>36.364749505955551</v>
      </c>
      <c r="J62" s="399"/>
      <c r="K62" s="99">
        <f t="shared" si="82"/>
        <v>36.364749505955551</v>
      </c>
      <c r="L62" s="116">
        <f t="shared" si="81"/>
        <v>0</v>
      </c>
      <c r="M62" s="134" t="s">
        <v>32</v>
      </c>
      <c r="N62" s="670"/>
      <c r="O62" s="661"/>
      <c r="P62" s="661"/>
      <c r="Q62" s="661"/>
      <c r="R62" s="661"/>
      <c r="S62" s="663"/>
    </row>
    <row r="63" spans="1:19" ht="15.6">
      <c r="A63" s="54">
        <v>8</v>
      </c>
      <c r="B63" s="683"/>
      <c r="C63" s="665" t="s">
        <v>399</v>
      </c>
      <c r="D63" s="665" t="s">
        <v>285</v>
      </c>
      <c r="E63" s="665">
        <v>1.7517082E-2</v>
      </c>
      <c r="F63" s="96" t="s">
        <v>38</v>
      </c>
      <c r="G63" s="114">
        <f>+E63*$D$6</f>
        <v>41.970928471999997</v>
      </c>
      <c r="H63" s="343">
        <v>-66.11</v>
      </c>
      <c r="I63" s="99">
        <f>G63+H63</f>
        <v>-24.139071528000002</v>
      </c>
      <c r="J63" s="508"/>
      <c r="K63" s="99">
        <f t="shared" ref="K63:K68" si="115">I63-J63</f>
        <v>-24.139071528000002</v>
      </c>
      <c r="L63" s="116">
        <f t="shared" ref="L63:L68" si="116">J63/I63</f>
        <v>0</v>
      </c>
      <c r="M63" s="409">
        <v>43508</v>
      </c>
      <c r="N63" s="673">
        <f t="shared" ref="N63:O63" si="117">G63+G64</f>
        <v>66.109467467999991</v>
      </c>
      <c r="O63" s="674">
        <f t="shared" si="117"/>
        <v>-66.11</v>
      </c>
      <c r="P63" s="674">
        <f t="shared" ref="P63" si="118">N63+O63</f>
        <v>-5.3253200000824563E-4</v>
      </c>
      <c r="Q63" s="674">
        <f t="shared" ref="Q63" si="119">J63+J64</f>
        <v>0</v>
      </c>
      <c r="R63" s="674">
        <f t="shared" ref="R63" si="120">P63-Q63</f>
        <v>-5.3253200000824563E-4</v>
      </c>
      <c r="S63" s="675">
        <f t="shared" ref="S63" si="121">Q63/P63</f>
        <v>0</v>
      </c>
    </row>
    <row r="64" spans="1:19" ht="15.6">
      <c r="A64" s="54"/>
      <c r="B64" s="683"/>
      <c r="C64" s="666"/>
      <c r="D64" s="666"/>
      <c r="E64" s="666">
        <v>1.7517082E-2</v>
      </c>
      <c r="F64" s="96" t="s">
        <v>102</v>
      </c>
      <c r="G64" s="97">
        <f>+E63*$D$8</f>
        <v>24.138538996000001</v>
      </c>
      <c r="H64" s="98"/>
      <c r="I64" s="99">
        <f>G64+H64+K63</f>
        <v>-5.325320000011402E-4</v>
      </c>
      <c r="J64" s="399"/>
      <c r="K64" s="99">
        <f t="shared" si="115"/>
        <v>-5.325320000011402E-4</v>
      </c>
      <c r="L64" s="116">
        <f t="shared" si="116"/>
        <v>0</v>
      </c>
      <c r="M64" s="409">
        <v>43508</v>
      </c>
      <c r="N64" s="673"/>
      <c r="O64" s="674"/>
      <c r="P64" s="674"/>
      <c r="Q64" s="674"/>
      <c r="R64" s="674"/>
      <c r="S64" s="675"/>
    </row>
    <row r="65" spans="1:19" ht="15.6">
      <c r="A65" s="54">
        <v>9</v>
      </c>
      <c r="B65" s="683"/>
      <c r="C65" s="665" t="s">
        <v>395</v>
      </c>
      <c r="D65" s="665" t="s">
        <v>273</v>
      </c>
      <c r="E65" s="665">
        <v>5.4949761999999999E-2</v>
      </c>
      <c r="F65" s="117" t="s">
        <v>38</v>
      </c>
      <c r="G65" s="114">
        <f>+E65*$D$6</f>
        <v>131.659629752</v>
      </c>
      <c r="H65" s="343">
        <v>-207.38</v>
      </c>
      <c r="I65" s="118">
        <f>G65+H65</f>
        <v>-75.720370247999995</v>
      </c>
      <c r="J65" s="508"/>
      <c r="K65" s="118">
        <f t="shared" si="115"/>
        <v>-75.720370247999995</v>
      </c>
      <c r="L65" s="239">
        <f t="shared" si="116"/>
        <v>0</v>
      </c>
      <c r="M65" s="409">
        <v>43508</v>
      </c>
      <c r="N65" s="685">
        <f t="shared" ref="N65:O65" si="122">G65+G66</f>
        <v>207.380401788</v>
      </c>
      <c r="O65" s="686">
        <f t="shared" si="122"/>
        <v>-207.38</v>
      </c>
      <c r="P65" s="686">
        <f t="shared" ref="P65" si="123">N65+O65</f>
        <v>4.01788000004899E-4</v>
      </c>
      <c r="Q65" s="686">
        <f t="shared" ref="Q65" si="124">J65+J66</f>
        <v>0</v>
      </c>
      <c r="R65" s="686">
        <f t="shared" ref="R65" si="125">P65-Q65</f>
        <v>4.01788000004899E-4</v>
      </c>
      <c r="S65" s="692">
        <f t="shared" ref="S65" si="126">Q65/P65</f>
        <v>0</v>
      </c>
    </row>
    <row r="66" spans="1:19" ht="15.6">
      <c r="A66" s="54"/>
      <c r="B66" s="683"/>
      <c r="C66" s="672"/>
      <c r="D66" s="672"/>
      <c r="E66" s="672">
        <v>5.9070873500000003E-2</v>
      </c>
      <c r="F66" s="96" t="s">
        <v>102</v>
      </c>
      <c r="G66" s="97">
        <f>+E65*$D$8</f>
        <v>75.720772036</v>
      </c>
      <c r="H66" s="98"/>
      <c r="I66" s="99">
        <f>G66+H66+K65</f>
        <v>4.01788000004899E-4</v>
      </c>
      <c r="J66" s="399"/>
      <c r="K66" s="99">
        <f t="shared" si="115"/>
        <v>4.01788000004899E-4</v>
      </c>
      <c r="L66" s="116">
        <f t="shared" si="116"/>
        <v>0</v>
      </c>
      <c r="M66" s="409">
        <v>43508</v>
      </c>
      <c r="N66" s="673"/>
      <c r="O66" s="674"/>
      <c r="P66" s="674"/>
      <c r="Q66" s="674"/>
      <c r="R66" s="674"/>
      <c r="S66" s="675"/>
    </row>
    <row r="67" spans="1:19" ht="15.6">
      <c r="A67" s="54">
        <v>10</v>
      </c>
      <c r="B67" s="683"/>
      <c r="C67" s="665" t="s">
        <v>397</v>
      </c>
      <c r="D67" s="665" t="s">
        <v>277</v>
      </c>
      <c r="E67" s="665">
        <v>1.4386281000000001E-2</v>
      </c>
      <c r="F67" s="96" t="s">
        <v>38</v>
      </c>
      <c r="G67" s="114">
        <f>+E67*$D$6</f>
        <v>34.469529276000003</v>
      </c>
      <c r="H67" s="343">
        <v>-54.293999999999997</v>
      </c>
      <c r="I67" s="99">
        <f>G67+H67</f>
        <v>-19.824470723999994</v>
      </c>
      <c r="J67" s="508"/>
      <c r="K67" s="99">
        <f t="shared" si="115"/>
        <v>-19.824470723999994</v>
      </c>
      <c r="L67" s="116">
        <f t="shared" si="116"/>
        <v>0</v>
      </c>
      <c r="M67" s="409">
        <v>43508</v>
      </c>
      <c r="N67" s="673">
        <f t="shared" ref="N67:O67" si="127">G67+G68</f>
        <v>54.293824494000006</v>
      </c>
      <c r="O67" s="674">
        <f t="shared" si="127"/>
        <v>-54.293999999999997</v>
      </c>
      <c r="P67" s="674">
        <f t="shared" ref="P67" si="128">N67+O67</f>
        <v>-1.7550599999083261E-4</v>
      </c>
      <c r="Q67" s="674">
        <f t="shared" ref="Q67" si="129">J67+J68</f>
        <v>0</v>
      </c>
      <c r="R67" s="674">
        <f t="shared" ref="R67" si="130">P67-Q67</f>
        <v>-1.7550599999083261E-4</v>
      </c>
      <c r="S67" s="675">
        <f t="shared" ref="S67" si="131">Q67/P67</f>
        <v>0</v>
      </c>
    </row>
    <row r="68" spans="1:19" ht="15.6">
      <c r="A68" s="54"/>
      <c r="B68" s="683"/>
      <c r="C68" s="666"/>
      <c r="D68" s="666"/>
      <c r="E68" s="666">
        <v>1.14960093E-2</v>
      </c>
      <c r="F68" s="96" t="s">
        <v>102</v>
      </c>
      <c r="G68" s="97">
        <f>+E67*$D$8</f>
        <v>19.824295218</v>
      </c>
      <c r="H68" s="98"/>
      <c r="I68" s="99">
        <f>G68+H68+K67</f>
        <v>-1.7550599999438532E-4</v>
      </c>
      <c r="J68" s="399"/>
      <c r="K68" s="99">
        <f t="shared" si="115"/>
        <v>-1.7550599999438532E-4</v>
      </c>
      <c r="L68" s="116">
        <f t="shared" si="116"/>
        <v>0</v>
      </c>
      <c r="M68" s="409">
        <v>43508</v>
      </c>
      <c r="N68" s="673"/>
      <c r="O68" s="674"/>
      <c r="P68" s="674"/>
      <c r="Q68" s="674"/>
      <c r="R68" s="674"/>
      <c r="S68" s="675"/>
    </row>
    <row r="69" spans="1:19" ht="15.6">
      <c r="A69" s="54">
        <v>11</v>
      </c>
      <c r="B69" s="683"/>
      <c r="C69" s="665" t="s">
        <v>436</v>
      </c>
      <c r="D69" s="665" t="s">
        <v>276</v>
      </c>
      <c r="E69" s="665">
        <v>3.7086950000000001E-3</v>
      </c>
      <c r="F69" s="96" t="s">
        <v>38</v>
      </c>
      <c r="G69" s="114">
        <f>+E69*$D$6</f>
        <v>8.8860332199999998</v>
      </c>
      <c r="H69" s="311">
        <v>-13.997</v>
      </c>
      <c r="I69" s="99">
        <f>G69+H69</f>
        <v>-5.11096678</v>
      </c>
      <c r="J69" s="508"/>
      <c r="K69" s="99">
        <f t="shared" si="82"/>
        <v>-5.11096678</v>
      </c>
      <c r="L69" s="116">
        <f t="shared" si="81"/>
        <v>0</v>
      </c>
      <c r="M69" s="409">
        <v>43508</v>
      </c>
      <c r="N69" s="673">
        <f t="shared" ref="N69:O69" si="132">G69+G70</f>
        <v>13.99661493</v>
      </c>
      <c r="O69" s="674">
        <f t="shared" si="132"/>
        <v>-13.997</v>
      </c>
      <c r="P69" s="674">
        <f t="shared" ref="P69" si="133">N69+O69</f>
        <v>-3.8507000000009839E-4</v>
      </c>
      <c r="Q69" s="674">
        <f t="shared" ref="Q69" si="134">J69+J70</f>
        <v>0</v>
      </c>
      <c r="R69" s="674">
        <f t="shared" ref="R69" si="135">P69-Q69</f>
        <v>-3.8507000000009839E-4</v>
      </c>
      <c r="S69" s="675">
        <f t="shared" ref="S69" si="136">Q69/P69</f>
        <v>0</v>
      </c>
    </row>
    <row r="70" spans="1:19" ht="15.6">
      <c r="A70" s="54"/>
      <c r="B70" s="683"/>
      <c r="C70" s="672"/>
      <c r="D70" s="672"/>
      <c r="E70" s="672">
        <v>3.7086950000000001E-3</v>
      </c>
      <c r="F70" s="96" t="s">
        <v>102</v>
      </c>
      <c r="G70" s="97">
        <f>+E69*$D$8</f>
        <v>5.1105817099999999</v>
      </c>
      <c r="H70" s="98"/>
      <c r="I70" s="99">
        <f>G70+H70+K69</f>
        <v>-3.8507000000009839E-4</v>
      </c>
      <c r="J70" s="399"/>
      <c r="K70" s="99">
        <f t="shared" si="82"/>
        <v>-3.8507000000009839E-4</v>
      </c>
      <c r="L70" s="116">
        <f t="shared" si="81"/>
        <v>0</v>
      </c>
      <c r="M70" s="409">
        <v>43508</v>
      </c>
      <c r="N70" s="673"/>
      <c r="O70" s="674"/>
      <c r="P70" s="674"/>
      <c r="Q70" s="674"/>
      <c r="R70" s="674"/>
      <c r="S70" s="675"/>
    </row>
    <row r="71" spans="1:19" ht="15.6">
      <c r="A71" s="54">
        <v>12</v>
      </c>
      <c r="B71" s="683"/>
      <c r="C71" s="665" t="s">
        <v>281</v>
      </c>
      <c r="D71" s="665" t="s">
        <v>282</v>
      </c>
      <c r="E71" s="665">
        <v>6.0805267E-3</v>
      </c>
      <c r="F71" s="96" t="s">
        <v>38</v>
      </c>
      <c r="G71" s="114">
        <f>+E71*$D$6</f>
        <v>14.568941973199999</v>
      </c>
      <c r="H71" s="343">
        <v>-22.302</v>
      </c>
      <c r="I71" s="99">
        <f>G71+H71</f>
        <v>-7.7330580268000002</v>
      </c>
      <c r="J71" s="508"/>
      <c r="K71" s="99">
        <f t="shared" si="82"/>
        <v>-7.7330580268000002</v>
      </c>
      <c r="L71" s="116">
        <f t="shared" si="81"/>
        <v>0</v>
      </c>
      <c r="M71" s="134" t="s">
        <v>32</v>
      </c>
      <c r="N71" s="670">
        <f t="shared" ref="N71:O71" si="137">G71+G72</f>
        <v>22.9479077658</v>
      </c>
      <c r="O71" s="661">
        <f t="shared" si="137"/>
        <v>-22.302</v>
      </c>
      <c r="P71" s="661">
        <f t="shared" ref="P71" si="138">N71+O71</f>
        <v>0.64590776580000053</v>
      </c>
      <c r="Q71" s="661">
        <f t="shared" ref="Q71" si="139">J71+J72</f>
        <v>0</v>
      </c>
      <c r="R71" s="661">
        <f t="shared" ref="R71" si="140">P71-Q71</f>
        <v>0.64590776580000053</v>
      </c>
      <c r="S71" s="663">
        <f t="shared" ref="S71" si="141">Q71/P71</f>
        <v>0</v>
      </c>
    </row>
    <row r="72" spans="1:19" ht="15.6">
      <c r="A72" s="54"/>
      <c r="B72" s="683"/>
      <c r="C72" s="666"/>
      <c r="D72" s="666"/>
      <c r="E72" s="666">
        <v>6.0805267E-3</v>
      </c>
      <c r="F72" s="96" t="s">
        <v>102</v>
      </c>
      <c r="G72" s="97">
        <f>+E71*$D$8</f>
        <v>8.3789657926000007</v>
      </c>
      <c r="H72" s="98"/>
      <c r="I72" s="99">
        <f>G72+H72+K71</f>
        <v>0.64590776580000053</v>
      </c>
      <c r="J72" s="399"/>
      <c r="K72" s="99">
        <f t="shared" si="82"/>
        <v>0.64590776580000053</v>
      </c>
      <c r="L72" s="116">
        <f t="shared" si="81"/>
        <v>0</v>
      </c>
      <c r="M72" s="134" t="s">
        <v>32</v>
      </c>
      <c r="N72" s="670"/>
      <c r="O72" s="661"/>
      <c r="P72" s="661"/>
      <c r="Q72" s="661"/>
      <c r="R72" s="661"/>
      <c r="S72" s="663"/>
    </row>
    <row r="73" spans="1:19" ht="15.6">
      <c r="A73" s="54">
        <v>13</v>
      </c>
      <c r="B73" s="683"/>
      <c r="C73" s="665" t="s">
        <v>403</v>
      </c>
      <c r="D73" s="665" t="s">
        <v>290</v>
      </c>
      <c r="E73" s="665">
        <v>3.7391969000000001E-3</v>
      </c>
      <c r="F73" s="96" t="s">
        <v>38</v>
      </c>
      <c r="G73" s="114">
        <f>+E73*$D$6</f>
        <v>8.9591157724000006</v>
      </c>
      <c r="H73" s="115"/>
      <c r="I73" s="99">
        <f>G73+H73</f>
        <v>8.9591157724000006</v>
      </c>
      <c r="J73" s="508">
        <v>7.3333333333333334E-2</v>
      </c>
      <c r="K73" s="99">
        <f>I73-J73</f>
        <v>8.8857824390666664</v>
      </c>
      <c r="L73" s="116">
        <f>J73/I73</f>
        <v>8.1853315881069959E-3</v>
      </c>
      <c r="M73" s="134" t="s">
        <v>32</v>
      </c>
      <c r="N73" s="670">
        <f t="shared" ref="N73:O73" si="142">G73+G74</f>
        <v>14.111729100600002</v>
      </c>
      <c r="O73" s="661">
        <f t="shared" si="142"/>
        <v>0</v>
      </c>
      <c r="P73" s="661">
        <f t="shared" ref="P73" si="143">N73+O73</f>
        <v>14.111729100600002</v>
      </c>
      <c r="Q73" s="661">
        <f t="shared" ref="Q73" si="144">J73+J74</f>
        <v>7.3333333333333334E-2</v>
      </c>
      <c r="R73" s="661">
        <f t="shared" ref="R73" si="145">P73-Q73</f>
        <v>14.038395767266667</v>
      </c>
      <c r="S73" s="663">
        <f t="shared" ref="S73" si="146">Q73/P73</f>
        <v>5.196622810043551E-3</v>
      </c>
    </row>
    <row r="74" spans="1:19" ht="15.6">
      <c r="A74" s="54"/>
      <c r="B74" s="683"/>
      <c r="C74" s="672"/>
      <c r="D74" s="672"/>
      <c r="E74" s="672">
        <v>3.7391969000000001E-3</v>
      </c>
      <c r="F74" s="96" t="s">
        <v>102</v>
      </c>
      <c r="G74" s="97">
        <f>+E73*$D$8</f>
        <v>5.1526133282000002</v>
      </c>
      <c r="H74" s="98"/>
      <c r="I74" s="99">
        <f>G74+H74+K73</f>
        <v>14.038395767266667</v>
      </c>
      <c r="J74" s="399"/>
      <c r="K74" s="99">
        <f>I74-J74</f>
        <v>14.038395767266667</v>
      </c>
      <c r="L74" s="116">
        <f>J74/I74</f>
        <v>0</v>
      </c>
      <c r="M74" s="134" t="s">
        <v>32</v>
      </c>
      <c r="N74" s="670"/>
      <c r="O74" s="661"/>
      <c r="P74" s="661"/>
      <c r="Q74" s="661"/>
      <c r="R74" s="661"/>
      <c r="S74" s="663"/>
    </row>
    <row r="75" spans="1:19" ht="15.6" customHeight="1">
      <c r="A75" s="54">
        <v>14</v>
      </c>
      <c r="B75" s="683"/>
      <c r="C75" s="665" t="s">
        <v>469</v>
      </c>
      <c r="D75" s="665" t="s">
        <v>289</v>
      </c>
      <c r="E75" s="665">
        <v>7.8781179999999999E-3</v>
      </c>
      <c r="F75" s="96" t="s">
        <v>38</v>
      </c>
      <c r="G75" s="114">
        <f>+E75*$D$6</f>
        <v>18.875970727999999</v>
      </c>
      <c r="H75" s="311">
        <v>-24.238</v>
      </c>
      <c r="I75" s="99">
        <f>G75+H75</f>
        <v>-5.3620292720000009</v>
      </c>
      <c r="J75" s="508"/>
      <c r="K75" s="99">
        <f t="shared" si="82"/>
        <v>-5.3620292720000009</v>
      </c>
      <c r="L75" s="116">
        <f t="shared" si="81"/>
        <v>0</v>
      </c>
      <c r="M75" s="134" t="s">
        <v>32</v>
      </c>
      <c r="N75" s="670">
        <f t="shared" ref="N75:O75" si="147">G75+G76</f>
        <v>29.732017331999998</v>
      </c>
      <c r="O75" s="661">
        <f t="shared" si="147"/>
        <v>-24.238</v>
      </c>
      <c r="P75" s="661">
        <f t="shared" ref="P75" si="148">N75+O75</f>
        <v>5.4940173319999985</v>
      </c>
      <c r="Q75" s="661">
        <f t="shared" ref="Q75" si="149">J75+J76</f>
        <v>0</v>
      </c>
      <c r="R75" s="661">
        <f t="shared" ref="R75" si="150">P75-Q75</f>
        <v>5.4940173319999985</v>
      </c>
      <c r="S75" s="663">
        <f t="shared" ref="S75" si="151">Q75/P75</f>
        <v>0</v>
      </c>
    </row>
    <row r="76" spans="1:19" ht="15.6">
      <c r="A76" s="54"/>
      <c r="B76" s="683"/>
      <c r="C76" s="666"/>
      <c r="D76" s="666"/>
      <c r="E76" s="666">
        <v>6.5118729999999996E-3</v>
      </c>
      <c r="F76" s="341" t="s">
        <v>102</v>
      </c>
      <c r="G76" s="97">
        <f>+E75*$D$8</f>
        <v>10.856046603999999</v>
      </c>
      <c r="H76" s="98"/>
      <c r="I76" s="99">
        <f>G76+H76+K75</f>
        <v>5.4940173319999985</v>
      </c>
      <c r="J76" s="399"/>
      <c r="K76" s="99">
        <f t="shared" si="82"/>
        <v>5.4940173319999985</v>
      </c>
      <c r="L76" s="116">
        <f t="shared" si="81"/>
        <v>0</v>
      </c>
      <c r="M76" s="134" t="s">
        <v>32</v>
      </c>
      <c r="N76" s="670"/>
      <c r="O76" s="661"/>
      <c r="P76" s="661"/>
      <c r="Q76" s="661"/>
      <c r="R76" s="661"/>
      <c r="S76" s="663"/>
    </row>
    <row r="77" spans="1:19" ht="15.6">
      <c r="A77" s="54">
        <v>15</v>
      </c>
      <c r="B77" s="683"/>
      <c r="C77" s="665" t="s">
        <v>470</v>
      </c>
      <c r="D77" s="665" t="s">
        <v>291</v>
      </c>
      <c r="E77" s="665">
        <v>1.1437660000000001E-3</v>
      </c>
      <c r="F77" s="96" t="s">
        <v>38</v>
      </c>
      <c r="G77" s="114">
        <f>+E77*$D$6</f>
        <v>2.7404633359999999</v>
      </c>
      <c r="H77" s="343">
        <v>-4.3159999999999998</v>
      </c>
      <c r="I77" s="99">
        <f>G77+H77</f>
        <v>-1.5755366639999999</v>
      </c>
      <c r="J77" s="508"/>
      <c r="K77" s="99">
        <f t="shared" si="82"/>
        <v>-1.5755366639999999</v>
      </c>
      <c r="L77" s="116">
        <f t="shared" si="81"/>
        <v>0</v>
      </c>
      <c r="M77" s="409">
        <v>43508</v>
      </c>
      <c r="N77" s="673">
        <f t="shared" ref="N77:O81" si="152">G77+G78</f>
        <v>4.3165728840000002</v>
      </c>
      <c r="O77" s="674">
        <f t="shared" si="152"/>
        <v>-4.3159999999999998</v>
      </c>
      <c r="P77" s="674">
        <f t="shared" ref="P77" si="153">N77+O77</f>
        <v>5.728840000003288E-4</v>
      </c>
      <c r="Q77" s="674">
        <f t="shared" ref="Q77" si="154">J77+J78</f>
        <v>0</v>
      </c>
      <c r="R77" s="674">
        <f>P77-Q77</f>
        <v>5.728840000003288E-4</v>
      </c>
      <c r="S77" s="675">
        <f t="shared" ref="S77" si="155">Q77/P77</f>
        <v>0</v>
      </c>
    </row>
    <row r="78" spans="1:19" ht="15.6">
      <c r="A78" s="54"/>
      <c r="B78" s="683"/>
      <c r="C78" s="672"/>
      <c r="D78" s="672"/>
      <c r="E78" s="672">
        <v>1.1437660000000001E-3</v>
      </c>
      <c r="F78" s="96" t="s">
        <v>102</v>
      </c>
      <c r="G78" s="97">
        <f>+E77*$D$8</f>
        <v>1.576109548</v>
      </c>
      <c r="H78" s="98"/>
      <c r="I78" s="99">
        <f>G78+H78+K77</f>
        <v>5.7288400000010675E-4</v>
      </c>
      <c r="J78" s="399"/>
      <c r="K78" s="99">
        <f t="shared" si="82"/>
        <v>5.7288400000010675E-4</v>
      </c>
      <c r="L78" s="116">
        <f t="shared" si="81"/>
        <v>0</v>
      </c>
      <c r="M78" s="409">
        <v>43508</v>
      </c>
      <c r="N78" s="673"/>
      <c r="O78" s="674"/>
      <c r="P78" s="674"/>
      <c r="Q78" s="674"/>
      <c r="R78" s="674"/>
      <c r="S78" s="675"/>
    </row>
    <row r="79" spans="1:19" ht="15.6">
      <c r="A79" s="54">
        <v>16</v>
      </c>
      <c r="B79" s="683"/>
      <c r="C79" s="665" t="s">
        <v>405</v>
      </c>
      <c r="D79" s="610" t="s">
        <v>292</v>
      </c>
      <c r="E79" s="668">
        <v>3.0986989999999999E-3</v>
      </c>
      <c r="F79" s="96" t="s">
        <v>38</v>
      </c>
      <c r="G79" s="114">
        <f>+E79*$D$6</f>
        <v>7.4244828040000002</v>
      </c>
      <c r="H79" s="115"/>
      <c r="I79" s="99">
        <f>G79+H79</f>
        <v>7.4244828040000002</v>
      </c>
      <c r="J79" s="508">
        <v>0.87555555555555542</v>
      </c>
      <c r="K79" s="99">
        <f t="shared" si="82"/>
        <v>6.5489272484444445</v>
      </c>
      <c r="L79" s="116">
        <f t="shared" si="81"/>
        <v>0.11792815454887212</v>
      </c>
      <c r="M79" s="134" t="s">
        <v>32</v>
      </c>
      <c r="N79" s="670">
        <f t="shared" ref="N79:O79" si="156">G79+G80</f>
        <v>11.694490026</v>
      </c>
      <c r="O79" s="661">
        <f t="shared" si="156"/>
        <v>0</v>
      </c>
      <c r="P79" s="661">
        <f t="shared" ref="P79" si="157">N79+O79</f>
        <v>11.694490026</v>
      </c>
      <c r="Q79" s="661">
        <f t="shared" ref="Q79" si="158">J79+J80</f>
        <v>0.87555555555555542</v>
      </c>
      <c r="R79" s="661">
        <f>P79-Q79</f>
        <v>10.818934470444445</v>
      </c>
      <c r="S79" s="663">
        <f t="shared" ref="S79" si="159">Q79/P79</f>
        <v>7.4869066851907154E-2</v>
      </c>
    </row>
    <row r="80" spans="1:19" ht="15.6">
      <c r="A80" s="54"/>
      <c r="B80" s="683"/>
      <c r="C80" s="672"/>
      <c r="D80" s="610"/>
      <c r="E80" s="668"/>
      <c r="F80" s="96" t="s">
        <v>102</v>
      </c>
      <c r="G80" s="97">
        <f>+E79*$D$8</f>
        <v>4.2700072220000003</v>
      </c>
      <c r="H80" s="98"/>
      <c r="I80" s="99">
        <f>G80+H80+K79</f>
        <v>10.818934470444445</v>
      </c>
      <c r="J80" s="399"/>
      <c r="K80" s="99">
        <f t="shared" si="82"/>
        <v>10.818934470444445</v>
      </c>
      <c r="L80" s="116">
        <f t="shared" si="81"/>
        <v>0</v>
      </c>
      <c r="M80" s="134" t="s">
        <v>32</v>
      </c>
      <c r="N80" s="670"/>
      <c r="O80" s="661"/>
      <c r="P80" s="661"/>
      <c r="Q80" s="661"/>
      <c r="R80" s="661"/>
      <c r="S80" s="663"/>
    </row>
    <row r="81" spans="1:19" ht="15.6">
      <c r="A81" s="54">
        <v>17</v>
      </c>
      <c r="B81" s="683"/>
      <c r="C81" s="665" t="s">
        <v>293</v>
      </c>
      <c r="D81" s="642"/>
      <c r="E81" s="668">
        <v>2.1869110000000001E-3</v>
      </c>
      <c r="F81" s="96" t="s">
        <v>38</v>
      </c>
      <c r="G81" s="114">
        <f>+E81*$D$6</f>
        <v>5.2398387560000002</v>
      </c>
      <c r="H81" s="115"/>
      <c r="I81" s="99">
        <f>G81+H81</f>
        <v>5.2398387560000002</v>
      </c>
      <c r="J81" s="508"/>
      <c r="K81" s="99">
        <f>I81-J81</f>
        <v>5.2398387560000002</v>
      </c>
      <c r="L81" s="116">
        <f>J81/I81</f>
        <v>0</v>
      </c>
      <c r="M81" s="134" t="s">
        <v>32</v>
      </c>
      <c r="N81" s="670">
        <f t="shared" si="152"/>
        <v>8.253402114</v>
      </c>
      <c r="O81" s="661">
        <f t="shared" si="152"/>
        <v>0</v>
      </c>
      <c r="P81" s="661">
        <f t="shared" ref="P81" si="160">N81+O81</f>
        <v>8.253402114</v>
      </c>
      <c r="Q81" s="661">
        <f t="shared" ref="Q81" si="161">J81+J82</f>
        <v>0</v>
      </c>
      <c r="R81" s="661">
        <f t="shared" ref="R81" si="162">P81-Q81</f>
        <v>8.253402114</v>
      </c>
      <c r="S81" s="663">
        <f t="shared" ref="S81" si="163">Q81/P81</f>
        <v>0</v>
      </c>
    </row>
    <row r="82" spans="1:19" ht="16.2" thickBot="1">
      <c r="A82" s="54"/>
      <c r="B82" s="684"/>
      <c r="C82" s="666"/>
      <c r="D82" s="667"/>
      <c r="E82" s="669">
        <v>3.5531563000000001E-3</v>
      </c>
      <c r="F82" s="103" t="s">
        <v>102</v>
      </c>
      <c r="G82" s="104">
        <f>+E81*$D$8</f>
        <v>3.0135633580000003</v>
      </c>
      <c r="H82" s="230"/>
      <c r="I82" s="107">
        <f>G82+H82+K81</f>
        <v>8.253402114</v>
      </c>
      <c r="J82" s="399"/>
      <c r="K82" s="107">
        <f>I82-J82</f>
        <v>8.253402114</v>
      </c>
      <c r="L82" s="121">
        <f>J82/I82</f>
        <v>0</v>
      </c>
      <c r="M82" s="175" t="s">
        <v>32</v>
      </c>
      <c r="N82" s="671"/>
      <c r="O82" s="662"/>
      <c r="P82" s="662"/>
      <c r="Q82" s="662"/>
      <c r="R82" s="662"/>
      <c r="S82" s="664"/>
    </row>
    <row r="83" spans="1:19" ht="15.6" customHeight="1">
      <c r="A83" s="54"/>
      <c r="B83" s="393" t="s">
        <v>294</v>
      </c>
      <c r="C83" s="394"/>
      <c r="D83" s="395"/>
      <c r="E83" s="600">
        <f>SUM(E49:E82)</f>
        <v>0.47890969030000002</v>
      </c>
      <c r="F83" s="157" t="s">
        <v>38</v>
      </c>
      <c r="G83" s="111">
        <f>G49+G51+G53+G55+G57+G59+G61+G63+G65+G67+G69+G71+G73+G75+G77++G79+G81</f>
        <v>580.42381727119994</v>
      </c>
      <c r="H83" s="111">
        <f>H49+H51+H53+H55+H57+H59+H61+H63+H65+H67+H69+H71+H73+H75+H77+H81</f>
        <v>-620.06700000000001</v>
      </c>
      <c r="I83" s="111">
        <f>I49+I51+I53+I55+I57+I59+I61+I63+I65+I67+I69+I71+I73+I75+I77+I81</f>
        <v>-47.067665532799992</v>
      </c>
      <c r="J83" s="111">
        <f>J49+J51+J53+J55+J57+J59+J61+J63+J65+J67+J69+J71+J73+J75+J77++J79+J81</f>
        <v>24.694444444444443</v>
      </c>
      <c r="K83" s="111">
        <f>K49+K51+K53+K55+K57+K59+K61+K63+K65+K67+K69+K71+K73+K75+K77+K81</f>
        <v>-70.886554421688871</v>
      </c>
      <c r="L83" s="231">
        <f>J83/I83</f>
        <v>-0.52465836503481678</v>
      </c>
      <c r="M83" s="122" t="s">
        <v>32</v>
      </c>
      <c r="N83" s="604">
        <f>SUM(N49:N82)</f>
        <v>914.2401863028</v>
      </c>
      <c r="O83" s="606">
        <f>SUM(O49:O82)</f>
        <v>-620.06700000000001</v>
      </c>
      <c r="P83" s="606">
        <f>+N83+O83</f>
        <v>294.17318630279999</v>
      </c>
      <c r="Q83" s="606">
        <f>SUM(Q49:Q82)</f>
        <v>24.694444444444443</v>
      </c>
      <c r="R83" s="606">
        <f>+P83-Q83</f>
        <v>269.47874185835553</v>
      </c>
      <c r="S83" s="608">
        <f>Q83/P83</f>
        <v>8.3945259439879127E-2</v>
      </c>
    </row>
    <row r="84" spans="1:19" ht="16.2" thickBot="1">
      <c r="A84" s="54"/>
      <c r="B84" s="396"/>
      <c r="C84" s="397"/>
      <c r="D84" s="398"/>
      <c r="E84" s="601"/>
      <c r="F84" s="158" t="s">
        <v>102</v>
      </c>
      <c r="G84" s="112">
        <f>G50+G52+G54+G56+G58+G60+G62+G64+G66+G68+G70+G72+G74+G76+G78++G80+G82</f>
        <v>333.8163690316</v>
      </c>
      <c r="H84" s="112">
        <f>H50+H52+H54+H56+H58+H60+H62+H64+H66+H68+H70+H72+H74+H76+H78+H82</f>
        <v>0</v>
      </c>
      <c r="I84" s="112">
        <f>I50+I52+I54+I56+I58+I60+I62+I64+I66+I68+I70+I72+I74+I76+I78+I82</f>
        <v>258.65980738791114</v>
      </c>
      <c r="J84" s="112">
        <f>J50+J52+J54+J56+J58+J60+J62+J64+J66+J68+J70+J72+J74+J76+J78++J80+J82</f>
        <v>0</v>
      </c>
      <c r="K84" s="112">
        <f>K50+K52+K54+K56+K58+K60+K62+K64+K66+K68+K70+K72+K74+K76+K78+K82</f>
        <v>258.65980738791114</v>
      </c>
      <c r="L84" s="232">
        <f>J84/I84</f>
        <v>0</v>
      </c>
      <c r="M84" s="123" t="s">
        <v>32</v>
      </c>
      <c r="N84" s="605"/>
      <c r="O84" s="607"/>
      <c r="P84" s="607"/>
      <c r="Q84" s="607"/>
      <c r="R84" s="607"/>
      <c r="S84" s="609"/>
    </row>
    <row r="85" spans="1:19">
      <c r="A85" s="54"/>
      <c r="B85" s="124"/>
      <c r="C85" s="318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</row>
    <row r="86" spans="1:19">
      <c r="A86" s="54"/>
      <c r="B86" s="124"/>
      <c r="C86" s="318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</row>
    <row r="87" spans="1:19" ht="46.8">
      <c r="A87" s="54"/>
      <c r="B87" s="306" t="s">
        <v>246</v>
      </c>
      <c r="C87" s="312" t="s">
        <v>247</v>
      </c>
      <c r="D87" s="306" t="s">
        <v>248</v>
      </c>
      <c r="E87" s="306" t="s">
        <v>249</v>
      </c>
      <c r="F87" s="306" t="s">
        <v>250</v>
      </c>
      <c r="G87" s="306" t="s">
        <v>242</v>
      </c>
      <c r="H87" s="88" t="s">
        <v>4</v>
      </c>
      <c r="I87" s="306" t="s">
        <v>5</v>
      </c>
      <c r="J87" s="306" t="s">
        <v>243</v>
      </c>
      <c r="K87" s="306" t="s">
        <v>48</v>
      </c>
      <c r="L87" s="306" t="s">
        <v>49</v>
      </c>
      <c r="M87" s="306" t="s">
        <v>81</v>
      </c>
      <c r="N87" s="483" t="s">
        <v>251</v>
      </c>
      <c r="O87" s="483" t="s">
        <v>4</v>
      </c>
      <c r="P87" s="483" t="s">
        <v>5</v>
      </c>
      <c r="Q87" s="483" t="s">
        <v>6</v>
      </c>
      <c r="R87" s="483" t="s">
        <v>7</v>
      </c>
      <c r="S87" s="483" t="s">
        <v>252</v>
      </c>
    </row>
    <row r="88" spans="1:19" ht="15.6" customHeight="1">
      <c r="A88" s="54">
        <v>1</v>
      </c>
      <c r="B88" s="660" t="s">
        <v>295</v>
      </c>
      <c r="C88" s="610" t="s">
        <v>406</v>
      </c>
      <c r="D88" s="642" t="s">
        <v>296</v>
      </c>
      <c r="E88" s="643">
        <v>1.0825207E-2</v>
      </c>
      <c r="F88" s="399" t="s">
        <v>38</v>
      </c>
      <c r="G88" s="480">
        <f>+E88*$D$6</f>
        <v>25.937195972000001</v>
      </c>
      <c r="H88" s="500">
        <v>-40.853999999999999</v>
      </c>
      <c r="I88" s="99">
        <f>G88+H88</f>
        <v>-14.916804027999998</v>
      </c>
      <c r="J88" s="399"/>
      <c r="K88" s="126">
        <f>I88-J88</f>
        <v>-14.916804027999998</v>
      </c>
      <c r="L88" s="101">
        <f t="shared" ref="L88:L95" si="164">J88/I88</f>
        <v>0</v>
      </c>
      <c r="M88" s="481">
        <v>43508</v>
      </c>
      <c r="N88" s="655">
        <f>G88+G89</f>
        <v>40.854331217999999</v>
      </c>
      <c r="O88" s="656">
        <f>H88+H89</f>
        <v>-40.853999999999999</v>
      </c>
      <c r="P88" s="655">
        <f>N88+O88</f>
        <v>3.3121799999946688E-4</v>
      </c>
      <c r="Q88" s="657">
        <f>J88+J89</f>
        <v>0</v>
      </c>
      <c r="R88" s="655">
        <f>P88-Q88</f>
        <v>3.3121799999946688E-4</v>
      </c>
      <c r="S88" s="658">
        <f>Q88/P88</f>
        <v>0</v>
      </c>
    </row>
    <row r="89" spans="1:19" ht="15.6">
      <c r="A89" s="54"/>
      <c r="B89" s="660"/>
      <c r="C89" s="610"/>
      <c r="D89" s="642"/>
      <c r="E89" s="643"/>
      <c r="F89" s="399" t="s">
        <v>102</v>
      </c>
      <c r="G89" s="480">
        <f>+E88*$D$8</f>
        <v>14.917135245999999</v>
      </c>
      <c r="H89" s="98"/>
      <c r="I89" s="99">
        <f>G89+H89+K88</f>
        <v>3.3121800000124324E-4</v>
      </c>
      <c r="J89" s="399"/>
      <c r="K89" s="126">
        <f t="shared" ref="K89:K156" si="165">I89-J89</f>
        <v>3.3121800000124324E-4</v>
      </c>
      <c r="L89" s="101">
        <f t="shared" si="164"/>
        <v>0</v>
      </c>
      <c r="M89" s="481">
        <v>43508</v>
      </c>
      <c r="N89" s="655"/>
      <c r="O89" s="656"/>
      <c r="P89" s="655"/>
      <c r="Q89" s="657"/>
      <c r="R89" s="655"/>
      <c r="S89" s="658"/>
    </row>
    <row r="90" spans="1:19" ht="15.6">
      <c r="A90" s="54">
        <v>2</v>
      </c>
      <c r="B90" s="660"/>
      <c r="C90" s="610" t="s">
        <v>407</v>
      </c>
      <c r="D90" s="642" t="s">
        <v>297</v>
      </c>
      <c r="E90" s="610">
        <v>4.0591379999999999E-4</v>
      </c>
      <c r="F90" s="399" t="s">
        <v>38</v>
      </c>
      <c r="G90" s="480">
        <f>+E90*$D$6</f>
        <v>0.97256946479999995</v>
      </c>
      <c r="H90" s="98"/>
      <c r="I90" s="99">
        <f>G90+H90</f>
        <v>0.97256946479999995</v>
      </c>
      <c r="J90" s="399"/>
      <c r="K90" s="126">
        <f t="shared" si="165"/>
        <v>0.97256946479999995</v>
      </c>
      <c r="L90" s="101">
        <f t="shared" si="164"/>
        <v>0</v>
      </c>
      <c r="M90" s="306" t="s">
        <v>32</v>
      </c>
      <c r="N90" s="644">
        <f>G90+G91</f>
        <v>1.5319186812000001</v>
      </c>
      <c r="O90" s="645">
        <f t="shared" ref="O90" si="166">H90+H91</f>
        <v>0</v>
      </c>
      <c r="P90" s="640">
        <f t="shared" ref="P90" si="167">N90+O90</f>
        <v>1.5319186812000001</v>
      </c>
      <c r="Q90" s="639">
        <f t="shared" ref="Q90" si="168">J90+J91</f>
        <v>0</v>
      </c>
      <c r="R90" s="640">
        <f t="shared" ref="R90" si="169">P90-Q90</f>
        <v>1.5319186812000001</v>
      </c>
      <c r="S90" s="641">
        <f t="shared" ref="S90" si="170">Q90/P90</f>
        <v>0</v>
      </c>
    </row>
    <row r="91" spans="1:19" ht="15.6">
      <c r="A91" s="54"/>
      <c r="B91" s="660"/>
      <c r="C91" s="610"/>
      <c r="D91" s="642"/>
      <c r="E91" s="610">
        <v>4.0591379999999999E-4</v>
      </c>
      <c r="F91" s="399" t="s">
        <v>102</v>
      </c>
      <c r="G91" s="480">
        <f>+E90*$D$8</f>
        <v>0.55934921640000002</v>
      </c>
      <c r="H91" s="98"/>
      <c r="I91" s="99">
        <f>G91+H91+K90</f>
        <v>1.5319186812000001</v>
      </c>
      <c r="J91" s="399"/>
      <c r="K91" s="126">
        <f t="shared" si="165"/>
        <v>1.5319186812000001</v>
      </c>
      <c r="L91" s="101">
        <f t="shared" si="164"/>
        <v>0</v>
      </c>
      <c r="M91" s="306" t="s">
        <v>32</v>
      </c>
      <c r="N91" s="644"/>
      <c r="O91" s="645"/>
      <c r="P91" s="640"/>
      <c r="Q91" s="639"/>
      <c r="R91" s="640"/>
      <c r="S91" s="641"/>
    </row>
    <row r="92" spans="1:19" ht="15.6">
      <c r="A92" s="54">
        <v>3</v>
      </c>
      <c r="B92" s="660"/>
      <c r="C92" s="610" t="s">
        <v>298</v>
      </c>
      <c r="D92" s="642" t="s">
        <v>447</v>
      </c>
      <c r="E92" s="643">
        <v>6.4659199999999998E-4</v>
      </c>
      <c r="F92" s="399" t="s">
        <v>38</v>
      </c>
      <c r="G92" s="480">
        <f>+E92*$D$6</f>
        <v>1.549234432</v>
      </c>
      <c r="H92" s="98"/>
      <c r="I92" s="99">
        <f>G92+H92</f>
        <v>1.549234432</v>
      </c>
      <c r="J92" s="399">
        <v>0</v>
      </c>
      <c r="K92" s="126">
        <f t="shared" si="165"/>
        <v>1.549234432</v>
      </c>
      <c r="L92" s="101">
        <f t="shared" si="164"/>
        <v>0</v>
      </c>
      <c r="M92" s="306" t="s">
        <v>32</v>
      </c>
      <c r="N92" s="644">
        <f t="shared" ref="N92:O92" si="171">G92+G93</f>
        <v>2.4402382080000002</v>
      </c>
      <c r="O92" s="645">
        <f t="shared" si="171"/>
        <v>0</v>
      </c>
      <c r="P92" s="640">
        <f t="shared" ref="P92" si="172">N92+O92</f>
        <v>2.4402382080000002</v>
      </c>
      <c r="Q92" s="639">
        <f t="shared" ref="Q92" si="173">J92+J93</f>
        <v>0</v>
      </c>
      <c r="R92" s="640">
        <f t="shared" ref="R92" si="174">P92-Q92</f>
        <v>2.4402382080000002</v>
      </c>
      <c r="S92" s="641">
        <f t="shared" ref="S92" si="175">Q92/P92</f>
        <v>0</v>
      </c>
    </row>
    <row r="93" spans="1:19" ht="15.6">
      <c r="A93" s="54"/>
      <c r="B93" s="660"/>
      <c r="C93" s="610"/>
      <c r="D93" s="642"/>
      <c r="E93" s="643">
        <v>6.4659199999999998E-4</v>
      </c>
      <c r="F93" s="399" t="s">
        <v>102</v>
      </c>
      <c r="G93" s="480">
        <f>+E92*$D$8</f>
        <v>0.89100377600000003</v>
      </c>
      <c r="H93" s="98"/>
      <c r="I93" s="99">
        <f>G93+H93+K92</f>
        <v>2.4402382080000002</v>
      </c>
      <c r="J93" s="399"/>
      <c r="K93" s="126">
        <f t="shared" si="165"/>
        <v>2.4402382080000002</v>
      </c>
      <c r="L93" s="101">
        <f t="shared" si="164"/>
        <v>0</v>
      </c>
      <c r="M93" s="306" t="s">
        <v>32</v>
      </c>
      <c r="N93" s="644"/>
      <c r="O93" s="645"/>
      <c r="P93" s="640"/>
      <c r="Q93" s="639"/>
      <c r="R93" s="640"/>
      <c r="S93" s="641"/>
    </row>
    <row r="94" spans="1:19" ht="15.6">
      <c r="A94" s="54">
        <v>4</v>
      </c>
      <c r="B94" s="660"/>
      <c r="C94" s="610" t="s">
        <v>300</v>
      </c>
      <c r="D94" s="642" t="s">
        <v>301</v>
      </c>
      <c r="E94" s="643">
        <v>6.8654809999999997E-4</v>
      </c>
      <c r="F94" s="399" t="s">
        <v>38</v>
      </c>
      <c r="G94" s="480">
        <f>+E94*$D$6</f>
        <v>1.6449692476</v>
      </c>
      <c r="H94" s="98"/>
      <c r="I94" s="99">
        <f>G94+H94</f>
        <v>1.6449692476</v>
      </c>
      <c r="J94" s="399">
        <v>0.46</v>
      </c>
      <c r="K94" s="126">
        <f t="shared" si="165"/>
        <v>1.1849692476</v>
      </c>
      <c r="L94" s="101">
        <f t="shared" si="164"/>
        <v>0.2796404860888051</v>
      </c>
      <c r="M94" s="306" t="s">
        <v>32</v>
      </c>
      <c r="N94" s="644">
        <f t="shared" ref="N94:O94" si="176">G94+G95</f>
        <v>2.5910325294000001</v>
      </c>
      <c r="O94" s="645">
        <f t="shared" si="176"/>
        <v>0</v>
      </c>
      <c r="P94" s="640">
        <f>N94+O94</f>
        <v>2.5910325294000001</v>
      </c>
      <c r="Q94" s="639">
        <f>J94+J95</f>
        <v>0.46</v>
      </c>
      <c r="R94" s="640">
        <f t="shared" ref="R94" si="177">P94-Q94</f>
        <v>2.1310325294000001</v>
      </c>
      <c r="S94" s="641">
        <f t="shared" ref="S94" si="178">Q94/P94</f>
        <v>0.17753540134307819</v>
      </c>
    </row>
    <row r="95" spans="1:19" ht="15.6">
      <c r="A95" s="54"/>
      <c r="B95" s="660"/>
      <c r="C95" s="610"/>
      <c r="D95" s="642"/>
      <c r="E95" s="643">
        <v>6.8654809999999997E-4</v>
      </c>
      <c r="F95" s="399" t="s">
        <v>102</v>
      </c>
      <c r="G95" s="480">
        <f>+E94*$D$8</f>
        <v>0.94606328179999999</v>
      </c>
      <c r="H95" s="98"/>
      <c r="I95" s="99">
        <f>G95+H95+K94</f>
        <v>2.1310325294000001</v>
      </c>
      <c r="J95" s="399"/>
      <c r="K95" s="126">
        <f t="shared" si="165"/>
        <v>2.1310325294000001</v>
      </c>
      <c r="L95" s="101">
        <f t="shared" si="164"/>
        <v>0</v>
      </c>
      <c r="M95" s="306" t="s">
        <v>32</v>
      </c>
      <c r="N95" s="644"/>
      <c r="O95" s="645"/>
      <c r="P95" s="640"/>
      <c r="Q95" s="639"/>
      <c r="R95" s="640"/>
      <c r="S95" s="641"/>
    </row>
    <row r="96" spans="1:19" ht="15.6">
      <c r="A96" s="54">
        <v>6</v>
      </c>
      <c r="B96" s="660"/>
      <c r="C96" s="610" t="s">
        <v>304</v>
      </c>
      <c r="D96" s="642" t="s">
        <v>305</v>
      </c>
      <c r="E96" s="610">
        <v>2.0477631999999998E-3</v>
      </c>
      <c r="F96" s="399" t="s">
        <v>38</v>
      </c>
      <c r="G96" s="480">
        <f>+E96*$D$6</f>
        <v>4.9064406271999994</v>
      </c>
      <c r="H96" s="502">
        <v>-7.7279999999999998</v>
      </c>
      <c r="I96" s="99">
        <f>G96+H96</f>
        <v>-2.8215593728000004</v>
      </c>
      <c r="J96" s="399"/>
      <c r="K96" s="126">
        <f t="shared" si="165"/>
        <v>-2.8215593728000004</v>
      </c>
      <c r="L96" s="101">
        <f t="shared" ref="L96:L107" si="179">J96/I96</f>
        <v>0</v>
      </c>
      <c r="M96" s="482">
        <v>43508</v>
      </c>
      <c r="N96" s="655">
        <f t="shared" ref="N96:O96" si="180">G96+G97</f>
        <v>7.728258316799999</v>
      </c>
      <c r="O96" s="656">
        <f t="shared" si="180"/>
        <v>-7.7279999999999998</v>
      </c>
      <c r="P96" s="655">
        <f t="shared" ref="P96" si="181">N96+O96</f>
        <v>2.583167999992142E-4</v>
      </c>
      <c r="Q96" s="657">
        <f t="shared" ref="Q96" si="182">J96+J97</f>
        <v>0</v>
      </c>
      <c r="R96" s="655">
        <f t="shared" ref="R96" si="183">P96-Q96</f>
        <v>2.583167999992142E-4</v>
      </c>
      <c r="S96" s="658">
        <f t="shared" ref="S96" si="184">Q96/P96</f>
        <v>0</v>
      </c>
    </row>
    <row r="97" spans="1:19" ht="15.6">
      <c r="A97" s="54"/>
      <c r="B97" s="660"/>
      <c r="C97" s="610"/>
      <c r="D97" s="642"/>
      <c r="E97" s="610">
        <v>2.0477631999999998E-3</v>
      </c>
      <c r="F97" s="399" t="s">
        <v>102</v>
      </c>
      <c r="G97" s="480">
        <f>+E96*$D$8</f>
        <v>2.8218176895999996</v>
      </c>
      <c r="H97" s="98"/>
      <c r="I97" s="99">
        <f>G97+H97+K96</f>
        <v>2.583167999992142E-4</v>
      </c>
      <c r="J97" s="399"/>
      <c r="K97" s="126">
        <f>I97-J97</f>
        <v>2.583167999992142E-4</v>
      </c>
      <c r="L97" s="101">
        <f t="shared" si="179"/>
        <v>0</v>
      </c>
      <c r="M97" s="482">
        <v>43508</v>
      </c>
      <c r="N97" s="655"/>
      <c r="O97" s="656"/>
      <c r="P97" s="655"/>
      <c r="Q97" s="657"/>
      <c r="R97" s="655"/>
      <c r="S97" s="658"/>
    </row>
    <row r="98" spans="1:19" ht="15.6">
      <c r="A98" s="54">
        <v>7</v>
      </c>
      <c r="B98" s="660"/>
      <c r="C98" s="610" t="s">
        <v>306</v>
      </c>
      <c r="D98" s="642" t="s">
        <v>307</v>
      </c>
      <c r="E98" s="643">
        <v>2.4852229999999999E-3</v>
      </c>
      <c r="F98" s="399" t="s">
        <v>38</v>
      </c>
      <c r="G98" s="480">
        <f>+E98*$D$6</f>
        <v>5.9545943079999999</v>
      </c>
      <c r="H98" s="502">
        <v>-5</v>
      </c>
      <c r="I98" s="99">
        <f>G98+H98</f>
        <v>0.95459430799999989</v>
      </c>
      <c r="J98" s="399"/>
      <c r="K98" s="126">
        <f t="shared" si="165"/>
        <v>0.95459430799999989</v>
      </c>
      <c r="L98" s="101">
        <f t="shared" si="179"/>
        <v>0</v>
      </c>
      <c r="M98" s="306" t="s">
        <v>32</v>
      </c>
      <c r="N98" s="644">
        <f t="shared" ref="N98:O98" si="185">G98+G99</f>
        <v>9.3792316020000008</v>
      </c>
      <c r="O98" s="645">
        <f t="shared" si="185"/>
        <v>-5</v>
      </c>
      <c r="P98" s="640">
        <f t="shared" ref="P98" si="186">N98+O98</f>
        <v>4.3792316020000008</v>
      </c>
      <c r="Q98" s="639">
        <f t="shared" ref="Q98" si="187">J98+J99</f>
        <v>0</v>
      </c>
      <c r="R98" s="640">
        <f t="shared" ref="R98" si="188">P98-Q98</f>
        <v>4.3792316020000008</v>
      </c>
      <c r="S98" s="641">
        <f t="shared" ref="S98" si="189">Q98/P98</f>
        <v>0</v>
      </c>
    </row>
    <row r="99" spans="1:19" ht="15.6">
      <c r="A99" s="54"/>
      <c r="B99" s="660"/>
      <c r="C99" s="610"/>
      <c r="D99" s="642"/>
      <c r="E99" s="643">
        <v>2.4852228999999999E-3</v>
      </c>
      <c r="F99" s="399" t="s">
        <v>102</v>
      </c>
      <c r="G99" s="480">
        <f>+E98*$D$8</f>
        <v>3.4246372940000001</v>
      </c>
      <c r="H99" s="98"/>
      <c r="I99" s="99">
        <f>G99+H99+K98</f>
        <v>4.3792316019999999</v>
      </c>
      <c r="J99" s="399"/>
      <c r="K99" s="126">
        <f t="shared" si="165"/>
        <v>4.3792316019999999</v>
      </c>
      <c r="L99" s="101">
        <f t="shared" si="179"/>
        <v>0</v>
      </c>
      <c r="M99" s="306" t="s">
        <v>32</v>
      </c>
      <c r="N99" s="644"/>
      <c r="O99" s="645"/>
      <c r="P99" s="640"/>
      <c r="Q99" s="639"/>
      <c r="R99" s="640"/>
      <c r="S99" s="641"/>
    </row>
    <row r="100" spans="1:19" ht="15.6" customHeight="1">
      <c r="A100" s="54">
        <v>8</v>
      </c>
      <c r="B100" s="660"/>
      <c r="C100" s="610" t="s">
        <v>308</v>
      </c>
      <c r="D100" s="642" t="s">
        <v>309</v>
      </c>
      <c r="E100" s="643">
        <v>2.4980152000000002E-3</v>
      </c>
      <c r="F100" s="399" t="s">
        <v>38</v>
      </c>
      <c r="G100" s="480">
        <f>+E100*$D$6</f>
        <v>5.9852444192000007</v>
      </c>
      <c r="H100" s="502">
        <v>-9.4269999999999996</v>
      </c>
      <c r="I100" s="99">
        <f>G100+H100</f>
        <v>-3.4417555807999989</v>
      </c>
      <c r="J100" s="399">
        <v>0</v>
      </c>
      <c r="K100" s="126">
        <f t="shared" si="165"/>
        <v>-3.4417555807999989</v>
      </c>
      <c r="L100" s="101">
        <f t="shared" si="179"/>
        <v>0</v>
      </c>
      <c r="M100" s="482">
        <v>43508</v>
      </c>
      <c r="N100" s="655">
        <f t="shared" ref="N100:O100" si="190">G100+G101</f>
        <v>9.4275093648000006</v>
      </c>
      <c r="O100" s="656">
        <f t="shared" si="190"/>
        <v>-9.4269999999999996</v>
      </c>
      <c r="P100" s="655">
        <f t="shared" ref="P100" si="191">N100+O100</f>
        <v>5.0936480000096651E-4</v>
      </c>
      <c r="Q100" s="657">
        <f t="shared" ref="Q100" si="192">J100+J101</f>
        <v>0</v>
      </c>
      <c r="R100" s="655">
        <f t="shared" ref="R100" si="193">P100-Q100</f>
        <v>5.0936480000096651E-4</v>
      </c>
      <c r="S100" s="658">
        <f t="shared" ref="S100" si="194">Q100/P100</f>
        <v>0</v>
      </c>
    </row>
    <row r="101" spans="1:19" ht="15.6">
      <c r="A101" s="54"/>
      <c r="B101" s="660"/>
      <c r="C101" s="610"/>
      <c r="D101" s="642"/>
      <c r="E101" s="643">
        <v>2.4980152000000002E-3</v>
      </c>
      <c r="F101" s="399" t="s">
        <v>102</v>
      </c>
      <c r="G101" s="480">
        <f>+E100*$D$8</f>
        <v>3.4422649456000003</v>
      </c>
      <c r="H101" s="98"/>
      <c r="I101" s="99">
        <f>G101+H101+K100</f>
        <v>5.093648000014106E-4</v>
      </c>
      <c r="J101" s="399"/>
      <c r="K101" s="126">
        <f t="shared" si="165"/>
        <v>5.093648000014106E-4</v>
      </c>
      <c r="L101" s="101">
        <f t="shared" si="179"/>
        <v>0</v>
      </c>
      <c r="M101" s="482">
        <v>43508</v>
      </c>
      <c r="N101" s="655"/>
      <c r="O101" s="656"/>
      <c r="P101" s="655"/>
      <c r="Q101" s="657"/>
      <c r="R101" s="655"/>
      <c r="S101" s="658"/>
    </row>
    <row r="102" spans="1:19" ht="15.6">
      <c r="A102" s="54">
        <v>9</v>
      </c>
      <c r="B102" s="660"/>
      <c r="C102" s="610" t="s">
        <v>462</v>
      </c>
      <c r="D102" s="642" t="s">
        <v>311</v>
      </c>
      <c r="E102" s="610">
        <v>1.4015631E-3</v>
      </c>
      <c r="F102" s="399" t="s">
        <v>38</v>
      </c>
      <c r="G102" s="480">
        <f>+E102*$D$6</f>
        <v>3.3581451875999999</v>
      </c>
      <c r="H102" s="98"/>
      <c r="I102" s="99">
        <f>G102+H102</f>
        <v>3.3581451875999999</v>
      </c>
      <c r="J102" s="120">
        <v>1.111</v>
      </c>
      <c r="K102" s="126">
        <f t="shared" si="165"/>
        <v>2.2471451876000001</v>
      </c>
      <c r="L102" s="101">
        <f t="shared" si="179"/>
        <v>0.33083739324386086</v>
      </c>
      <c r="M102" s="306" t="s">
        <v>32</v>
      </c>
      <c r="N102" s="644">
        <f t="shared" ref="N102:O102" si="195">G102+G103</f>
        <v>5.2894991394000002</v>
      </c>
      <c r="O102" s="645">
        <f t="shared" si="195"/>
        <v>0</v>
      </c>
      <c r="P102" s="640">
        <f t="shared" ref="P102" si="196">N102+O102</f>
        <v>5.2894991394000002</v>
      </c>
      <c r="Q102" s="639">
        <f t="shared" ref="Q102" si="197">J102+J103</f>
        <v>1.111</v>
      </c>
      <c r="R102" s="640">
        <f t="shared" ref="R102" si="198">P102-Q102</f>
        <v>4.1784991394000004</v>
      </c>
      <c r="S102" s="641">
        <f t="shared" ref="S102" si="199">Q102/P102</f>
        <v>0.21003879019933505</v>
      </c>
    </row>
    <row r="103" spans="1:19" ht="15.6">
      <c r="A103" s="54"/>
      <c r="B103" s="660"/>
      <c r="C103" s="610"/>
      <c r="D103" s="642"/>
      <c r="E103" s="610">
        <v>1.4015631E-3</v>
      </c>
      <c r="F103" s="399" t="s">
        <v>102</v>
      </c>
      <c r="G103" s="480">
        <f>+E102*$D$8</f>
        <v>1.9313539518</v>
      </c>
      <c r="H103" s="98"/>
      <c r="I103" s="99">
        <f>G103+H103+K102</f>
        <v>4.1784991394000004</v>
      </c>
      <c r="J103" s="399"/>
      <c r="K103" s="126">
        <f t="shared" si="165"/>
        <v>4.1784991394000004</v>
      </c>
      <c r="L103" s="101">
        <f t="shared" si="179"/>
        <v>0</v>
      </c>
      <c r="M103" s="306" t="s">
        <v>32</v>
      </c>
      <c r="N103" s="644"/>
      <c r="O103" s="645"/>
      <c r="P103" s="640"/>
      <c r="Q103" s="639"/>
      <c r="R103" s="640"/>
      <c r="S103" s="641"/>
    </row>
    <row r="104" spans="1:19" ht="15.6">
      <c r="A104" s="54">
        <v>10</v>
      </c>
      <c r="B104" s="660"/>
      <c r="C104" s="610" t="s">
        <v>312</v>
      </c>
      <c r="D104" s="642" t="s">
        <v>313</v>
      </c>
      <c r="E104" s="643">
        <v>4.7307310000000002E-3</v>
      </c>
      <c r="F104" s="399" t="s">
        <v>38</v>
      </c>
      <c r="G104" s="480">
        <f>+E104*$D$6</f>
        <v>11.334831476</v>
      </c>
      <c r="H104" s="503">
        <v>-17.853999999999999</v>
      </c>
      <c r="I104" s="392">
        <f>G104+H104</f>
        <v>-6.5191685239999995</v>
      </c>
      <c r="J104" s="390"/>
      <c r="K104" s="128">
        <f t="shared" si="165"/>
        <v>-6.5191685239999995</v>
      </c>
      <c r="L104" s="101">
        <f t="shared" si="179"/>
        <v>0</v>
      </c>
      <c r="M104" s="482">
        <v>43508</v>
      </c>
      <c r="N104" s="655">
        <f t="shared" ref="N104:O104" si="200">G104+G105</f>
        <v>17.853778794</v>
      </c>
      <c r="O104" s="656">
        <f t="shared" si="200"/>
        <v>-17.853999999999999</v>
      </c>
      <c r="P104" s="655">
        <f t="shared" ref="P104" si="201">N104+O104</f>
        <v>-2.2120599999908563E-4</v>
      </c>
      <c r="Q104" s="657">
        <f t="shared" ref="Q104" si="202">J104+J105</f>
        <v>0</v>
      </c>
      <c r="R104" s="655">
        <f t="shared" ref="R104" si="203">P104-Q104</f>
        <v>-2.2120599999908563E-4</v>
      </c>
      <c r="S104" s="658">
        <f t="shared" ref="S104" si="204">Q104/P104</f>
        <v>0</v>
      </c>
    </row>
    <row r="105" spans="1:19" ht="15.6">
      <c r="A105" s="54"/>
      <c r="B105" s="660"/>
      <c r="C105" s="610"/>
      <c r="D105" s="642"/>
      <c r="E105" s="643">
        <v>4.7307310000000002E-3</v>
      </c>
      <c r="F105" s="399" t="s">
        <v>102</v>
      </c>
      <c r="G105" s="480">
        <f>+E104*$D$8</f>
        <v>6.5189473180000004</v>
      </c>
      <c r="H105" s="127"/>
      <c r="I105" s="392">
        <f>G105+H105+K104</f>
        <v>-2.2120599999908563E-4</v>
      </c>
      <c r="J105" s="390"/>
      <c r="K105" s="128">
        <f t="shared" si="165"/>
        <v>-2.2120599999908563E-4</v>
      </c>
      <c r="L105" s="101">
        <f t="shared" si="179"/>
        <v>0</v>
      </c>
      <c r="M105" s="482">
        <v>43508</v>
      </c>
      <c r="N105" s="655"/>
      <c r="O105" s="656"/>
      <c r="P105" s="655"/>
      <c r="Q105" s="657"/>
      <c r="R105" s="655"/>
      <c r="S105" s="658"/>
    </row>
    <row r="106" spans="1:19" ht="15.6">
      <c r="A106" s="54">
        <v>11</v>
      </c>
      <c r="B106" s="660"/>
      <c r="C106" s="610" t="s">
        <v>448</v>
      </c>
      <c r="D106" s="642" t="s">
        <v>314</v>
      </c>
      <c r="E106" s="643">
        <v>3.3082570000000002E-3</v>
      </c>
      <c r="F106" s="399" t="s">
        <v>38</v>
      </c>
      <c r="G106" s="480">
        <f>+E106*$D$6</f>
        <v>7.9265837720000007</v>
      </c>
      <c r="H106" s="98"/>
      <c r="I106" s="99">
        <f>G106+H106</f>
        <v>7.9265837720000007</v>
      </c>
      <c r="J106" s="120"/>
      <c r="K106" s="126">
        <f t="shared" si="165"/>
        <v>7.9265837720000007</v>
      </c>
      <c r="L106" s="101">
        <f t="shared" si="179"/>
        <v>0</v>
      </c>
      <c r="M106" s="306" t="s">
        <v>32</v>
      </c>
      <c r="N106" s="659">
        <f t="shared" ref="N106:O106" si="205">G106+G107</f>
        <v>12.485361918000001</v>
      </c>
      <c r="O106" s="645">
        <f t="shared" si="205"/>
        <v>0</v>
      </c>
      <c r="P106" s="640">
        <f t="shared" ref="P106" si="206">N106+O106</f>
        <v>12.485361918000001</v>
      </c>
      <c r="Q106" s="639">
        <f t="shared" ref="Q106" si="207">J106+J107</f>
        <v>0</v>
      </c>
      <c r="R106" s="640">
        <f t="shared" ref="R106" si="208">P106-Q106</f>
        <v>12.485361918000001</v>
      </c>
      <c r="S106" s="641">
        <f t="shared" ref="S106" si="209">Q106/P106</f>
        <v>0</v>
      </c>
    </row>
    <row r="107" spans="1:19" ht="15.6">
      <c r="A107" s="54"/>
      <c r="B107" s="660"/>
      <c r="C107" s="610"/>
      <c r="D107" s="642"/>
      <c r="E107" s="643">
        <v>3.8237229999999998E-3</v>
      </c>
      <c r="F107" s="399" t="s">
        <v>102</v>
      </c>
      <c r="G107" s="480">
        <f>+E106*$D$8</f>
        <v>4.5587781459999999</v>
      </c>
      <c r="H107" s="98"/>
      <c r="I107" s="99">
        <f>G107+H107+K106</f>
        <v>12.485361918000001</v>
      </c>
      <c r="J107" s="399"/>
      <c r="K107" s="126">
        <f t="shared" si="165"/>
        <v>12.485361918000001</v>
      </c>
      <c r="L107" s="101">
        <f t="shared" si="179"/>
        <v>0</v>
      </c>
      <c r="M107" s="306" t="s">
        <v>32</v>
      </c>
      <c r="N107" s="659"/>
      <c r="O107" s="645"/>
      <c r="P107" s="640"/>
      <c r="Q107" s="639"/>
      <c r="R107" s="640"/>
      <c r="S107" s="641"/>
    </row>
    <row r="108" spans="1:19" ht="15.6">
      <c r="A108" s="54">
        <v>13</v>
      </c>
      <c r="B108" s="660"/>
      <c r="C108" s="610" t="s">
        <v>317</v>
      </c>
      <c r="D108" s="642" t="s">
        <v>318</v>
      </c>
      <c r="E108" s="610">
        <v>1.3139868000000001E-2</v>
      </c>
      <c r="F108" s="399" t="s">
        <v>38</v>
      </c>
      <c r="G108" s="480">
        <f>+E108*$D$6</f>
        <v>31.483123728000002</v>
      </c>
      <c r="H108" s="502">
        <v>-44.368000000000002</v>
      </c>
      <c r="I108" s="99">
        <f>G108+H108</f>
        <v>-12.884876272</v>
      </c>
      <c r="J108" s="399"/>
      <c r="K108" s="126">
        <f t="shared" si="165"/>
        <v>-12.884876272</v>
      </c>
      <c r="L108" s="101">
        <v>0</v>
      </c>
      <c r="M108" s="306" t="s">
        <v>32</v>
      </c>
      <c r="N108" s="644">
        <f t="shared" ref="N108:O108" si="210">G108+G109</f>
        <v>49.589861832000004</v>
      </c>
      <c r="O108" s="645">
        <f t="shared" si="210"/>
        <v>-44.368000000000002</v>
      </c>
      <c r="P108" s="640">
        <f t="shared" ref="P108" si="211">N108+O108</f>
        <v>5.2218618320000019</v>
      </c>
      <c r="Q108" s="639">
        <f t="shared" ref="Q108" si="212">J108+J109</f>
        <v>0</v>
      </c>
      <c r="R108" s="640">
        <f t="shared" ref="R108" si="213">P108-Q108</f>
        <v>5.2218618320000019</v>
      </c>
      <c r="S108" s="641">
        <f t="shared" ref="S108" si="214">Q108/P108</f>
        <v>0</v>
      </c>
    </row>
    <row r="109" spans="1:19" ht="15.6">
      <c r="A109" s="54"/>
      <c r="B109" s="660"/>
      <c r="C109" s="610"/>
      <c r="D109" s="642"/>
      <c r="E109" s="610">
        <v>1.3139868000000001E-2</v>
      </c>
      <c r="F109" s="399" t="s">
        <v>102</v>
      </c>
      <c r="G109" s="480">
        <f>+E108*$D$8</f>
        <v>18.106738104000001</v>
      </c>
      <c r="H109" s="98"/>
      <c r="I109" s="99">
        <f>G109+H109+K108</f>
        <v>5.2218618320000019</v>
      </c>
      <c r="J109" s="399"/>
      <c r="K109" s="126">
        <f t="shared" si="165"/>
        <v>5.2218618320000019</v>
      </c>
      <c r="L109" s="101">
        <v>0</v>
      </c>
      <c r="M109" s="306" t="s">
        <v>32</v>
      </c>
      <c r="N109" s="644"/>
      <c r="O109" s="645"/>
      <c r="P109" s="640"/>
      <c r="Q109" s="639"/>
      <c r="R109" s="640"/>
      <c r="S109" s="641"/>
    </row>
    <row r="110" spans="1:19" ht="15.6">
      <c r="A110" s="54">
        <v>14</v>
      </c>
      <c r="B110" s="660"/>
      <c r="C110" s="610" t="s">
        <v>449</v>
      </c>
      <c r="D110" s="642" t="s">
        <v>319</v>
      </c>
      <c r="E110" s="643">
        <v>9.1363445000000008E-3</v>
      </c>
      <c r="F110" s="399" t="s">
        <v>38</v>
      </c>
      <c r="G110" s="480">
        <f>+E110*$D$6</f>
        <v>21.890681422000004</v>
      </c>
      <c r="H110" s="500">
        <v>-34.481000000000002</v>
      </c>
      <c r="I110" s="99">
        <f>G110+H110</f>
        <v>-12.590318577999998</v>
      </c>
      <c r="J110" s="399"/>
      <c r="K110" s="126">
        <f t="shared" si="165"/>
        <v>-12.590318577999998</v>
      </c>
      <c r="L110" s="101">
        <v>0</v>
      </c>
      <c r="M110" s="481">
        <v>43508</v>
      </c>
      <c r="N110" s="655">
        <f t="shared" ref="N110:O110" si="215">G110+G111</f>
        <v>34.480564143000002</v>
      </c>
      <c r="O110" s="656">
        <f t="shared" si="215"/>
        <v>-34.481000000000002</v>
      </c>
      <c r="P110" s="655">
        <f t="shared" ref="P110" si="216">N110+O110</f>
        <v>-4.3585699999937333E-4</v>
      </c>
      <c r="Q110" s="657">
        <f t="shared" ref="Q110" si="217">J110+J111</f>
        <v>0</v>
      </c>
      <c r="R110" s="655">
        <f t="shared" ref="R110" si="218">P110-Q110</f>
        <v>-4.3585699999937333E-4</v>
      </c>
      <c r="S110" s="658">
        <f t="shared" ref="S110" si="219">Q110/P110</f>
        <v>0</v>
      </c>
    </row>
    <row r="111" spans="1:19" ht="15.6">
      <c r="A111" s="54"/>
      <c r="B111" s="660"/>
      <c r="C111" s="610"/>
      <c r="D111" s="642"/>
      <c r="E111" s="643">
        <v>9.1363445000000008E-3</v>
      </c>
      <c r="F111" s="399" t="s">
        <v>102</v>
      </c>
      <c r="G111" s="480">
        <f>+E110*$D$8</f>
        <v>12.589882721</v>
      </c>
      <c r="H111" s="98"/>
      <c r="I111" s="99">
        <f>G111+H111+K110</f>
        <v>-4.3585699999759697E-4</v>
      </c>
      <c r="J111" s="399"/>
      <c r="K111" s="126">
        <f t="shared" si="165"/>
        <v>-4.3585699999759697E-4</v>
      </c>
      <c r="L111" s="101">
        <v>0</v>
      </c>
      <c r="M111" s="481">
        <v>43508</v>
      </c>
      <c r="N111" s="655"/>
      <c r="O111" s="656"/>
      <c r="P111" s="655"/>
      <c r="Q111" s="657"/>
      <c r="R111" s="655"/>
      <c r="S111" s="658"/>
    </row>
    <row r="112" spans="1:19" ht="15.6" customHeight="1">
      <c r="A112" s="54">
        <v>15</v>
      </c>
      <c r="B112" s="660"/>
      <c r="C112" s="610" t="s">
        <v>320</v>
      </c>
      <c r="D112" s="642" t="s">
        <v>321</v>
      </c>
      <c r="E112" s="643">
        <v>8.3505049999999994E-3</v>
      </c>
      <c r="F112" s="399" t="s">
        <v>38</v>
      </c>
      <c r="G112" s="480">
        <f>+E112*$D$6</f>
        <v>20.007809979999998</v>
      </c>
      <c r="H112" s="98"/>
      <c r="I112" s="99">
        <f>G112+H112</f>
        <v>20.007809979999998</v>
      </c>
      <c r="J112" s="399"/>
      <c r="K112" s="126">
        <f t="shared" si="165"/>
        <v>20.007809979999998</v>
      </c>
      <c r="L112" s="101">
        <f t="shared" ref="L112:L133" si="220">J112/I112</f>
        <v>0</v>
      </c>
      <c r="M112" s="306" t="s">
        <v>32</v>
      </c>
      <c r="N112" s="644">
        <f t="shared" ref="N112:O112" si="221">G112+G113</f>
        <v>31.514805869999996</v>
      </c>
      <c r="O112" s="645">
        <f t="shared" si="221"/>
        <v>0</v>
      </c>
      <c r="P112" s="640">
        <f t="shared" ref="P112" si="222">N112+O112</f>
        <v>31.514805869999996</v>
      </c>
      <c r="Q112" s="639">
        <f t="shared" ref="Q112" si="223">J112+J113</f>
        <v>0</v>
      </c>
      <c r="R112" s="640">
        <f t="shared" ref="R112" si="224">P112-Q112</f>
        <v>31.514805869999996</v>
      </c>
      <c r="S112" s="641">
        <f t="shared" ref="S112" si="225">Q112/P112</f>
        <v>0</v>
      </c>
    </row>
    <row r="113" spans="1:20" ht="15.6">
      <c r="A113" s="54"/>
      <c r="B113" s="660"/>
      <c r="C113" s="610"/>
      <c r="D113" s="642"/>
      <c r="E113" s="643">
        <v>5.9917915000000004E-3</v>
      </c>
      <c r="F113" s="399" t="s">
        <v>102</v>
      </c>
      <c r="G113" s="480">
        <f>+E112*$D$8</f>
        <v>11.506995889999999</v>
      </c>
      <c r="H113" s="98"/>
      <c r="I113" s="99">
        <f>G113+H113+K112</f>
        <v>31.514805869999996</v>
      </c>
      <c r="J113" s="399"/>
      <c r="K113" s="126">
        <f t="shared" si="165"/>
        <v>31.514805869999996</v>
      </c>
      <c r="L113" s="101">
        <f t="shared" si="220"/>
        <v>0</v>
      </c>
      <c r="M113" s="306" t="s">
        <v>32</v>
      </c>
      <c r="N113" s="644"/>
      <c r="O113" s="645"/>
      <c r="P113" s="640"/>
      <c r="Q113" s="639"/>
      <c r="R113" s="640"/>
      <c r="S113" s="641"/>
    </row>
    <row r="114" spans="1:20" ht="15.6">
      <c r="A114" s="54">
        <v>16</v>
      </c>
      <c r="B114" s="660"/>
      <c r="C114" s="610" t="s">
        <v>322</v>
      </c>
      <c r="D114" s="642" t="s">
        <v>323</v>
      </c>
      <c r="E114" s="610">
        <v>1.3130843999999999E-2</v>
      </c>
      <c r="F114" s="399" t="s">
        <v>38</v>
      </c>
      <c r="G114" s="480">
        <f>+E114*$D$6</f>
        <v>31.461502223999997</v>
      </c>
      <c r="H114" s="502">
        <v>-49.555999999999997</v>
      </c>
      <c r="I114" s="99">
        <f>G114+H114</f>
        <v>-18.094497776000001</v>
      </c>
      <c r="J114" s="399"/>
      <c r="K114" s="126">
        <f t="shared" si="165"/>
        <v>-18.094497776000001</v>
      </c>
      <c r="L114" s="101">
        <f t="shared" si="220"/>
        <v>0</v>
      </c>
      <c r="M114" s="482">
        <v>43508</v>
      </c>
      <c r="N114" s="655">
        <f t="shared" ref="N114:O114" si="226">G114+G115</f>
        <v>49.555805255999999</v>
      </c>
      <c r="O114" s="656">
        <f t="shared" si="226"/>
        <v>-49.555999999999997</v>
      </c>
      <c r="P114" s="655">
        <f t="shared" ref="P114" si="227">N114+O114</f>
        <v>-1.9474399999808156E-4</v>
      </c>
      <c r="Q114" s="657">
        <f t="shared" ref="Q114" si="228">J114+J115</f>
        <v>0</v>
      </c>
      <c r="R114" s="655">
        <f t="shared" ref="R114" si="229">P114-Q114</f>
        <v>-1.9474399999808156E-4</v>
      </c>
      <c r="S114" s="658">
        <f t="shared" ref="S114" si="230">Q114/P114</f>
        <v>0</v>
      </c>
    </row>
    <row r="115" spans="1:20" ht="15.6">
      <c r="A115" s="54"/>
      <c r="B115" s="660"/>
      <c r="C115" s="610"/>
      <c r="D115" s="642"/>
      <c r="E115" s="610">
        <v>1.1902403799999999E-2</v>
      </c>
      <c r="F115" s="399" t="s">
        <v>102</v>
      </c>
      <c r="G115" s="480">
        <f>+E114*$D$8</f>
        <v>18.094303031999999</v>
      </c>
      <c r="H115" s="98"/>
      <c r="I115" s="99">
        <f>G115+H115+K114</f>
        <v>-1.9474400000163428E-4</v>
      </c>
      <c r="J115" s="399"/>
      <c r="K115" s="126">
        <f t="shared" si="165"/>
        <v>-1.9474400000163428E-4</v>
      </c>
      <c r="L115" s="101">
        <f t="shared" si="220"/>
        <v>0</v>
      </c>
      <c r="M115" s="482">
        <v>43508</v>
      </c>
      <c r="N115" s="655"/>
      <c r="O115" s="656"/>
      <c r="P115" s="655"/>
      <c r="Q115" s="657"/>
      <c r="R115" s="655"/>
      <c r="S115" s="658"/>
    </row>
    <row r="116" spans="1:20" ht="15.6">
      <c r="A116" s="54">
        <v>17</v>
      </c>
      <c r="B116" s="660"/>
      <c r="C116" s="610" t="s">
        <v>428</v>
      </c>
      <c r="D116" s="642" t="s">
        <v>324</v>
      </c>
      <c r="E116" s="643">
        <v>1.22429215E-2</v>
      </c>
      <c r="F116" s="399" t="s">
        <v>38</v>
      </c>
      <c r="G116" s="480">
        <f>+E116*$D$6</f>
        <v>29.334039914000002</v>
      </c>
      <c r="H116" s="500">
        <v>-46.204999999999998</v>
      </c>
      <c r="I116" s="99">
        <f>G116+H116</f>
        <v>-16.870960085999997</v>
      </c>
      <c r="J116" s="399"/>
      <c r="K116" s="126">
        <f>I116-J116</f>
        <v>-16.870960085999997</v>
      </c>
      <c r="L116" s="101">
        <v>0</v>
      </c>
      <c r="M116" s="481">
        <v>43508</v>
      </c>
      <c r="N116" s="655">
        <f>G116+G117</f>
        <v>46.204785741000002</v>
      </c>
      <c r="O116" s="656">
        <f t="shared" ref="O116" si="231">H116+H117</f>
        <v>-46.204999999999998</v>
      </c>
      <c r="P116" s="655">
        <f t="shared" ref="P116" si="232">N116+O116</f>
        <v>-2.1425899999627518E-4</v>
      </c>
      <c r="Q116" s="657">
        <f t="shared" ref="Q116" si="233">J116+J117</f>
        <v>0</v>
      </c>
      <c r="R116" s="655">
        <f t="shared" ref="R116" si="234">P116-Q116</f>
        <v>-2.1425899999627518E-4</v>
      </c>
      <c r="S116" s="658">
        <f>Q116/P116</f>
        <v>0</v>
      </c>
    </row>
    <row r="117" spans="1:20" ht="15.6">
      <c r="A117" s="54"/>
      <c r="B117" s="660"/>
      <c r="C117" s="610"/>
      <c r="D117" s="642"/>
      <c r="E117" s="643">
        <v>1.22429215E-2</v>
      </c>
      <c r="F117" s="399" t="s">
        <v>102</v>
      </c>
      <c r="G117" s="480">
        <f>+E116*$D$8</f>
        <v>16.870745827</v>
      </c>
      <c r="H117" s="98"/>
      <c r="I117" s="99">
        <f>G117+H117+K116</f>
        <v>-2.1425899999627518E-4</v>
      </c>
      <c r="J117" s="399"/>
      <c r="K117" s="126">
        <f>I117-J117</f>
        <v>-2.1425899999627518E-4</v>
      </c>
      <c r="L117" s="101">
        <f>J117/I117</f>
        <v>0</v>
      </c>
      <c r="M117" s="481">
        <v>43508</v>
      </c>
      <c r="N117" s="655"/>
      <c r="O117" s="656"/>
      <c r="P117" s="655"/>
      <c r="Q117" s="657"/>
      <c r="R117" s="655"/>
      <c r="S117" s="658"/>
    </row>
    <row r="118" spans="1:20" ht="15.6" customHeight="1">
      <c r="A118" s="54">
        <v>18</v>
      </c>
      <c r="B118" s="660"/>
      <c r="C118" s="610" t="s">
        <v>325</v>
      </c>
      <c r="D118" s="642" t="s">
        <v>326</v>
      </c>
      <c r="E118" s="643">
        <v>2.2955632E-2</v>
      </c>
      <c r="F118" s="399" t="s">
        <v>38</v>
      </c>
      <c r="G118" s="480">
        <f>+E118*$D$6</f>
        <v>55.001694272000002</v>
      </c>
      <c r="H118" s="502">
        <v>-86.635000000000005</v>
      </c>
      <c r="I118" s="99">
        <f>G118+H118</f>
        <v>-31.633305728000003</v>
      </c>
      <c r="J118" s="399"/>
      <c r="K118" s="126">
        <f t="shared" si="165"/>
        <v>-31.633305728000003</v>
      </c>
      <c r="L118" s="101">
        <v>0</v>
      </c>
      <c r="M118" s="482">
        <v>43508</v>
      </c>
      <c r="N118" s="655">
        <f t="shared" ref="N118:O118" si="235">G118+G119</f>
        <v>86.634555168000006</v>
      </c>
      <c r="O118" s="656">
        <f t="shared" si="235"/>
        <v>-86.635000000000005</v>
      </c>
      <c r="P118" s="655">
        <f t="shared" ref="P118" si="236">N118+O118</f>
        <v>-4.44831999999451E-4</v>
      </c>
      <c r="Q118" s="657">
        <f t="shared" ref="Q118" si="237">J118+J119</f>
        <v>0</v>
      </c>
      <c r="R118" s="655">
        <f t="shared" ref="R118" si="238">P118-Q118</f>
        <v>-4.44831999999451E-4</v>
      </c>
      <c r="S118" s="658">
        <v>1</v>
      </c>
    </row>
    <row r="119" spans="1:20" ht="15.6">
      <c r="A119" s="54"/>
      <c r="B119" s="660"/>
      <c r="C119" s="610"/>
      <c r="D119" s="642"/>
      <c r="E119" s="643">
        <v>2.2940783100000001E-2</v>
      </c>
      <c r="F119" s="399" t="s">
        <v>102</v>
      </c>
      <c r="G119" s="480">
        <f>+E118*$D$8</f>
        <v>31.632860896</v>
      </c>
      <c r="H119" s="98"/>
      <c r="I119" s="99">
        <f>G119+H119+K118</f>
        <v>-4.4483200000300371E-4</v>
      </c>
      <c r="J119" s="399"/>
      <c r="K119" s="126">
        <f t="shared" si="165"/>
        <v>-4.4483200000300371E-4</v>
      </c>
      <c r="L119" s="101">
        <v>0</v>
      </c>
      <c r="M119" s="482">
        <v>43508</v>
      </c>
      <c r="N119" s="655"/>
      <c r="O119" s="656"/>
      <c r="P119" s="655"/>
      <c r="Q119" s="657"/>
      <c r="R119" s="655"/>
      <c r="S119" s="658"/>
    </row>
    <row r="120" spans="1:20" ht="15.6" customHeight="1">
      <c r="A120" s="54">
        <v>19</v>
      </c>
      <c r="B120" s="660"/>
      <c r="C120" s="610" t="s">
        <v>327</v>
      </c>
      <c r="D120" s="642" t="s">
        <v>328</v>
      </c>
      <c r="E120" s="610">
        <v>2.114129E-2</v>
      </c>
      <c r="F120" s="399" t="s">
        <v>38</v>
      </c>
      <c r="G120" s="480">
        <f>+E120*$D$6</f>
        <v>50.65453084</v>
      </c>
      <c r="H120" s="502">
        <v>-79.787999999999997</v>
      </c>
      <c r="I120" s="99">
        <f>G120+H120</f>
        <v>-29.133469159999997</v>
      </c>
      <c r="J120" s="399"/>
      <c r="K120" s="126">
        <f t="shared" si="165"/>
        <v>-29.133469159999997</v>
      </c>
      <c r="L120" s="101">
        <v>0</v>
      </c>
      <c r="M120" s="482">
        <v>43508</v>
      </c>
      <c r="N120" s="655">
        <f t="shared" ref="N120:O120" si="239">G120+G121</f>
        <v>79.787228459999994</v>
      </c>
      <c r="O120" s="656">
        <f t="shared" si="239"/>
        <v>-79.787999999999997</v>
      </c>
      <c r="P120" s="655">
        <f t="shared" ref="P120" si="240">N120+O120</f>
        <v>-7.7154000000234646E-4</v>
      </c>
      <c r="Q120" s="657">
        <f t="shared" ref="Q120" si="241">J120+J121</f>
        <v>0</v>
      </c>
      <c r="R120" s="655">
        <f t="shared" ref="R120" si="242">P120-Q120</f>
        <v>-7.7154000000234646E-4</v>
      </c>
      <c r="S120" s="658">
        <f t="shared" ref="S120" si="243">Q120/P120</f>
        <v>0</v>
      </c>
    </row>
    <row r="121" spans="1:20" ht="15.6">
      <c r="A121" s="54"/>
      <c r="B121" s="660"/>
      <c r="C121" s="610"/>
      <c r="D121" s="642"/>
      <c r="E121" s="610">
        <v>1.9612607800000001E-2</v>
      </c>
      <c r="F121" s="399" t="s">
        <v>102</v>
      </c>
      <c r="G121" s="480">
        <f>+E120*$D$8</f>
        <v>29.132697620000002</v>
      </c>
      <c r="H121" s="98"/>
      <c r="I121" s="99">
        <f>G121+H121+K120</f>
        <v>-7.7153999999524103E-4</v>
      </c>
      <c r="J121" s="399"/>
      <c r="K121" s="126">
        <f t="shared" si="165"/>
        <v>-7.7153999999524103E-4</v>
      </c>
      <c r="L121" s="101">
        <v>0</v>
      </c>
      <c r="M121" s="482">
        <v>43508</v>
      </c>
      <c r="N121" s="655"/>
      <c r="O121" s="656"/>
      <c r="P121" s="655"/>
      <c r="Q121" s="657"/>
      <c r="R121" s="655"/>
      <c r="S121" s="658"/>
    </row>
    <row r="122" spans="1:20" ht="15.6" customHeight="1">
      <c r="A122" s="54">
        <v>20</v>
      </c>
      <c r="B122" s="660"/>
      <c r="C122" s="610" t="s">
        <v>329</v>
      </c>
      <c r="D122" s="642" t="s">
        <v>330</v>
      </c>
      <c r="E122" s="643">
        <v>1.2361425000000001E-2</v>
      </c>
      <c r="F122" s="399" t="s">
        <v>38</v>
      </c>
      <c r="G122" s="480">
        <f>+E122*$D$6</f>
        <v>29.6179743</v>
      </c>
      <c r="H122" s="348">
        <f>-46652/1000</f>
        <v>-46.652000000000001</v>
      </c>
      <c r="I122" s="99">
        <f>G122+H122</f>
        <v>-17.034025700000001</v>
      </c>
      <c r="J122" s="399"/>
      <c r="K122" s="126">
        <f t="shared" si="165"/>
        <v>-17.034025700000001</v>
      </c>
      <c r="L122" s="101">
        <f t="shared" si="220"/>
        <v>0</v>
      </c>
      <c r="M122" s="306" t="s">
        <v>32</v>
      </c>
      <c r="N122" s="644">
        <f t="shared" ref="N122:O122" si="244">G122+G123</f>
        <v>46.652017950000001</v>
      </c>
      <c r="O122" s="645">
        <f t="shared" si="244"/>
        <v>-46.652000000000001</v>
      </c>
      <c r="P122" s="640">
        <f t="shared" ref="P122" si="245">N122+O122</f>
        <v>1.7950000000155342E-5</v>
      </c>
      <c r="Q122" s="639">
        <f t="shared" ref="Q122" si="246">J122+J123</f>
        <v>0</v>
      </c>
      <c r="R122" s="649">
        <f t="shared" ref="R122" si="247">P122-Q122</f>
        <v>1.7950000000155342E-5</v>
      </c>
      <c r="S122" s="641">
        <f t="shared" ref="S122" si="248">Q122/P122</f>
        <v>0</v>
      </c>
      <c r="T122" s="509"/>
    </row>
    <row r="123" spans="1:20" ht="15.6">
      <c r="A123" s="54"/>
      <c r="B123" s="660"/>
      <c r="C123" s="610"/>
      <c r="D123" s="642"/>
      <c r="E123" s="643">
        <v>1.30862228E-2</v>
      </c>
      <c r="F123" s="399" t="s">
        <v>102</v>
      </c>
      <c r="G123" s="480">
        <f>+E122*$D$8</f>
        <v>17.034043650000001</v>
      </c>
      <c r="H123" s="98"/>
      <c r="I123" s="99">
        <f>G123+H123+K122</f>
        <v>1.7950000000155342E-5</v>
      </c>
      <c r="J123" s="399"/>
      <c r="K123" s="126">
        <f t="shared" si="165"/>
        <v>1.7950000000155342E-5</v>
      </c>
      <c r="L123" s="101">
        <f t="shared" si="220"/>
        <v>0</v>
      </c>
      <c r="M123" s="306" t="s">
        <v>32</v>
      </c>
      <c r="N123" s="644"/>
      <c r="O123" s="645"/>
      <c r="P123" s="640"/>
      <c r="Q123" s="639"/>
      <c r="R123" s="649"/>
      <c r="S123" s="641"/>
      <c r="T123" s="509"/>
    </row>
    <row r="124" spans="1:20" ht="15.6">
      <c r="A124" s="54">
        <v>21</v>
      </c>
      <c r="B124" s="660"/>
      <c r="C124" s="610" t="s">
        <v>331</v>
      </c>
      <c r="D124" s="642" t="s">
        <v>332</v>
      </c>
      <c r="E124" s="643">
        <v>1.41230929E-2</v>
      </c>
      <c r="F124" s="399" t="s">
        <v>38</v>
      </c>
      <c r="G124" s="480">
        <f>+E124*$D$6</f>
        <v>33.838930588400004</v>
      </c>
      <c r="H124" s="502">
        <v>-49.481000000000002</v>
      </c>
      <c r="I124" s="99">
        <f>G124+H124</f>
        <v>-15.642069411599998</v>
      </c>
      <c r="J124" s="399">
        <v>0.111</v>
      </c>
      <c r="K124" s="126">
        <f t="shared" si="165"/>
        <v>-15.753069411599999</v>
      </c>
      <c r="L124" s="101">
        <f t="shared" si="220"/>
        <v>-7.0962477584764804E-3</v>
      </c>
      <c r="M124" s="306" t="s">
        <v>32</v>
      </c>
      <c r="N124" s="644">
        <f t="shared" ref="N124:O124" si="249">G124+G125</f>
        <v>53.3005526046</v>
      </c>
      <c r="O124" s="645">
        <f t="shared" si="249"/>
        <v>-49.481000000000002</v>
      </c>
      <c r="P124" s="640">
        <f t="shared" ref="P124" si="250">N124+O124</f>
        <v>3.8195526045999983</v>
      </c>
      <c r="Q124" s="639">
        <f t="shared" ref="Q124" si="251">J124+J125</f>
        <v>0.111</v>
      </c>
      <c r="R124" s="640">
        <f t="shared" ref="R124" si="252">P124-Q124</f>
        <v>3.7085526045999981</v>
      </c>
      <c r="S124" s="641">
        <f t="shared" ref="S124" si="253">Q124/P124</f>
        <v>2.9060995223974522E-2</v>
      </c>
    </row>
    <row r="125" spans="1:20" ht="15.6">
      <c r="A125" s="54"/>
      <c r="B125" s="660"/>
      <c r="C125" s="610"/>
      <c r="D125" s="642"/>
      <c r="E125" s="643">
        <v>1.3707184799999999E-2</v>
      </c>
      <c r="F125" s="399" t="s">
        <v>102</v>
      </c>
      <c r="G125" s="480">
        <f>+E124*$D$8</f>
        <v>19.4616220162</v>
      </c>
      <c r="H125" s="98"/>
      <c r="I125" s="99">
        <f>G125+H125+K124</f>
        <v>3.7085526046000012</v>
      </c>
      <c r="J125" s="399"/>
      <c r="K125" s="126">
        <f t="shared" si="165"/>
        <v>3.7085526046000012</v>
      </c>
      <c r="L125" s="101">
        <f t="shared" si="220"/>
        <v>0</v>
      </c>
      <c r="M125" s="306" t="s">
        <v>32</v>
      </c>
      <c r="N125" s="644"/>
      <c r="O125" s="645"/>
      <c r="P125" s="640"/>
      <c r="Q125" s="639"/>
      <c r="R125" s="640"/>
      <c r="S125" s="641"/>
    </row>
    <row r="126" spans="1:20" ht="15.6">
      <c r="A126" s="54">
        <v>22</v>
      </c>
      <c r="B126" s="660"/>
      <c r="C126" s="610" t="s">
        <v>333</v>
      </c>
      <c r="D126" s="642" t="s">
        <v>334</v>
      </c>
      <c r="E126" s="610">
        <v>2.0106202E-2</v>
      </c>
      <c r="F126" s="399" t="s">
        <v>38</v>
      </c>
      <c r="G126" s="480">
        <f>+E126*$D$6</f>
        <v>48.174459992000003</v>
      </c>
      <c r="H126" s="502">
        <v>-75.88</v>
      </c>
      <c r="I126" s="99">
        <f>G126+H126</f>
        <v>-27.705540007999993</v>
      </c>
      <c r="J126" s="399"/>
      <c r="K126" s="126">
        <f t="shared" si="165"/>
        <v>-27.705540007999993</v>
      </c>
      <c r="L126" s="101">
        <v>0</v>
      </c>
      <c r="M126" s="482">
        <v>43508</v>
      </c>
      <c r="N126" s="655">
        <f t="shared" ref="N126:O126" si="254">G126+G127</f>
        <v>75.880806348000007</v>
      </c>
      <c r="O126" s="656">
        <f t="shared" si="254"/>
        <v>-75.88</v>
      </c>
      <c r="P126" s="655">
        <f t="shared" ref="P126" si="255">N126+O126</f>
        <v>8.0634800001178064E-4</v>
      </c>
      <c r="Q126" s="657">
        <f t="shared" ref="Q126" si="256">J126+J127</f>
        <v>0</v>
      </c>
      <c r="R126" s="655">
        <f t="shared" ref="R126" si="257">P126-Q126</f>
        <v>8.0634800001178064E-4</v>
      </c>
      <c r="S126" s="658">
        <f t="shared" ref="S126" si="258">Q126/P126</f>
        <v>0</v>
      </c>
    </row>
    <row r="127" spans="1:20" ht="15.6">
      <c r="A127" s="54"/>
      <c r="B127" s="660"/>
      <c r="C127" s="610"/>
      <c r="D127" s="642"/>
      <c r="E127" s="610">
        <v>2.0106202E-2</v>
      </c>
      <c r="F127" s="399" t="s">
        <v>102</v>
      </c>
      <c r="G127" s="480">
        <f>+E126*$D$8</f>
        <v>27.706346356000001</v>
      </c>
      <c r="H127" s="98"/>
      <c r="I127" s="99">
        <f>G127+H127+K126</f>
        <v>8.0634800000822793E-4</v>
      </c>
      <c r="J127" s="399"/>
      <c r="K127" s="126">
        <f t="shared" si="165"/>
        <v>8.0634800000822793E-4</v>
      </c>
      <c r="L127" s="101">
        <f t="shared" si="220"/>
        <v>0</v>
      </c>
      <c r="M127" s="482">
        <v>43508</v>
      </c>
      <c r="N127" s="655"/>
      <c r="O127" s="656"/>
      <c r="P127" s="655"/>
      <c r="Q127" s="657"/>
      <c r="R127" s="655"/>
      <c r="S127" s="658"/>
    </row>
    <row r="128" spans="1:20" ht="15.6">
      <c r="A128" s="54">
        <v>23</v>
      </c>
      <c r="B128" s="660"/>
      <c r="C128" s="610" t="s">
        <v>335</v>
      </c>
      <c r="D128" s="642" t="s">
        <v>450</v>
      </c>
      <c r="E128" s="643">
        <v>1.6850338999999999E-2</v>
      </c>
      <c r="F128" s="399" t="s">
        <v>38</v>
      </c>
      <c r="G128" s="480">
        <f>+E128*$D$6</f>
        <v>40.373412244000001</v>
      </c>
      <c r="H128" s="98"/>
      <c r="I128" s="99">
        <f>G128+H128</f>
        <v>40.373412244000001</v>
      </c>
      <c r="J128" s="399"/>
      <c r="K128" s="126">
        <f t="shared" si="165"/>
        <v>40.373412244000001</v>
      </c>
      <c r="L128" s="101">
        <f>J128/I128</f>
        <v>0</v>
      </c>
      <c r="M128" s="306" t="s">
        <v>32</v>
      </c>
      <c r="N128" s="644">
        <f t="shared" ref="N128:O128" si="259">G128+G129</f>
        <v>63.593179386000003</v>
      </c>
      <c r="O128" s="645">
        <f t="shared" si="259"/>
        <v>0</v>
      </c>
      <c r="P128" s="640">
        <f t="shared" ref="P128" si="260">N128+O128</f>
        <v>63.593179386000003</v>
      </c>
      <c r="Q128" s="639">
        <f t="shared" ref="Q128" si="261">J128+J129</f>
        <v>0</v>
      </c>
      <c r="R128" s="640">
        <f t="shared" ref="R128" si="262">P128-Q128</f>
        <v>63.593179386000003</v>
      </c>
      <c r="S128" s="641">
        <f t="shared" ref="S128" si="263">Q128/P128</f>
        <v>0</v>
      </c>
    </row>
    <row r="129" spans="1:19" ht="15.6">
      <c r="A129" s="54"/>
      <c r="B129" s="660"/>
      <c r="C129" s="610"/>
      <c r="D129" s="642"/>
      <c r="E129" s="643">
        <v>1.92966044E-2</v>
      </c>
      <c r="F129" s="399" t="s">
        <v>102</v>
      </c>
      <c r="G129" s="480">
        <f>+E128*$D$8</f>
        <v>23.219767141999998</v>
      </c>
      <c r="H129" s="98"/>
      <c r="I129" s="99">
        <f>G129+H129+K128</f>
        <v>63.593179386000003</v>
      </c>
      <c r="J129" s="399"/>
      <c r="K129" s="126">
        <f t="shared" si="165"/>
        <v>63.593179386000003</v>
      </c>
      <c r="L129" s="101">
        <f>J129/I129</f>
        <v>0</v>
      </c>
      <c r="M129" s="306" t="s">
        <v>32</v>
      </c>
      <c r="N129" s="644"/>
      <c r="O129" s="645"/>
      <c r="P129" s="640"/>
      <c r="Q129" s="639"/>
      <c r="R129" s="640"/>
      <c r="S129" s="641"/>
    </row>
    <row r="130" spans="1:19" ht="15.6" customHeight="1">
      <c r="A130" s="54">
        <v>24</v>
      </c>
      <c r="B130" s="660"/>
      <c r="C130" s="610" t="s">
        <v>337</v>
      </c>
      <c r="D130" s="642" t="s">
        <v>338</v>
      </c>
      <c r="E130" s="643">
        <v>1.9397521000000001E-2</v>
      </c>
      <c r="F130" s="399" t="s">
        <v>38</v>
      </c>
      <c r="G130" s="480">
        <f>+E130*$D$6</f>
        <v>46.476460316000001</v>
      </c>
      <c r="H130" s="500">
        <v>-73.206000000000003</v>
      </c>
      <c r="I130" s="99">
        <f>G130+H130</f>
        <v>-26.729539684000002</v>
      </c>
      <c r="J130" s="399"/>
      <c r="K130" s="126">
        <f t="shared" si="165"/>
        <v>-26.729539684000002</v>
      </c>
      <c r="L130" s="101">
        <f>J130/I130</f>
        <v>0</v>
      </c>
      <c r="M130" s="481">
        <v>43508</v>
      </c>
      <c r="N130" s="655">
        <f t="shared" ref="N130" si="264">G130+G131</f>
        <v>73.206244253999998</v>
      </c>
      <c r="O130" s="656">
        <f>H130+H131</f>
        <v>-73.206000000000003</v>
      </c>
      <c r="P130" s="655">
        <f t="shared" ref="P130" si="265">N130+O130</f>
        <v>2.4425399999472575E-4</v>
      </c>
      <c r="Q130" s="657">
        <f t="shared" ref="Q130" si="266">J130+J131</f>
        <v>0</v>
      </c>
      <c r="R130" s="655">
        <f t="shared" ref="R130" si="267">P130-Q130</f>
        <v>2.4425399999472575E-4</v>
      </c>
      <c r="S130" s="658">
        <f t="shared" ref="S130" si="268">Q130/P130</f>
        <v>0</v>
      </c>
    </row>
    <row r="131" spans="1:19" ht="15.6">
      <c r="A131" s="54"/>
      <c r="B131" s="660"/>
      <c r="C131" s="610"/>
      <c r="D131" s="642"/>
      <c r="E131" s="643">
        <v>1.7914275600000001E-2</v>
      </c>
      <c r="F131" s="399" t="s">
        <v>102</v>
      </c>
      <c r="G131" s="480">
        <f>+E130*$D$8</f>
        <v>26.729783938000001</v>
      </c>
      <c r="H131" s="98"/>
      <c r="I131" s="99">
        <f>G131+H131+K130</f>
        <v>2.4425399999827846E-4</v>
      </c>
      <c r="J131" s="399"/>
      <c r="K131" s="126">
        <f t="shared" si="165"/>
        <v>2.4425399999827846E-4</v>
      </c>
      <c r="L131" s="101">
        <f>J131/I131</f>
        <v>0</v>
      </c>
      <c r="M131" s="481">
        <v>43508</v>
      </c>
      <c r="N131" s="655"/>
      <c r="O131" s="656"/>
      <c r="P131" s="655"/>
      <c r="Q131" s="657"/>
      <c r="R131" s="655"/>
      <c r="S131" s="658"/>
    </row>
    <row r="132" spans="1:19" ht="15.6">
      <c r="A132" s="54">
        <v>25</v>
      </c>
      <c r="B132" s="660"/>
      <c r="C132" s="610" t="s">
        <v>424</v>
      </c>
      <c r="D132" s="642" t="s">
        <v>339</v>
      </c>
      <c r="E132" s="610">
        <v>2.9587983000000002E-2</v>
      </c>
      <c r="F132" s="399" t="s">
        <v>38</v>
      </c>
      <c r="G132" s="480">
        <f>+E132*$D$6</f>
        <v>70.892807267999999</v>
      </c>
      <c r="H132" s="348">
        <f>-108840/1000</f>
        <v>-108.84</v>
      </c>
      <c r="I132" s="99">
        <f>G132+H132</f>
        <v>-37.947192732000005</v>
      </c>
      <c r="J132" s="399"/>
      <c r="K132" s="126">
        <f t="shared" si="165"/>
        <v>-37.947192732000005</v>
      </c>
      <c r="L132" s="101">
        <f t="shared" si="220"/>
        <v>0</v>
      </c>
      <c r="M132" s="306" t="s">
        <v>32</v>
      </c>
      <c r="N132" s="651">
        <f t="shared" ref="N132" si="269">G132+G133</f>
        <v>111.66504784200001</v>
      </c>
      <c r="O132" s="652">
        <f>H132+H133</f>
        <v>-108.84</v>
      </c>
      <c r="P132" s="651">
        <f t="shared" ref="P132" si="270">N132+O132</f>
        <v>2.8250478420000036</v>
      </c>
      <c r="Q132" s="653">
        <f t="shared" ref="Q132" si="271">J132+J133</f>
        <v>0</v>
      </c>
      <c r="R132" s="651">
        <f t="shared" ref="R132" si="272">P132-Q132</f>
        <v>2.8250478420000036</v>
      </c>
      <c r="S132" s="654">
        <f t="shared" ref="S132" si="273">Q132/P132</f>
        <v>0</v>
      </c>
    </row>
    <row r="133" spans="1:19" ht="15.6">
      <c r="A133" s="54"/>
      <c r="B133" s="660"/>
      <c r="C133" s="610"/>
      <c r="D133" s="642"/>
      <c r="E133" s="610">
        <v>2.8822000399999999E-2</v>
      </c>
      <c r="F133" s="399" t="s">
        <v>102</v>
      </c>
      <c r="G133" s="480">
        <f>+E132*$D$8</f>
        <v>40.772240574000001</v>
      </c>
      <c r="H133" s="98"/>
      <c r="I133" s="99">
        <f>G133+H133+K132</f>
        <v>2.8250478419999965</v>
      </c>
      <c r="J133" s="399"/>
      <c r="K133" s="126">
        <f t="shared" si="165"/>
        <v>2.8250478419999965</v>
      </c>
      <c r="L133" s="101">
        <f t="shared" si="220"/>
        <v>0</v>
      </c>
      <c r="M133" s="306" t="s">
        <v>32</v>
      </c>
      <c r="N133" s="651"/>
      <c r="O133" s="652"/>
      <c r="P133" s="651"/>
      <c r="Q133" s="653"/>
      <c r="R133" s="651"/>
      <c r="S133" s="654"/>
    </row>
    <row r="134" spans="1:19" ht="15.6" customHeight="1">
      <c r="A134" s="54">
        <v>26</v>
      </c>
      <c r="B134" s="660"/>
      <c r="C134" s="610" t="s">
        <v>340</v>
      </c>
      <c r="D134" s="642" t="s">
        <v>341</v>
      </c>
      <c r="E134" s="643">
        <v>2.5707523999999999E-2</v>
      </c>
      <c r="F134" s="399" t="s">
        <v>38</v>
      </c>
      <c r="G134" s="480">
        <f>+E134*$D$6</f>
        <v>61.595227504</v>
      </c>
      <c r="H134" s="500">
        <v>-93.686999999999998</v>
      </c>
      <c r="I134" s="99">
        <f>G134+H134</f>
        <v>-32.091772495999997</v>
      </c>
      <c r="J134" s="399"/>
      <c r="K134" s="126">
        <f t="shared" si="165"/>
        <v>-32.091772495999997</v>
      </c>
      <c r="L134" s="101">
        <v>0</v>
      </c>
      <c r="M134" s="306" t="s">
        <v>32</v>
      </c>
      <c r="N134" s="644">
        <f t="shared" ref="N134:O134" si="274">G134+G135</f>
        <v>97.020195575999992</v>
      </c>
      <c r="O134" s="645">
        <f t="shared" si="274"/>
        <v>-93.686999999999998</v>
      </c>
      <c r="P134" s="640">
        <f t="shared" ref="P134" si="275">N134+O134</f>
        <v>3.3331955759999943</v>
      </c>
      <c r="Q134" s="639">
        <f t="shared" ref="Q134" si="276">J134+J135</f>
        <v>0</v>
      </c>
      <c r="R134" s="640">
        <f t="shared" ref="R134" si="277">P134-Q134</f>
        <v>3.3331955759999943</v>
      </c>
      <c r="S134" s="641">
        <f t="shared" ref="S134" si="278">Q134/P134</f>
        <v>0</v>
      </c>
    </row>
    <row r="135" spans="1:19" ht="15.6">
      <c r="A135" s="54"/>
      <c r="B135" s="660"/>
      <c r="C135" s="610"/>
      <c r="D135" s="642"/>
      <c r="E135" s="643">
        <v>2.7236206400000001E-2</v>
      </c>
      <c r="F135" s="399" t="s">
        <v>102</v>
      </c>
      <c r="G135" s="480">
        <f>+E134*$D$8</f>
        <v>35.424968071999999</v>
      </c>
      <c r="H135" s="98"/>
      <c r="I135" s="99">
        <f>G135+H135+K134</f>
        <v>3.3331955760000014</v>
      </c>
      <c r="J135" s="399"/>
      <c r="K135" s="126">
        <f t="shared" si="165"/>
        <v>3.3331955760000014</v>
      </c>
      <c r="L135" s="101">
        <v>0</v>
      </c>
      <c r="M135" s="306" t="s">
        <v>32</v>
      </c>
      <c r="N135" s="644"/>
      <c r="O135" s="645"/>
      <c r="P135" s="640"/>
      <c r="Q135" s="639"/>
      <c r="R135" s="640"/>
      <c r="S135" s="641"/>
    </row>
    <row r="136" spans="1:19" ht="15.6" customHeight="1">
      <c r="A136" s="54">
        <v>27</v>
      </c>
      <c r="B136" s="660"/>
      <c r="C136" s="610" t="s">
        <v>342</v>
      </c>
      <c r="D136" s="642" t="s">
        <v>343</v>
      </c>
      <c r="E136" s="643">
        <v>3.3778456999999998E-3</v>
      </c>
      <c r="F136" s="399" t="s">
        <v>38</v>
      </c>
      <c r="G136" s="480">
        <f>+E136*$D$6</f>
        <v>8.0933182971999997</v>
      </c>
      <c r="H136" s="98"/>
      <c r="I136" s="99">
        <f>G136+H136</f>
        <v>8.0933182971999997</v>
      </c>
      <c r="J136" s="399"/>
      <c r="K136" s="126">
        <f t="shared" si="165"/>
        <v>8.0933182971999997</v>
      </c>
      <c r="L136" s="101">
        <v>0</v>
      </c>
      <c r="M136" s="306" t="s">
        <v>32</v>
      </c>
      <c r="N136" s="644">
        <f t="shared" ref="N136:O136" si="279">G136+G137</f>
        <v>12.747989671799999</v>
      </c>
      <c r="O136" s="645">
        <f t="shared" si="279"/>
        <v>0</v>
      </c>
      <c r="P136" s="640">
        <f t="shared" ref="P136" si="280">N136+O136</f>
        <v>12.747989671799999</v>
      </c>
      <c r="Q136" s="639">
        <f t="shared" ref="Q136" si="281">J136+J137</f>
        <v>0</v>
      </c>
      <c r="R136" s="640">
        <f t="shared" ref="R136" si="282">P136-Q136</f>
        <v>12.747989671799999</v>
      </c>
      <c r="S136" s="641">
        <f t="shared" ref="S136" si="283">Q136/P136</f>
        <v>0</v>
      </c>
    </row>
    <row r="137" spans="1:19" ht="15.6">
      <c r="A137" s="54"/>
      <c r="B137" s="660"/>
      <c r="C137" s="610"/>
      <c r="D137" s="642"/>
      <c r="E137" s="643">
        <v>3.3778456999999998E-3</v>
      </c>
      <c r="F137" s="399" t="s">
        <v>102</v>
      </c>
      <c r="G137" s="480">
        <f>+E136*$D$8</f>
        <v>4.6546713745999995</v>
      </c>
      <c r="H137" s="98"/>
      <c r="I137" s="99">
        <f>G137+H137+K136</f>
        <v>12.747989671799999</v>
      </c>
      <c r="J137" s="399"/>
      <c r="K137" s="126">
        <f t="shared" si="165"/>
        <v>12.747989671799999</v>
      </c>
      <c r="L137" s="101">
        <f t="shared" ref="L137:L157" si="284">J137/I137</f>
        <v>0</v>
      </c>
      <c r="M137" s="306" t="s">
        <v>32</v>
      </c>
      <c r="N137" s="644"/>
      <c r="O137" s="645"/>
      <c r="P137" s="640"/>
      <c r="Q137" s="639"/>
      <c r="R137" s="640"/>
      <c r="S137" s="641"/>
    </row>
    <row r="138" spans="1:19" ht="15.6">
      <c r="A138" s="54">
        <v>28</v>
      </c>
      <c r="B138" s="660"/>
      <c r="C138" s="610" t="s">
        <v>344</v>
      </c>
      <c r="D138" s="642" t="s">
        <v>345</v>
      </c>
      <c r="E138" s="610">
        <v>6.1819585999999998E-3</v>
      </c>
      <c r="F138" s="399" t="s">
        <v>38</v>
      </c>
      <c r="G138" s="480">
        <f>+E138*$D$6</f>
        <v>14.8119728056</v>
      </c>
      <c r="H138" s="500">
        <v>-23.331</v>
      </c>
      <c r="I138" s="99">
        <f>G138+H138</f>
        <v>-8.5190271943999996</v>
      </c>
      <c r="J138" s="399"/>
      <c r="K138" s="126">
        <f t="shared" si="165"/>
        <v>-8.5190271943999996</v>
      </c>
      <c r="L138" s="101">
        <f t="shared" si="284"/>
        <v>0</v>
      </c>
      <c r="M138" s="481">
        <v>43508</v>
      </c>
      <c r="N138" s="646">
        <f t="shared" ref="N138:O138" si="285">G138+G139</f>
        <v>23.3307117564</v>
      </c>
      <c r="O138" s="647">
        <f t="shared" si="285"/>
        <v>-23.331</v>
      </c>
      <c r="P138" s="646">
        <f t="shared" ref="P138" si="286">N138+O138</f>
        <v>-2.8824360000001548E-4</v>
      </c>
      <c r="Q138" s="648">
        <f t="shared" ref="Q138" si="287">J138+J139</f>
        <v>0</v>
      </c>
      <c r="R138" s="646">
        <f t="shared" ref="R138" si="288">P138-Q138</f>
        <v>-2.8824360000001548E-4</v>
      </c>
      <c r="S138" s="650">
        <f t="shared" ref="S138" si="289">Q138/P138</f>
        <v>0</v>
      </c>
    </row>
    <row r="139" spans="1:19" ht="15.6">
      <c r="A139" s="54"/>
      <c r="B139" s="660"/>
      <c r="C139" s="610"/>
      <c r="D139" s="642"/>
      <c r="E139" s="610">
        <v>6.1819585999999998E-3</v>
      </c>
      <c r="F139" s="399" t="s">
        <v>102</v>
      </c>
      <c r="G139" s="480">
        <f>+E138*$D$8</f>
        <v>8.5187389507999995</v>
      </c>
      <c r="H139" s="98"/>
      <c r="I139" s="99">
        <f>G139+H139+K138</f>
        <v>-2.8824360000001548E-4</v>
      </c>
      <c r="J139" s="399"/>
      <c r="K139" s="126">
        <f t="shared" si="165"/>
        <v>-2.8824360000001548E-4</v>
      </c>
      <c r="L139" s="101">
        <f t="shared" si="284"/>
        <v>0</v>
      </c>
      <c r="M139" s="481">
        <v>43508</v>
      </c>
      <c r="N139" s="646"/>
      <c r="O139" s="647"/>
      <c r="P139" s="646"/>
      <c r="Q139" s="648"/>
      <c r="R139" s="646"/>
      <c r="S139" s="650"/>
    </row>
    <row r="140" spans="1:19" ht="15.6">
      <c r="A140" s="54">
        <v>29</v>
      </c>
      <c r="B140" s="660"/>
      <c r="C140" s="610" t="s">
        <v>346</v>
      </c>
      <c r="D140" s="642" t="s">
        <v>347</v>
      </c>
      <c r="E140" s="643">
        <v>5.6303055000000001E-3</v>
      </c>
      <c r="F140" s="399" t="s">
        <v>38</v>
      </c>
      <c r="G140" s="480">
        <f>+E140*$D$6</f>
        <v>13.490211978</v>
      </c>
      <c r="H140" s="500">
        <v>-21.248999999999999</v>
      </c>
      <c r="I140" s="99">
        <f>G140+H140</f>
        <v>-7.7587880219999992</v>
      </c>
      <c r="J140" s="399"/>
      <c r="K140" s="126">
        <f t="shared" si="165"/>
        <v>-7.7587880219999992</v>
      </c>
      <c r="L140" s="101">
        <f t="shared" si="284"/>
        <v>0</v>
      </c>
      <c r="M140" s="481">
        <v>43508</v>
      </c>
      <c r="N140" s="646">
        <f t="shared" ref="N140:O140" si="290">G140+G141</f>
        <v>21.248772957</v>
      </c>
      <c r="O140" s="647">
        <f t="shared" si="290"/>
        <v>-21.248999999999999</v>
      </c>
      <c r="P140" s="646">
        <f t="shared" ref="P140" si="291">N140+O140</f>
        <v>-2.2704299999887212E-4</v>
      </c>
      <c r="Q140" s="648">
        <f t="shared" ref="Q140" si="292">J140+J141</f>
        <v>0</v>
      </c>
      <c r="R140" s="646">
        <f t="shared" ref="R140" si="293">P140-Q140</f>
        <v>-2.2704299999887212E-4</v>
      </c>
      <c r="S140" s="650">
        <f t="shared" ref="S140" si="294">Q140/P140</f>
        <v>0</v>
      </c>
    </row>
    <row r="141" spans="1:19" ht="15.6">
      <c r="A141" s="54"/>
      <c r="B141" s="660"/>
      <c r="C141" s="610"/>
      <c r="D141" s="642"/>
      <c r="E141" s="643">
        <v>5.6303055000000001E-3</v>
      </c>
      <c r="F141" s="399" t="s">
        <v>102</v>
      </c>
      <c r="G141" s="480">
        <f>+E140*$D$8</f>
        <v>7.7585609790000003</v>
      </c>
      <c r="H141" s="98"/>
      <c r="I141" s="99">
        <f>G141+H141+K140</f>
        <v>-2.2704299999887212E-4</v>
      </c>
      <c r="J141" s="399"/>
      <c r="K141" s="126">
        <f t="shared" si="165"/>
        <v>-2.2704299999887212E-4</v>
      </c>
      <c r="L141" s="101">
        <f t="shared" si="284"/>
        <v>0</v>
      </c>
      <c r="M141" s="481">
        <v>43508</v>
      </c>
      <c r="N141" s="646"/>
      <c r="O141" s="647"/>
      <c r="P141" s="646"/>
      <c r="Q141" s="648"/>
      <c r="R141" s="646"/>
      <c r="S141" s="650"/>
    </row>
    <row r="142" spans="1:19" ht="15.6" customHeight="1">
      <c r="A142" s="54">
        <v>30</v>
      </c>
      <c r="B142" s="660"/>
      <c r="C142" s="610" t="s">
        <v>451</v>
      </c>
      <c r="D142" s="642" t="s">
        <v>349</v>
      </c>
      <c r="E142" s="643">
        <v>1.3602421E-3</v>
      </c>
      <c r="F142" s="399" t="s">
        <v>38</v>
      </c>
      <c r="G142" s="480">
        <f>+E142*$D$6</f>
        <v>3.2591400716000001</v>
      </c>
      <c r="H142" s="501">
        <v>-5.133</v>
      </c>
      <c r="I142" s="99">
        <f>G142+H142</f>
        <v>-1.8738599283999999</v>
      </c>
      <c r="J142" s="399"/>
      <c r="K142" s="126">
        <f t="shared" si="165"/>
        <v>-1.8738599283999999</v>
      </c>
      <c r="L142" s="101">
        <f t="shared" si="284"/>
        <v>0</v>
      </c>
      <c r="M142" s="482">
        <v>43508</v>
      </c>
      <c r="N142" s="646">
        <f t="shared" ref="N142:O142" si="295">G142+G143</f>
        <v>5.1335536853999999</v>
      </c>
      <c r="O142" s="647">
        <f t="shared" si="295"/>
        <v>-5.133</v>
      </c>
      <c r="P142" s="646">
        <f t="shared" ref="P142" si="296">N142+O142</f>
        <v>5.5368539999989252E-4</v>
      </c>
      <c r="Q142" s="648">
        <f t="shared" ref="Q142" si="297">J142+J143</f>
        <v>0</v>
      </c>
      <c r="R142" s="646">
        <f t="shared" ref="R142" si="298">P142-Q142</f>
        <v>5.5368539999989252E-4</v>
      </c>
      <c r="S142" s="650">
        <f t="shared" ref="S142" si="299">Q142/P142</f>
        <v>0</v>
      </c>
    </row>
    <row r="143" spans="1:19" ht="15.6">
      <c r="A143" s="54"/>
      <c r="B143" s="660"/>
      <c r="C143" s="610"/>
      <c r="D143" s="642"/>
      <c r="E143" s="643">
        <v>1.3602421E-3</v>
      </c>
      <c r="F143" s="399" t="s">
        <v>102</v>
      </c>
      <c r="G143" s="480">
        <f>+E142*$D$8</f>
        <v>1.8744136138</v>
      </c>
      <c r="H143" s="98"/>
      <c r="I143" s="99">
        <f>G143+H143+K142</f>
        <v>5.5368540000011457E-4</v>
      </c>
      <c r="J143" s="399"/>
      <c r="K143" s="126">
        <f t="shared" si="165"/>
        <v>5.5368540000011457E-4</v>
      </c>
      <c r="L143" s="101">
        <f t="shared" si="284"/>
        <v>0</v>
      </c>
      <c r="M143" s="482">
        <v>43508</v>
      </c>
      <c r="N143" s="646"/>
      <c r="O143" s="647"/>
      <c r="P143" s="646"/>
      <c r="Q143" s="648"/>
      <c r="R143" s="646"/>
      <c r="S143" s="650"/>
    </row>
    <row r="144" spans="1:19" ht="15.6">
      <c r="A144" s="54">
        <v>31</v>
      </c>
      <c r="B144" s="660"/>
      <c r="C144" s="610" t="s">
        <v>350</v>
      </c>
      <c r="D144" s="642" t="s">
        <v>351</v>
      </c>
      <c r="E144" s="610">
        <v>1.7838174E-3</v>
      </c>
      <c r="F144" s="399" t="s">
        <v>38</v>
      </c>
      <c r="G144" s="480">
        <f>+E144*$D$6</f>
        <v>4.2740264903999998</v>
      </c>
      <c r="H144" s="108"/>
      <c r="I144" s="99">
        <f>G144+H144</f>
        <v>4.2740264903999998</v>
      </c>
      <c r="J144" s="399"/>
      <c r="K144" s="126">
        <f t="shared" si="165"/>
        <v>4.2740264903999998</v>
      </c>
      <c r="L144" s="101">
        <f t="shared" si="284"/>
        <v>0</v>
      </c>
      <c r="M144" s="306" t="s">
        <v>32</v>
      </c>
      <c r="N144" s="644">
        <f t="shared" ref="N144:O144" si="300">G144+G145</f>
        <v>6.7321268675999999</v>
      </c>
      <c r="O144" s="645">
        <f t="shared" si="300"/>
        <v>0</v>
      </c>
      <c r="P144" s="640">
        <f t="shared" ref="P144" si="301">N144+O144</f>
        <v>6.7321268675999999</v>
      </c>
      <c r="Q144" s="639">
        <f t="shared" ref="Q144" si="302">J144+J145</f>
        <v>0</v>
      </c>
      <c r="R144" s="640">
        <f t="shared" ref="R144" si="303">P144-Q144</f>
        <v>6.7321268675999999</v>
      </c>
      <c r="S144" s="641">
        <f t="shared" ref="S144" si="304">Q144/P144</f>
        <v>0</v>
      </c>
    </row>
    <row r="145" spans="1:20" ht="15.6">
      <c r="A145" s="54"/>
      <c r="B145" s="660"/>
      <c r="C145" s="610"/>
      <c r="D145" s="642"/>
      <c r="E145" s="610">
        <v>1.7838174E-3</v>
      </c>
      <c r="F145" s="399" t="s">
        <v>102</v>
      </c>
      <c r="G145" s="480">
        <f>+E144*$D$8</f>
        <v>2.4581003772000001</v>
      </c>
      <c r="H145" s="108"/>
      <c r="I145" s="99">
        <f>G145+H145+K144</f>
        <v>6.7321268675999999</v>
      </c>
      <c r="J145" s="399"/>
      <c r="K145" s="126">
        <f t="shared" si="165"/>
        <v>6.7321268675999999</v>
      </c>
      <c r="L145" s="101">
        <f t="shared" si="284"/>
        <v>0</v>
      </c>
      <c r="M145" s="306" t="s">
        <v>32</v>
      </c>
      <c r="N145" s="644"/>
      <c r="O145" s="645"/>
      <c r="P145" s="640"/>
      <c r="Q145" s="639"/>
      <c r="R145" s="640"/>
      <c r="S145" s="641"/>
    </row>
    <row r="146" spans="1:20" ht="15.6">
      <c r="A146" s="54">
        <v>32</v>
      </c>
      <c r="B146" s="660"/>
      <c r="C146" s="610" t="s">
        <v>352</v>
      </c>
      <c r="D146" s="642" t="s">
        <v>353</v>
      </c>
      <c r="E146" s="643">
        <v>4.2194629999999997E-3</v>
      </c>
      <c r="F146" s="399" t="s">
        <v>38</v>
      </c>
      <c r="G146" s="480">
        <f>+E146*$D$6</f>
        <v>10.109833347999999</v>
      </c>
      <c r="H146" s="98"/>
      <c r="I146" s="99">
        <f>G146+H146</f>
        <v>10.109833347999999</v>
      </c>
      <c r="J146" s="399"/>
      <c r="K146" s="126">
        <f t="shared" si="165"/>
        <v>10.109833347999999</v>
      </c>
      <c r="L146" s="101">
        <f t="shared" si="284"/>
        <v>0</v>
      </c>
      <c r="M146" s="306" t="s">
        <v>32</v>
      </c>
      <c r="N146" s="644">
        <f t="shared" ref="N146:O146" si="305">G146+G147</f>
        <v>15.924253361999998</v>
      </c>
      <c r="O146" s="645">
        <f t="shared" si="305"/>
        <v>0</v>
      </c>
      <c r="P146" s="640">
        <f t="shared" ref="P146" si="306">N146+O146</f>
        <v>15.924253361999998</v>
      </c>
      <c r="Q146" s="639">
        <f t="shared" ref="Q146" si="307">J146+J147</f>
        <v>0</v>
      </c>
      <c r="R146" s="640">
        <f t="shared" ref="R146" si="308">P146-Q146</f>
        <v>15.924253361999998</v>
      </c>
      <c r="S146" s="641">
        <f t="shared" ref="S146" si="309">Q146/P146</f>
        <v>0</v>
      </c>
    </row>
    <row r="147" spans="1:20" ht="15.6">
      <c r="A147" s="54"/>
      <c r="B147" s="660"/>
      <c r="C147" s="610"/>
      <c r="D147" s="642"/>
      <c r="E147" s="643">
        <v>4.2194629999999997E-3</v>
      </c>
      <c r="F147" s="399" t="s">
        <v>102</v>
      </c>
      <c r="G147" s="480">
        <f>+E146*$D$8</f>
        <v>5.8144200139999995</v>
      </c>
      <c r="H147" s="98"/>
      <c r="I147" s="99">
        <f>G147+H147+K146</f>
        <v>15.924253361999998</v>
      </c>
      <c r="J147" s="399"/>
      <c r="K147" s="126">
        <f t="shared" si="165"/>
        <v>15.924253361999998</v>
      </c>
      <c r="L147" s="101">
        <f t="shared" si="284"/>
        <v>0</v>
      </c>
      <c r="M147" s="306" t="s">
        <v>32</v>
      </c>
      <c r="N147" s="644"/>
      <c r="O147" s="645"/>
      <c r="P147" s="640"/>
      <c r="Q147" s="639"/>
      <c r="R147" s="640"/>
      <c r="S147" s="641"/>
    </row>
    <row r="148" spans="1:20" ht="15.6">
      <c r="A148" s="54">
        <v>33</v>
      </c>
      <c r="B148" s="660"/>
      <c r="C148" s="610" t="s">
        <v>452</v>
      </c>
      <c r="D148" s="642" t="s">
        <v>423</v>
      </c>
      <c r="E148" s="643">
        <v>9.70231E-4</v>
      </c>
      <c r="F148" s="399" t="s">
        <v>38</v>
      </c>
      <c r="G148" s="480">
        <f>+E148*$D$6</f>
        <v>2.3246734760000001</v>
      </c>
      <c r="H148" s="348">
        <f>-3662/1000</f>
        <v>-3.6619999999999999</v>
      </c>
      <c r="I148" s="99">
        <f>G148+H148</f>
        <v>-1.3373265239999998</v>
      </c>
      <c r="J148" s="399"/>
      <c r="K148" s="126">
        <f t="shared" si="165"/>
        <v>-1.3373265239999998</v>
      </c>
      <c r="L148" s="101">
        <f t="shared" si="284"/>
        <v>0</v>
      </c>
      <c r="M148" s="306" t="s">
        <v>32</v>
      </c>
      <c r="N148" s="646">
        <f t="shared" ref="N148:O148" si="310">G148+G149</f>
        <v>3.661651794</v>
      </c>
      <c r="O148" s="647">
        <f t="shared" si="310"/>
        <v>-3.6619999999999999</v>
      </c>
      <c r="P148" s="646">
        <f t="shared" ref="P148" si="311">N148+O148</f>
        <v>-3.4820599999996205E-4</v>
      </c>
      <c r="Q148" s="648">
        <f t="shared" ref="Q148" si="312">J148+J149</f>
        <v>0</v>
      </c>
      <c r="R148" s="649">
        <f t="shared" ref="R148" si="313">P148-Q148</f>
        <v>-3.4820599999996205E-4</v>
      </c>
      <c r="S148" s="650">
        <f t="shared" ref="S148" si="314">Q148/P148</f>
        <v>0</v>
      </c>
      <c r="T148" s="509"/>
    </row>
    <row r="149" spans="1:20" ht="15.6">
      <c r="A149" s="54"/>
      <c r="B149" s="660"/>
      <c r="C149" s="610"/>
      <c r="D149" s="642"/>
      <c r="E149" s="643">
        <v>9.70231E-4</v>
      </c>
      <c r="F149" s="399" t="s">
        <v>102</v>
      </c>
      <c r="G149" s="480">
        <f>+E148*$D$8</f>
        <v>1.3369783180000001</v>
      </c>
      <c r="H149" s="98"/>
      <c r="I149" s="99">
        <f>G149+H149+K148</f>
        <v>-3.4820599999974E-4</v>
      </c>
      <c r="J149" s="399"/>
      <c r="K149" s="126">
        <f t="shared" si="165"/>
        <v>-3.4820599999974E-4</v>
      </c>
      <c r="L149" s="101">
        <f t="shared" si="284"/>
        <v>0</v>
      </c>
      <c r="M149" s="306" t="s">
        <v>32</v>
      </c>
      <c r="N149" s="646"/>
      <c r="O149" s="647"/>
      <c r="P149" s="646"/>
      <c r="Q149" s="648"/>
      <c r="R149" s="649"/>
      <c r="S149" s="650"/>
      <c r="T149" s="509"/>
    </row>
    <row r="150" spans="1:20" ht="15.6">
      <c r="A150" s="54">
        <v>34</v>
      </c>
      <c r="B150" s="660"/>
      <c r="C150" s="610" t="s">
        <v>355</v>
      </c>
      <c r="D150" s="642" t="s">
        <v>453</v>
      </c>
      <c r="E150" s="643">
        <v>1.729895E-3</v>
      </c>
      <c r="F150" s="399" t="s">
        <v>38</v>
      </c>
      <c r="G150" s="480">
        <f>+E150*$D$6</f>
        <v>4.1448284199999996</v>
      </c>
      <c r="H150" s="98"/>
      <c r="I150" s="99">
        <f>G150+H150</f>
        <v>4.1448284199999996</v>
      </c>
      <c r="J150" s="228">
        <v>4.4800000000000004</v>
      </c>
      <c r="K150" s="126">
        <f t="shared" si="165"/>
        <v>-0.3351715800000008</v>
      </c>
      <c r="L150" s="101">
        <f t="shared" si="284"/>
        <v>1.0808650071937118</v>
      </c>
      <c r="M150" s="306" t="s">
        <v>32</v>
      </c>
      <c r="N150" s="644">
        <f t="shared" ref="N150:O150" si="315">G150+G151</f>
        <v>6.5286237299999996</v>
      </c>
      <c r="O150" s="645">
        <f t="shared" si="315"/>
        <v>0</v>
      </c>
      <c r="P150" s="640">
        <f t="shared" ref="P150" si="316">N150+O150</f>
        <v>6.5286237299999996</v>
      </c>
      <c r="Q150" s="645">
        <f t="shared" ref="Q150" si="317">J150+J151</f>
        <v>4.4800000000000004</v>
      </c>
      <c r="R150" s="640">
        <f t="shared" ref="R150" si="318">P150-Q150</f>
        <v>2.0486237299999992</v>
      </c>
      <c r="S150" s="641">
        <f t="shared" ref="S150" si="319">Q150/P150</f>
        <v>0.68620894468366012</v>
      </c>
    </row>
    <row r="151" spans="1:20" ht="15.6">
      <c r="A151" s="54"/>
      <c r="B151" s="660"/>
      <c r="C151" s="610"/>
      <c r="D151" s="642"/>
      <c r="E151" s="643">
        <v>1.729895E-3</v>
      </c>
      <c r="F151" s="399" t="s">
        <v>102</v>
      </c>
      <c r="G151" s="480">
        <f>+E150*$D$8</f>
        <v>2.38379531</v>
      </c>
      <c r="H151" s="98"/>
      <c r="I151" s="99">
        <f>G151+H151+K150</f>
        <v>2.0486237299999992</v>
      </c>
      <c r="J151" s="229"/>
      <c r="K151" s="126">
        <f t="shared" si="165"/>
        <v>2.0486237299999992</v>
      </c>
      <c r="L151" s="101">
        <f t="shared" si="284"/>
        <v>0</v>
      </c>
      <c r="M151" s="306" t="s">
        <v>32</v>
      </c>
      <c r="N151" s="644"/>
      <c r="O151" s="645"/>
      <c r="P151" s="640"/>
      <c r="Q151" s="645"/>
      <c r="R151" s="640"/>
      <c r="S151" s="641"/>
    </row>
    <row r="152" spans="1:20" ht="15.6">
      <c r="A152" s="54">
        <v>35</v>
      </c>
      <c r="B152" s="660"/>
      <c r="C152" s="610" t="s">
        <v>356</v>
      </c>
      <c r="D152" s="642" t="s">
        <v>454</v>
      </c>
      <c r="E152" s="610">
        <v>1.1470409999999999E-3</v>
      </c>
      <c r="F152" s="399" t="s">
        <v>38</v>
      </c>
      <c r="G152" s="480">
        <f>+E152*$D$6</f>
        <v>2.7483102359999996</v>
      </c>
      <c r="H152" s="98"/>
      <c r="I152" s="99">
        <f>G152+H152</f>
        <v>2.7483102359999996</v>
      </c>
      <c r="J152" s="228">
        <v>0.27</v>
      </c>
      <c r="K152" s="126">
        <f t="shared" si="165"/>
        <v>2.4783102359999996</v>
      </c>
      <c r="L152" s="101">
        <f t="shared" si="284"/>
        <v>9.8242184038498062E-2</v>
      </c>
      <c r="M152" s="306" t="s">
        <v>32</v>
      </c>
      <c r="N152" s="644">
        <f t="shared" ref="N152:O152" si="320">G152+G153</f>
        <v>4.3289327339999994</v>
      </c>
      <c r="O152" s="645">
        <f t="shared" si="320"/>
        <v>0</v>
      </c>
      <c r="P152" s="640">
        <f t="shared" ref="P152" si="321">N152+O152</f>
        <v>4.3289327339999994</v>
      </c>
      <c r="Q152" s="639">
        <f t="shared" ref="Q152" si="322">J152+J153</f>
        <v>0.27</v>
      </c>
      <c r="R152" s="640">
        <f t="shared" ref="R152" si="323">P152-Q152</f>
        <v>4.058932733999999</v>
      </c>
      <c r="S152" s="641">
        <f t="shared" ref="S152" si="324">Q152/P152</f>
        <v>6.2371031519936768E-2</v>
      </c>
    </row>
    <row r="153" spans="1:20" ht="15.6">
      <c r="A153" s="54"/>
      <c r="B153" s="660"/>
      <c r="C153" s="610"/>
      <c r="D153" s="642"/>
      <c r="E153" s="610">
        <v>1.729895E-3</v>
      </c>
      <c r="F153" s="399" t="s">
        <v>102</v>
      </c>
      <c r="G153" s="480">
        <f>+E152*$D$8</f>
        <v>1.5806224979999999</v>
      </c>
      <c r="H153" s="98"/>
      <c r="I153" s="99">
        <f>G153+H153+K152</f>
        <v>4.058932733999999</v>
      </c>
      <c r="J153" s="229"/>
      <c r="K153" s="126">
        <f t="shared" si="165"/>
        <v>4.058932733999999</v>
      </c>
      <c r="L153" s="101">
        <f t="shared" si="284"/>
        <v>0</v>
      </c>
      <c r="M153" s="306" t="s">
        <v>32</v>
      </c>
      <c r="N153" s="644"/>
      <c r="O153" s="645"/>
      <c r="P153" s="640"/>
      <c r="Q153" s="639"/>
      <c r="R153" s="640"/>
      <c r="S153" s="641"/>
    </row>
    <row r="154" spans="1:20" ht="15.6">
      <c r="A154" s="54">
        <v>36</v>
      </c>
      <c r="B154" s="660"/>
      <c r="C154" s="610" t="s">
        <v>357</v>
      </c>
      <c r="D154" s="642"/>
      <c r="E154" s="643">
        <v>8.2242600000000002E-4</v>
      </c>
      <c r="F154" s="399" t="s">
        <v>38</v>
      </c>
      <c r="G154" s="480">
        <f>+E154*$D$6</f>
        <v>1.970532696</v>
      </c>
      <c r="H154" s="98"/>
      <c r="I154" s="99">
        <f>G154+H154</f>
        <v>1.970532696</v>
      </c>
      <c r="J154" s="229">
        <v>3.1030000000000002</v>
      </c>
      <c r="K154" s="126">
        <f t="shared" si="165"/>
        <v>-1.1324673040000002</v>
      </c>
      <c r="L154" s="101">
        <f t="shared" si="284"/>
        <v>1.57470109798168</v>
      </c>
      <c r="M154" s="306" t="s">
        <v>32</v>
      </c>
      <c r="N154" s="644">
        <f>G154+G155</f>
        <v>3.1038357240000001</v>
      </c>
      <c r="O154" s="645">
        <f>H154+H155</f>
        <v>0</v>
      </c>
      <c r="P154" s="640">
        <f t="shared" ref="P154" si="325">N154+O154</f>
        <v>3.1038357240000001</v>
      </c>
      <c r="Q154" s="639">
        <f>J154+J155</f>
        <v>3.1030000000000002</v>
      </c>
      <c r="R154" s="640">
        <f t="shared" ref="R154" si="326">P154-Q154</f>
        <v>8.3572399999987113E-4</v>
      </c>
      <c r="S154" s="641">
        <f>Q154/P154</f>
        <v>0.99973074477056312</v>
      </c>
    </row>
    <row r="155" spans="1:20" ht="15.6">
      <c r="A155" s="54"/>
      <c r="B155" s="660"/>
      <c r="C155" s="610"/>
      <c r="D155" s="642"/>
      <c r="E155" s="643">
        <v>8.2242600000000002E-4</v>
      </c>
      <c r="F155" s="399" t="s">
        <v>102</v>
      </c>
      <c r="G155" s="480">
        <f>+E154*$D$8</f>
        <v>1.133303028</v>
      </c>
      <c r="H155" s="98"/>
      <c r="I155" s="99">
        <f>G155+H155+K154</f>
        <v>8.3572399999987113E-4</v>
      </c>
      <c r="J155" s="229"/>
      <c r="K155" s="126">
        <f>I155-J155</f>
        <v>8.3572399999987113E-4</v>
      </c>
      <c r="L155" s="101">
        <f t="shared" si="284"/>
        <v>0</v>
      </c>
      <c r="M155" s="306" t="s">
        <v>32</v>
      </c>
      <c r="N155" s="644"/>
      <c r="O155" s="645"/>
      <c r="P155" s="640"/>
      <c r="Q155" s="639"/>
      <c r="R155" s="640"/>
      <c r="S155" s="641"/>
    </row>
    <row r="156" spans="1:20" ht="15.6" customHeight="1">
      <c r="A156" s="54"/>
      <c r="B156" s="175" t="s">
        <v>358</v>
      </c>
      <c r="C156" s="505"/>
      <c r="D156" s="484"/>
      <c r="E156" s="635">
        <f>SUM(E88:E155)</f>
        <v>0.57615809880000002</v>
      </c>
      <c r="F156" s="306" t="s">
        <v>38</v>
      </c>
      <c r="G156" s="88">
        <f>G88+G116+G90+G92+G94+G96+G98+G100+G102+G104+G106+G108+G110+G112+G114+G118+G120+G122+G124+G126+G128+G130+G132+G134+G136+G138+G142+G140+G144+G146++G148+G150+G152+G154</f>
        <v>705.59931131760004</v>
      </c>
      <c r="H156" s="88">
        <f>H88+H116+H90+H92+H94+H96+H98+H100+H102+H104+H106+H108+H110+H112+H114+H118+H120+H122+H124+H126+H128+H130+H132+H134+H136+H138+H142+H140+H144+H146++H148+H150+H152+H154</f>
        <v>-923.01700000000017</v>
      </c>
      <c r="I156" s="88">
        <f>+G156+H156</f>
        <v>-217.41768868240013</v>
      </c>
      <c r="J156" s="88">
        <f>J88+J116+J90+J92+J94+J96+J98+J100+J102+J104+J106+J108+J110+J112+J114+J118+J120+J122+J124+J126+J128+J130+J132+J134+J136+J138+J142+J140+J144+J146++J148+J150+J152+J154</f>
        <v>9.5350000000000001</v>
      </c>
      <c r="K156" s="479">
        <f t="shared" si="165"/>
        <v>-226.95268868240012</v>
      </c>
      <c r="L156" s="88">
        <f t="shared" si="284"/>
        <v>-4.3855677326827616E-2</v>
      </c>
      <c r="M156" s="636" t="s">
        <v>32</v>
      </c>
      <c r="N156" s="637">
        <f>SUM(N88:N155)</f>
        <v>1111.4072624844002</v>
      </c>
      <c r="O156" s="637">
        <f>SUM(O88:O155)</f>
        <v>-923.01700000000017</v>
      </c>
      <c r="P156" s="637">
        <f>+N156+O156</f>
        <v>188.39026248440007</v>
      </c>
      <c r="Q156" s="637">
        <f>SUM(Q88:Q155)</f>
        <v>9.5350000000000001</v>
      </c>
      <c r="R156" s="637">
        <f>+P156-Q156</f>
        <v>178.85526248440007</v>
      </c>
      <c r="S156" s="638">
        <f t="shared" ref="S156" si="327">Q156/P156</f>
        <v>5.0613019347481185E-2</v>
      </c>
    </row>
    <row r="157" spans="1:20" ht="15.6">
      <c r="A157" s="54"/>
      <c r="B157" s="174"/>
      <c r="C157" s="506"/>
      <c r="D157" s="485"/>
      <c r="E157" s="635"/>
      <c r="F157" s="306" t="s">
        <v>102</v>
      </c>
      <c r="G157" s="88">
        <f>G89+G117+G91+G93+G95+G97+G99+G101+G103+G105+G107+G109+G111+G113+G115+G119+G121+G123+G125+G127+G129+G131+G133+G135+G137+G139+G143+G141+G145+G147++G149+G151+G153+G155</f>
        <v>405.80795116680014</v>
      </c>
      <c r="H157" s="88">
        <f>H89+H117+H91+H93+H95+H97+H99+H101+H103+H105+H107+H109+H111+H113+H115+H119+H121+H123+H125+H127+H129+H131+H133+H135+H137+H139+H143+H141+H145+H147++H149+H151+H153+H155</f>
        <v>0</v>
      </c>
      <c r="I157" s="88">
        <f>G157+H157+K156</f>
        <v>178.85526248440001</v>
      </c>
      <c r="J157" s="88">
        <f>J89+J117+J91+J93+J95+J97+J99+J101+J103+J105+J107+J109+J111+J113+J115+J119+J121+J123+J125+J127+J129+J131+J133+J135+J137+J139+J143+J141+J145+J147++J149+J151+J153+J155</f>
        <v>0</v>
      </c>
      <c r="K157" s="479">
        <f>I157-J157</f>
        <v>178.85526248440001</v>
      </c>
      <c r="L157" s="88">
        <f t="shared" si="284"/>
        <v>0</v>
      </c>
      <c r="M157" s="636"/>
      <c r="N157" s="637"/>
      <c r="O157" s="637"/>
      <c r="P157" s="637"/>
      <c r="Q157" s="637"/>
      <c r="R157" s="637"/>
      <c r="S157" s="638"/>
    </row>
    <row r="158" spans="1:20" s="8" customFormat="1">
      <c r="A158" s="54"/>
      <c r="B158" s="240"/>
      <c r="C158" s="57"/>
      <c r="D158" s="54"/>
      <c r="E158" s="54"/>
      <c r="F158" s="3"/>
      <c r="G158" s="55"/>
      <c r="H158" s="54"/>
      <c r="I158" s="54"/>
      <c r="J158" s="54"/>
      <c r="K158" s="54"/>
      <c r="L158" s="241"/>
      <c r="M158" s="70"/>
      <c r="N158" s="70"/>
      <c r="O158" s="70"/>
      <c r="P158" s="70"/>
      <c r="Q158" s="70"/>
      <c r="R158" s="70"/>
      <c r="S158" s="70"/>
    </row>
    <row r="159" spans="1:20" s="8" customFormat="1" ht="15" thickBot="1">
      <c r="A159" s="54"/>
      <c r="B159" s="54"/>
      <c r="C159" s="57"/>
      <c r="D159" s="54"/>
      <c r="E159" s="54"/>
      <c r="F159" s="3"/>
      <c r="G159" s="54"/>
      <c r="H159" s="504">
        <f>+H156-H148-H132-H122</f>
        <v>-763.86300000000006</v>
      </c>
      <c r="I159" s="54"/>
      <c r="J159" s="54"/>
      <c r="K159" s="54"/>
      <c r="L159" s="3"/>
      <c r="M159" s="54"/>
      <c r="N159" s="54"/>
      <c r="O159" s="54"/>
      <c r="P159" s="54"/>
      <c r="Q159" s="54"/>
      <c r="R159" s="54"/>
      <c r="S159" s="54"/>
    </row>
    <row r="160" spans="1:20" ht="47.4" thickBot="1">
      <c r="A160" s="54"/>
      <c r="B160" s="89" t="s">
        <v>246</v>
      </c>
      <c r="C160" s="313" t="s">
        <v>247</v>
      </c>
      <c r="D160" s="90" t="s">
        <v>248</v>
      </c>
      <c r="E160" s="91" t="s">
        <v>249</v>
      </c>
      <c r="F160" s="90" t="s">
        <v>250</v>
      </c>
      <c r="G160" s="90" t="s">
        <v>242</v>
      </c>
      <c r="H160" s="92" t="s">
        <v>4</v>
      </c>
      <c r="I160" s="90" t="s">
        <v>5</v>
      </c>
      <c r="J160" s="90" t="s">
        <v>243</v>
      </c>
      <c r="K160" s="90" t="s">
        <v>48</v>
      </c>
      <c r="L160" s="93" t="s">
        <v>49</v>
      </c>
      <c r="M160" s="93" t="s">
        <v>81</v>
      </c>
      <c r="N160" s="94" t="s">
        <v>251</v>
      </c>
      <c r="O160" s="90" t="s">
        <v>4</v>
      </c>
      <c r="P160" s="90" t="s">
        <v>5</v>
      </c>
      <c r="Q160" s="90" t="s">
        <v>6</v>
      </c>
      <c r="R160" s="90" t="s">
        <v>7</v>
      </c>
      <c r="S160" s="95" t="s">
        <v>252</v>
      </c>
    </row>
    <row r="161" spans="1:19" ht="15.6" customHeight="1">
      <c r="A161" s="54">
        <v>1</v>
      </c>
      <c r="B161" s="620" t="s">
        <v>359</v>
      </c>
      <c r="C161" s="610" t="s">
        <v>461</v>
      </c>
      <c r="D161" s="610" t="s">
        <v>365</v>
      </c>
      <c r="E161" s="630">
        <v>2.11414194E-2</v>
      </c>
      <c r="F161" s="341" t="s">
        <v>38</v>
      </c>
      <c r="G161" s="131">
        <f>+E161*$D$6</f>
        <v>50.654840882400002</v>
      </c>
      <c r="H161" s="343">
        <v>-61.341999999999999</v>
      </c>
      <c r="I161" s="118">
        <f>G161+H161</f>
        <v>-10.687159117599997</v>
      </c>
      <c r="J161" s="117"/>
      <c r="K161" s="125">
        <f t="shared" ref="K161:K166" si="328">I161-J161</f>
        <v>-10.687159117599997</v>
      </c>
      <c r="L161" s="132">
        <f t="shared" ref="L161:L166" si="329">J161/I161</f>
        <v>0</v>
      </c>
      <c r="M161" s="134" t="s">
        <v>32</v>
      </c>
      <c r="N161" s="632">
        <f>G161+G162</f>
        <v>79.787716815600007</v>
      </c>
      <c r="O161" s="633">
        <f>H161+H162</f>
        <v>-61.341999999999999</v>
      </c>
      <c r="P161" s="633">
        <f>N161+O161</f>
        <v>18.445716815600008</v>
      </c>
      <c r="Q161" s="633">
        <f>J161+J162</f>
        <v>0</v>
      </c>
      <c r="R161" s="633">
        <f>P161-Q161</f>
        <v>18.445716815600008</v>
      </c>
      <c r="S161" s="631">
        <f>Q161/P161</f>
        <v>0</v>
      </c>
    </row>
    <row r="162" spans="1:19" ht="15.6">
      <c r="A162" s="54"/>
      <c r="B162" s="621"/>
      <c r="C162" s="610"/>
      <c r="D162" s="610"/>
      <c r="E162" s="630"/>
      <c r="F162" s="341" t="s">
        <v>102</v>
      </c>
      <c r="G162" s="130">
        <f>+E161*$D$8</f>
        <v>29.132875933200001</v>
      </c>
      <c r="H162" s="98"/>
      <c r="I162" s="99">
        <f>G162+H162+K161</f>
        <v>18.445716815600004</v>
      </c>
      <c r="J162" s="96"/>
      <c r="K162" s="126">
        <f t="shared" si="328"/>
        <v>18.445716815600004</v>
      </c>
      <c r="L162" s="101">
        <f t="shared" si="329"/>
        <v>0</v>
      </c>
      <c r="M162" s="134" t="s">
        <v>32</v>
      </c>
      <c r="N162" s="616"/>
      <c r="O162" s="618"/>
      <c r="P162" s="618"/>
      <c r="Q162" s="618"/>
      <c r="R162" s="618"/>
      <c r="S162" s="598"/>
    </row>
    <row r="163" spans="1:19" ht="15.6">
      <c r="A163" s="54">
        <v>2</v>
      </c>
      <c r="B163" s="621"/>
      <c r="C163" s="610" t="s">
        <v>361</v>
      </c>
      <c r="D163" s="610">
        <v>4410</v>
      </c>
      <c r="E163" s="630">
        <v>9.2118057000000007E-3</v>
      </c>
      <c r="F163" s="96" t="s">
        <v>38</v>
      </c>
      <c r="G163" s="130">
        <f>+E163*$D$6</f>
        <v>22.071486457200002</v>
      </c>
      <c r="H163" s="98"/>
      <c r="I163" s="99">
        <f>G163+H163</f>
        <v>22.071486457200002</v>
      </c>
      <c r="J163" s="96"/>
      <c r="K163" s="126">
        <f t="shared" si="328"/>
        <v>22.071486457200002</v>
      </c>
      <c r="L163" s="101">
        <f t="shared" si="329"/>
        <v>0</v>
      </c>
      <c r="M163" s="134" t="s">
        <v>32</v>
      </c>
      <c r="N163" s="616">
        <f t="shared" ref="N163:O163" si="330">G163+G164</f>
        <v>34.765354711800001</v>
      </c>
      <c r="O163" s="618">
        <f t="shared" si="330"/>
        <v>0</v>
      </c>
      <c r="P163" s="618">
        <f t="shared" ref="P163" si="331">N163+O163</f>
        <v>34.765354711800001</v>
      </c>
      <c r="Q163" s="618">
        <f t="shared" ref="Q163" si="332">J163+J164</f>
        <v>0</v>
      </c>
      <c r="R163" s="618">
        <f t="shared" ref="R163" si="333">P163-Q163</f>
        <v>34.765354711800001</v>
      </c>
      <c r="S163" s="598">
        <f t="shared" ref="S163" si="334">Q163/P163</f>
        <v>0</v>
      </c>
    </row>
    <row r="164" spans="1:19" ht="15.6">
      <c r="A164" s="54"/>
      <c r="B164" s="621"/>
      <c r="C164" s="610"/>
      <c r="D164" s="610"/>
      <c r="E164" s="630">
        <v>9.2118057000000007E-3</v>
      </c>
      <c r="F164" s="96" t="s">
        <v>102</v>
      </c>
      <c r="G164" s="130">
        <f>+E163*$D$8</f>
        <v>12.693868254600002</v>
      </c>
      <c r="H164" s="98"/>
      <c r="I164" s="99">
        <f>G164+H164+K163</f>
        <v>34.765354711800001</v>
      </c>
      <c r="J164" s="96"/>
      <c r="K164" s="126">
        <f t="shared" si="328"/>
        <v>34.765354711800001</v>
      </c>
      <c r="L164" s="101">
        <f t="shared" si="329"/>
        <v>0</v>
      </c>
      <c r="M164" s="134" t="s">
        <v>32</v>
      </c>
      <c r="N164" s="616"/>
      <c r="O164" s="618"/>
      <c r="P164" s="618"/>
      <c r="Q164" s="618"/>
      <c r="R164" s="618"/>
      <c r="S164" s="598"/>
    </row>
    <row r="165" spans="1:19" ht="15.6">
      <c r="A165" s="54">
        <v>3</v>
      </c>
      <c r="B165" s="621"/>
      <c r="C165" s="625" t="s">
        <v>360</v>
      </c>
      <c r="D165" s="625">
        <v>4313</v>
      </c>
      <c r="E165" s="628">
        <v>8.0575730999999998E-3</v>
      </c>
      <c r="F165" s="117" t="s">
        <v>38</v>
      </c>
      <c r="G165" s="131">
        <f>+E165*$D$6</f>
        <v>19.305945147599999</v>
      </c>
      <c r="H165" s="115"/>
      <c r="I165" s="118">
        <f>G165+H165</f>
        <v>19.305945147599999</v>
      </c>
      <c r="J165" s="117"/>
      <c r="K165" s="125">
        <f t="shared" si="328"/>
        <v>19.305945147599999</v>
      </c>
      <c r="L165" s="132">
        <f t="shared" si="329"/>
        <v>0</v>
      </c>
      <c r="M165" s="174" t="s">
        <v>32</v>
      </c>
      <c r="N165" s="616">
        <f t="shared" ref="N165:O165" si="335">G165+G166</f>
        <v>30.409280879400001</v>
      </c>
      <c r="O165" s="618">
        <f t="shared" si="335"/>
        <v>0</v>
      </c>
      <c r="P165" s="618">
        <f t="shared" ref="P165" si="336">N165+O165</f>
        <v>30.409280879400001</v>
      </c>
      <c r="Q165" s="618">
        <f t="shared" ref="Q165" si="337">J165+J166</f>
        <v>0</v>
      </c>
      <c r="R165" s="618">
        <f t="shared" ref="R165" si="338">P165-Q165</f>
        <v>30.409280879400001</v>
      </c>
      <c r="S165" s="598">
        <f t="shared" ref="S165" si="339">Q165/P165</f>
        <v>0</v>
      </c>
    </row>
    <row r="166" spans="1:19" ht="15.6">
      <c r="A166" s="54"/>
      <c r="B166" s="621"/>
      <c r="C166" s="610"/>
      <c r="D166" s="610"/>
      <c r="E166" s="630">
        <v>8.0575730999999998E-3</v>
      </c>
      <c r="F166" s="96" t="s">
        <v>102</v>
      </c>
      <c r="G166" s="130">
        <f>+E165*$D$8</f>
        <v>11.1033357318</v>
      </c>
      <c r="H166" s="98"/>
      <c r="I166" s="99">
        <f>G166+H166+K165</f>
        <v>30.409280879400001</v>
      </c>
      <c r="J166" s="96"/>
      <c r="K166" s="126">
        <f t="shared" si="328"/>
        <v>30.409280879400001</v>
      </c>
      <c r="L166" s="101">
        <f t="shared" si="329"/>
        <v>0</v>
      </c>
      <c r="M166" s="134" t="s">
        <v>32</v>
      </c>
      <c r="N166" s="616"/>
      <c r="O166" s="618"/>
      <c r="P166" s="618"/>
      <c r="Q166" s="618"/>
      <c r="R166" s="618"/>
      <c r="S166" s="598"/>
    </row>
    <row r="167" spans="1:19" ht="15.6">
      <c r="A167" s="54">
        <v>4</v>
      </c>
      <c r="B167" s="621"/>
      <c r="C167" s="624" t="s">
        <v>459</v>
      </c>
      <c r="D167" s="624" t="s">
        <v>372</v>
      </c>
      <c r="E167" s="627">
        <v>1.2828120599999999E-2</v>
      </c>
      <c r="F167" s="96" t="s">
        <v>38</v>
      </c>
      <c r="G167" s="130">
        <f>+E167*$D$6</f>
        <v>30.736176957599998</v>
      </c>
      <c r="H167" s="498">
        <v>-48.412999999999997</v>
      </c>
      <c r="I167" s="99">
        <f>G167+H167</f>
        <v>-17.676823042399999</v>
      </c>
      <c r="J167" s="96"/>
      <c r="K167" s="126">
        <f t="shared" ref="K167:K194" si="340">I167-J167</f>
        <v>-17.676823042399999</v>
      </c>
      <c r="L167" s="101">
        <f t="shared" ref="L167:L196" si="341">J167/I167</f>
        <v>0</v>
      </c>
      <c r="M167" s="134" t="s">
        <v>32</v>
      </c>
      <c r="N167" s="616">
        <f t="shared" ref="N167:O167" si="342">G167+G168</f>
        <v>48.4133271444</v>
      </c>
      <c r="O167" s="618">
        <f t="shared" si="342"/>
        <v>-48.412999999999997</v>
      </c>
      <c r="P167" s="618">
        <f t="shared" ref="P167" si="343">N167+O167</f>
        <v>3.2714440000347622E-4</v>
      </c>
      <c r="Q167" s="618">
        <f t="shared" ref="Q167" si="344">J167+J168</f>
        <v>0</v>
      </c>
      <c r="R167" s="618">
        <f t="shared" ref="R167" si="345">P167-Q167</f>
        <v>3.2714440000347622E-4</v>
      </c>
      <c r="S167" s="598">
        <f t="shared" ref="S167" si="346">Q167/P167</f>
        <v>0</v>
      </c>
    </row>
    <row r="168" spans="1:19" ht="15.6">
      <c r="A168" s="54"/>
      <c r="B168" s="621"/>
      <c r="C168" s="625"/>
      <c r="D168" s="625"/>
      <c r="E168" s="628"/>
      <c r="F168" s="96" t="s">
        <v>102</v>
      </c>
      <c r="G168" s="130">
        <f>+E167*$D$8</f>
        <v>17.677150186799999</v>
      </c>
      <c r="H168" s="98"/>
      <c r="I168" s="99">
        <f>G168+H168+K167</f>
        <v>3.2714439999992351E-4</v>
      </c>
      <c r="J168" s="96"/>
      <c r="K168" s="126">
        <f t="shared" si="340"/>
        <v>3.2714439999992351E-4</v>
      </c>
      <c r="L168" s="101">
        <f t="shared" si="341"/>
        <v>0</v>
      </c>
      <c r="M168" s="134" t="s">
        <v>32</v>
      </c>
      <c r="N168" s="616"/>
      <c r="O168" s="618"/>
      <c r="P168" s="618"/>
      <c r="Q168" s="618"/>
      <c r="R168" s="618"/>
      <c r="S168" s="598"/>
    </row>
    <row r="169" spans="1:19" ht="15.6">
      <c r="A169" s="54">
        <v>5</v>
      </c>
      <c r="B169" s="621"/>
      <c r="C169" s="624" t="s">
        <v>460</v>
      </c>
      <c r="D169" s="624" t="s">
        <v>374</v>
      </c>
      <c r="E169" s="627">
        <v>5.5353395999999996E-3</v>
      </c>
      <c r="F169" s="96" t="s">
        <v>38</v>
      </c>
      <c r="G169" s="130">
        <f>+E169*$D$6</f>
        <v>13.262673681599999</v>
      </c>
      <c r="H169" s="498">
        <v>-20.89</v>
      </c>
      <c r="I169" s="99">
        <f>G169+H169</f>
        <v>-7.6273263184000015</v>
      </c>
      <c r="J169" s="96"/>
      <c r="K169" s="126">
        <f t="shared" si="340"/>
        <v>-7.6273263184000015</v>
      </c>
      <c r="L169" s="101">
        <f t="shared" si="341"/>
        <v>0</v>
      </c>
      <c r="M169" s="409">
        <v>43508</v>
      </c>
      <c r="N169" s="629">
        <f t="shared" ref="N169:O169" si="347">G169+G170</f>
        <v>20.890371650399999</v>
      </c>
      <c r="O169" s="623">
        <f t="shared" si="347"/>
        <v>-20.89</v>
      </c>
      <c r="P169" s="623">
        <f t="shared" ref="P169" si="348">N169+O169</f>
        <v>3.7165039999820237E-4</v>
      </c>
      <c r="Q169" s="623">
        <f t="shared" ref="Q169" si="349">J169+J170</f>
        <v>0</v>
      </c>
      <c r="R169" s="623">
        <f t="shared" ref="R169" si="350">P169-Q169</f>
        <v>3.7165039999820237E-4</v>
      </c>
      <c r="S169" s="626">
        <f t="shared" ref="S169" si="351">Q169/P169</f>
        <v>0</v>
      </c>
    </row>
    <row r="170" spans="1:19" ht="15.6">
      <c r="A170" s="54"/>
      <c r="B170" s="621"/>
      <c r="C170" s="625"/>
      <c r="D170" s="625"/>
      <c r="E170" s="628"/>
      <c r="F170" s="96" t="s">
        <v>102</v>
      </c>
      <c r="G170" s="130">
        <f>+E169*$D$8</f>
        <v>7.6276979687999997</v>
      </c>
      <c r="H170" s="98"/>
      <c r="I170" s="99">
        <f>G170+H170+K169</f>
        <v>3.7165039999820237E-4</v>
      </c>
      <c r="J170" s="96"/>
      <c r="K170" s="126">
        <f t="shared" si="340"/>
        <v>3.7165039999820237E-4</v>
      </c>
      <c r="L170" s="101">
        <f t="shared" si="341"/>
        <v>0</v>
      </c>
      <c r="M170" s="409">
        <v>43508</v>
      </c>
      <c r="N170" s="629"/>
      <c r="O170" s="623"/>
      <c r="P170" s="623"/>
      <c r="Q170" s="623"/>
      <c r="R170" s="623"/>
      <c r="S170" s="626"/>
    </row>
    <row r="171" spans="1:19" ht="15.6">
      <c r="A171" s="54">
        <v>6</v>
      </c>
      <c r="B171" s="621"/>
      <c r="C171" s="610" t="s">
        <v>425</v>
      </c>
      <c r="D171" s="610" t="s">
        <v>364</v>
      </c>
      <c r="E171" s="630">
        <v>9.2013249999999998E-3</v>
      </c>
      <c r="F171" s="96" t="s">
        <v>38</v>
      </c>
      <c r="G171" s="130">
        <f>+E171*$D$6</f>
        <v>22.046374700000001</v>
      </c>
      <c r="H171" s="403">
        <v>0</v>
      </c>
      <c r="I171" s="99">
        <f>+G171+H171</f>
        <v>22.046374700000001</v>
      </c>
      <c r="J171" s="96"/>
      <c r="K171" s="126">
        <f t="shared" ref="K171:K188" si="352">I171-J171</f>
        <v>22.046374700000001</v>
      </c>
      <c r="L171" s="101">
        <f t="shared" ref="L171:L188" si="353">J171/I171</f>
        <v>0</v>
      </c>
      <c r="M171" s="134" t="s">
        <v>32</v>
      </c>
      <c r="N171" s="616">
        <f t="shared" ref="N171" si="354">G171+G172</f>
        <v>34.725800550000002</v>
      </c>
      <c r="O171" s="618">
        <f>F221+H172</f>
        <v>0</v>
      </c>
      <c r="P171" s="618">
        <f t="shared" ref="P171" si="355">N171+O171</f>
        <v>34.725800550000002</v>
      </c>
      <c r="Q171" s="618">
        <f t="shared" ref="Q171" si="356">J171+J172</f>
        <v>0</v>
      </c>
      <c r="R171" s="618">
        <f t="shared" ref="R171" si="357">P171-Q171</f>
        <v>34.725800550000002</v>
      </c>
      <c r="S171" s="598">
        <f t="shared" ref="S171" si="358">Q171/P171</f>
        <v>0</v>
      </c>
    </row>
    <row r="172" spans="1:19" ht="15.6">
      <c r="A172" s="54"/>
      <c r="B172" s="621"/>
      <c r="C172" s="610"/>
      <c r="D172" s="610"/>
      <c r="E172" s="630">
        <v>9.2013249999999998E-3</v>
      </c>
      <c r="F172" s="96" t="s">
        <v>102</v>
      </c>
      <c r="G172" s="130">
        <f>+E171*$D$8</f>
        <v>12.679425849999999</v>
      </c>
      <c r="H172" s="98"/>
      <c r="I172" s="99">
        <f>G172+H172+K171</f>
        <v>34.725800550000002</v>
      </c>
      <c r="J172" s="96"/>
      <c r="K172" s="126">
        <f t="shared" si="352"/>
        <v>34.725800550000002</v>
      </c>
      <c r="L172" s="101">
        <f t="shared" si="353"/>
        <v>0</v>
      </c>
      <c r="M172" s="134" t="s">
        <v>32</v>
      </c>
      <c r="N172" s="616"/>
      <c r="O172" s="618"/>
      <c r="P172" s="618"/>
      <c r="Q172" s="618"/>
      <c r="R172" s="618"/>
      <c r="S172" s="598"/>
    </row>
    <row r="173" spans="1:19" ht="15.6">
      <c r="A173" s="54">
        <v>7</v>
      </c>
      <c r="B173" s="621"/>
      <c r="C173" s="610" t="s">
        <v>389</v>
      </c>
      <c r="D173" s="610" t="s">
        <v>371</v>
      </c>
      <c r="E173" s="630">
        <v>1.0717428899999999E-2</v>
      </c>
      <c r="F173" s="96" t="s">
        <v>38</v>
      </c>
      <c r="G173" s="130">
        <f>+E173*$D$6</f>
        <v>25.678959644399999</v>
      </c>
      <c r="H173" s="498">
        <v>-37.067999999999998</v>
      </c>
      <c r="I173" s="99">
        <f>G173+H173</f>
        <v>-11.389040355599999</v>
      </c>
      <c r="J173" s="96"/>
      <c r="K173" s="126">
        <f t="shared" si="352"/>
        <v>-11.389040355599999</v>
      </c>
      <c r="L173" s="101">
        <f t="shared" si="353"/>
        <v>0</v>
      </c>
      <c r="M173" s="134" t="s">
        <v>32</v>
      </c>
      <c r="N173" s="616">
        <f t="shared" ref="N173:O173" si="359">G173+G174</f>
        <v>40.4475766686</v>
      </c>
      <c r="O173" s="618">
        <f t="shared" si="359"/>
        <v>-37.067999999999998</v>
      </c>
      <c r="P173" s="618">
        <f t="shared" ref="P173" si="360">N173+O173</f>
        <v>3.3795766686000022</v>
      </c>
      <c r="Q173" s="618">
        <f t="shared" ref="Q173" si="361">J173+J174</f>
        <v>0</v>
      </c>
      <c r="R173" s="618">
        <f t="shared" ref="R173" si="362">P173-Q173</f>
        <v>3.3795766686000022</v>
      </c>
      <c r="S173" s="598">
        <f t="shared" ref="S173" si="363">Q173/P173</f>
        <v>0</v>
      </c>
    </row>
    <row r="174" spans="1:19" ht="15.6">
      <c r="A174" s="54"/>
      <c r="B174" s="621"/>
      <c r="C174" s="610"/>
      <c r="D174" s="610"/>
      <c r="E174" s="630">
        <v>1.6824903700000001E-2</v>
      </c>
      <c r="F174" s="96" t="s">
        <v>102</v>
      </c>
      <c r="G174" s="130">
        <f>+E173*$D$8</f>
        <v>14.768617024199999</v>
      </c>
      <c r="H174" s="98"/>
      <c r="I174" s="99">
        <f>G174+H174+K173</f>
        <v>3.3795766686000004</v>
      </c>
      <c r="J174" s="96"/>
      <c r="K174" s="126">
        <f t="shared" si="352"/>
        <v>3.3795766686000004</v>
      </c>
      <c r="L174" s="101">
        <f t="shared" si="353"/>
        <v>0</v>
      </c>
      <c r="M174" s="134" t="s">
        <v>32</v>
      </c>
      <c r="N174" s="616"/>
      <c r="O174" s="618"/>
      <c r="P174" s="618"/>
      <c r="Q174" s="618"/>
      <c r="R174" s="618"/>
      <c r="S174" s="598"/>
    </row>
    <row r="175" spans="1:19" ht="15.6">
      <c r="A175" s="54">
        <v>8</v>
      </c>
      <c r="B175" s="621"/>
      <c r="C175" s="610" t="s">
        <v>362</v>
      </c>
      <c r="D175" s="634">
        <v>11414257</v>
      </c>
      <c r="E175" s="630">
        <v>2.5242113E-2</v>
      </c>
      <c r="F175" s="96" t="s">
        <v>38</v>
      </c>
      <c r="G175" s="130">
        <f>+E175*$D$6</f>
        <v>60.480102748</v>
      </c>
      <c r="H175" s="98"/>
      <c r="I175" s="99">
        <f>G175+H175</f>
        <v>60.480102748</v>
      </c>
      <c r="J175" s="96">
        <v>2.5089999999999999</v>
      </c>
      <c r="K175" s="126">
        <f t="shared" si="352"/>
        <v>57.971102748</v>
      </c>
      <c r="L175" s="101">
        <f t="shared" si="353"/>
        <v>4.1484717882410829E-2</v>
      </c>
      <c r="M175" s="134" t="s">
        <v>32</v>
      </c>
      <c r="N175" s="616">
        <f t="shared" ref="N175:O175" si="364">G175+G176</f>
        <v>95.263734462000002</v>
      </c>
      <c r="O175" s="618">
        <f t="shared" si="364"/>
        <v>0</v>
      </c>
      <c r="P175" s="618">
        <f t="shared" ref="P175" si="365">N175+O175</f>
        <v>95.263734462000002</v>
      </c>
      <c r="Q175" s="618">
        <f t="shared" ref="Q175" si="366">J175+J176</f>
        <v>2.5089999999999999</v>
      </c>
      <c r="R175" s="618">
        <f t="shared" ref="R175" si="367">P175-Q175</f>
        <v>92.754734462000002</v>
      </c>
      <c r="S175" s="598">
        <f t="shared" ref="S175" si="368">Q175/P175</f>
        <v>2.6337409657195641E-2</v>
      </c>
    </row>
    <row r="176" spans="1:19" ht="15.6">
      <c r="A176" s="54"/>
      <c r="B176" s="621"/>
      <c r="C176" s="610"/>
      <c r="D176" s="610"/>
      <c r="E176" s="630">
        <v>2.52421127E-2</v>
      </c>
      <c r="F176" s="96" t="s">
        <v>102</v>
      </c>
      <c r="G176" s="130">
        <f>+E175*$D$8</f>
        <v>34.783631714000002</v>
      </c>
      <c r="H176" s="98"/>
      <c r="I176" s="99">
        <f>G176+H176+K175</f>
        <v>92.754734462000002</v>
      </c>
      <c r="J176" s="96"/>
      <c r="K176" s="126">
        <f t="shared" si="352"/>
        <v>92.754734462000002</v>
      </c>
      <c r="L176" s="101">
        <f t="shared" si="353"/>
        <v>0</v>
      </c>
      <c r="M176" s="134" t="s">
        <v>32</v>
      </c>
      <c r="N176" s="616"/>
      <c r="O176" s="618"/>
      <c r="P176" s="618"/>
      <c r="Q176" s="618"/>
      <c r="R176" s="618"/>
      <c r="S176" s="598"/>
    </row>
    <row r="177" spans="1:19" ht="15.6">
      <c r="A177" s="54">
        <v>9</v>
      </c>
      <c r="B177" s="621"/>
      <c r="C177" s="610" t="s">
        <v>458</v>
      </c>
      <c r="D177" s="612" t="s">
        <v>370</v>
      </c>
      <c r="E177" s="614">
        <v>1.5833384999999998E-2</v>
      </c>
      <c r="F177" s="96" t="s">
        <v>38</v>
      </c>
      <c r="G177" s="130">
        <f>+E177*$D$6</f>
        <v>37.936790459999997</v>
      </c>
      <c r="H177" s="98"/>
      <c r="I177" s="99">
        <f>G177+H177</f>
        <v>37.936790459999997</v>
      </c>
      <c r="J177" s="96"/>
      <c r="K177" s="126">
        <f t="shared" si="352"/>
        <v>37.936790459999997</v>
      </c>
      <c r="L177" s="101">
        <f t="shared" si="353"/>
        <v>0</v>
      </c>
      <c r="M177" s="134" t="s">
        <v>32</v>
      </c>
      <c r="N177" s="616">
        <f t="shared" ref="N177:O177" si="369">G177+G178</f>
        <v>59.755194989999993</v>
      </c>
      <c r="O177" s="618">
        <f t="shared" si="369"/>
        <v>0</v>
      </c>
      <c r="P177" s="618">
        <f t="shared" ref="P177" si="370">N177+O177</f>
        <v>59.755194989999993</v>
      </c>
      <c r="Q177" s="618">
        <f t="shared" ref="Q177" si="371">J177+J178</f>
        <v>0</v>
      </c>
      <c r="R177" s="618">
        <f t="shared" ref="R177" si="372">P177-Q177</f>
        <v>59.755194989999993</v>
      </c>
      <c r="S177" s="598">
        <f>Q177/P177</f>
        <v>0</v>
      </c>
    </row>
    <row r="178" spans="1:19" ht="15.6">
      <c r="A178" s="54"/>
      <c r="B178" s="621"/>
      <c r="C178" s="610"/>
      <c r="D178" s="613"/>
      <c r="E178" s="615">
        <v>2.39364964E-2</v>
      </c>
      <c r="F178" s="96" t="s">
        <v>102</v>
      </c>
      <c r="G178" s="130">
        <f>+E177*$D$8</f>
        <v>21.818404529999999</v>
      </c>
      <c r="H178" s="98"/>
      <c r="I178" s="99">
        <f>G178+H178+K177</f>
        <v>59.755194989999993</v>
      </c>
      <c r="J178" s="96"/>
      <c r="K178" s="126">
        <f t="shared" si="352"/>
        <v>59.755194989999993</v>
      </c>
      <c r="L178" s="101">
        <f t="shared" si="353"/>
        <v>0</v>
      </c>
      <c r="M178" s="134" t="s">
        <v>32</v>
      </c>
      <c r="N178" s="616"/>
      <c r="O178" s="618"/>
      <c r="P178" s="618"/>
      <c r="Q178" s="618"/>
      <c r="R178" s="618"/>
      <c r="S178" s="598"/>
    </row>
    <row r="179" spans="1:19" ht="15.6" customHeight="1">
      <c r="A179" s="54">
        <v>10</v>
      </c>
      <c r="B179" s="621"/>
      <c r="C179" s="610" t="s">
        <v>434</v>
      </c>
      <c r="D179" s="612" t="s">
        <v>366</v>
      </c>
      <c r="E179" s="614">
        <v>3.1669227299999998E-2</v>
      </c>
      <c r="F179" s="96" t="s">
        <v>38</v>
      </c>
      <c r="G179" s="130">
        <f>+E179*$D$6</f>
        <v>75.879468610799989</v>
      </c>
      <c r="H179" s="310">
        <v>-119.51900000000001</v>
      </c>
      <c r="I179" s="99">
        <f>G179+H179</f>
        <v>-43.639531389200016</v>
      </c>
      <c r="J179" s="96"/>
      <c r="K179" s="126">
        <f t="shared" si="352"/>
        <v>-43.639531389200016</v>
      </c>
      <c r="L179" s="101">
        <f t="shared" si="353"/>
        <v>0</v>
      </c>
      <c r="M179" s="408">
        <v>43508</v>
      </c>
      <c r="N179" s="629">
        <f t="shared" ref="N179:O179" si="373">G179+G180</f>
        <v>119.51966383019999</v>
      </c>
      <c r="O179" s="623">
        <f t="shared" si="373"/>
        <v>-119.51900000000001</v>
      </c>
      <c r="P179" s="623">
        <f t="shared" ref="P179" si="374">N179+O179</f>
        <v>6.6383019998283999E-4</v>
      </c>
      <c r="Q179" s="623">
        <f t="shared" ref="Q179" si="375">J179+J180</f>
        <v>0</v>
      </c>
      <c r="R179" s="623">
        <f t="shared" ref="R179" si="376">P179-Q179</f>
        <v>6.6383019998283999E-4</v>
      </c>
      <c r="S179" s="598">
        <f t="shared" ref="S179" si="377">Q179/P179</f>
        <v>0</v>
      </c>
    </row>
    <row r="180" spans="1:19" ht="15.6">
      <c r="A180" s="54"/>
      <c r="B180" s="621"/>
      <c r="C180" s="611"/>
      <c r="D180" s="613"/>
      <c r="E180" s="615">
        <v>3.1669227299999998E-2</v>
      </c>
      <c r="F180" s="96" t="s">
        <v>102</v>
      </c>
      <c r="G180" s="130">
        <f>+E179*$D$8</f>
        <v>43.640195219399999</v>
      </c>
      <c r="H180" s="98"/>
      <c r="I180" s="99">
        <f>G180+H180+K179</f>
        <v>6.6383019998283999E-4</v>
      </c>
      <c r="J180" s="96"/>
      <c r="K180" s="126">
        <f t="shared" si="352"/>
        <v>6.6383019998283999E-4</v>
      </c>
      <c r="L180" s="101">
        <f t="shared" si="353"/>
        <v>0</v>
      </c>
      <c r="M180" s="408">
        <v>43508</v>
      </c>
      <c r="N180" s="629"/>
      <c r="O180" s="623"/>
      <c r="P180" s="623"/>
      <c r="Q180" s="623"/>
      <c r="R180" s="623"/>
      <c r="S180" s="598"/>
    </row>
    <row r="181" spans="1:19" ht="15.6">
      <c r="A181" s="54">
        <v>11</v>
      </c>
      <c r="B181" s="621"/>
      <c r="C181" s="610" t="s">
        <v>386</v>
      </c>
      <c r="D181" s="612" t="s">
        <v>368</v>
      </c>
      <c r="E181" s="614">
        <v>1.83231378E-2</v>
      </c>
      <c r="F181" s="96" t="s">
        <v>38</v>
      </c>
      <c r="G181" s="130">
        <f>+E181*$D$6</f>
        <v>43.902238168799997</v>
      </c>
      <c r="H181" s="343">
        <v>-69.150999999999996</v>
      </c>
      <c r="I181" s="99">
        <f>G181+H181</f>
        <v>-25.2487618312</v>
      </c>
      <c r="J181" s="96"/>
      <c r="K181" s="126">
        <f t="shared" si="352"/>
        <v>-25.2487618312</v>
      </c>
      <c r="L181" s="101">
        <f t="shared" si="353"/>
        <v>0</v>
      </c>
      <c r="M181" s="409">
        <v>43508</v>
      </c>
      <c r="N181" s="629">
        <f t="shared" ref="N181:O181" si="378">G181+G182</f>
        <v>69.151522057199998</v>
      </c>
      <c r="O181" s="623">
        <f t="shared" si="378"/>
        <v>-69.150999999999996</v>
      </c>
      <c r="P181" s="623">
        <f t="shared" ref="P181" si="379">N181+O181</f>
        <v>5.220572000013135E-4</v>
      </c>
      <c r="Q181" s="623">
        <f t="shared" ref="Q181" si="380">J181+J182</f>
        <v>0</v>
      </c>
      <c r="R181" s="623">
        <f t="shared" ref="R181" si="381">P181-Q181</f>
        <v>5.220572000013135E-4</v>
      </c>
      <c r="S181" s="598">
        <f t="shared" ref="S181" si="382">Q181/P181</f>
        <v>0</v>
      </c>
    </row>
    <row r="182" spans="1:19" ht="15.6">
      <c r="A182" s="54"/>
      <c r="B182" s="621"/>
      <c r="C182" s="611"/>
      <c r="D182" s="613"/>
      <c r="E182" s="615">
        <v>1.83231378E-2</v>
      </c>
      <c r="F182" s="96" t="s">
        <v>102</v>
      </c>
      <c r="G182" s="130">
        <f>+E181*$D$8</f>
        <v>25.249283888400001</v>
      </c>
      <c r="H182" s="98"/>
      <c r="I182" s="99">
        <f>G182+H182+K181</f>
        <v>5.220572000013135E-4</v>
      </c>
      <c r="J182" s="96"/>
      <c r="K182" s="126">
        <f t="shared" si="352"/>
        <v>5.220572000013135E-4</v>
      </c>
      <c r="L182" s="101">
        <f t="shared" si="353"/>
        <v>0</v>
      </c>
      <c r="M182" s="409">
        <v>43508</v>
      </c>
      <c r="N182" s="629"/>
      <c r="O182" s="623"/>
      <c r="P182" s="623"/>
      <c r="Q182" s="623"/>
      <c r="R182" s="623"/>
      <c r="S182" s="598"/>
    </row>
    <row r="183" spans="1:19" ht="15.6">
      <c r="A183" s="54">
        <v>12</v>
      </c>
      <c r="B183" s="621"/>
      <c r="C183" s="610" t="s">
        <v>457</v>
      </c>
      <c r="D183" s="612" t="s">
        <v>373</v>
      </c>
      <c r="E183" s="614">
        <v>9.5119834E-3</v>
      </c>
      <c r="F183" s="96" t="s">
        <v>38</v>
      </c>
      <c r="G183" s="130">
        <f>+E183*$D$6</f>
        <v>22.7907122264</v>
      </c>
      <c r="H183" s="498">
        <v>-35.898000000000003</v>
      </c>
      <c r="I183" s="99">
        <f>G183+H183</f>
        <v>-13.107287773600003</v>
      </c>
      <c r="J183" s="96"/>
      <c r="K183" s="126">
        <f t="shared" si="352"/>
        <v>-13.107287773600003</v>
      </c>
      <c r="L183" s="101">
        <f t="shared" si="353"/>
        <v>0</v>
      </c>
      <c r="M183" s="409">
        <v>43508</v>
      </c>
      <c r="N183" s="629">
        <f t="shared" ref="N183:O183" si="383">G183+G184</f>
        <v>35.898225351600004</v>
      </c>
      <c r="O183" s="623">
        <f t="shared" si="383"/>
        <v>-35.898000000000003</v>
      </c>
      <c r="P183" s="623">
        <f t="shared" ref="P183" si="384">N183+O183</f>
        <v>2.253516000010336E-4</v>
      </c>
      <c r="Q183" s="623">
        <f t="shared" ref="Q183" si="385">J183+J184</f>
        <v>0</v>
      </c>
      <c r="R183" s="623">
        <f t="shared" ref="R183" si="386">P183-Q183</f>
        <v>2.253516000010336E-4</v>
      </c>
      <c r="S183" s="598">
        <f t="shared" ref="S183" si="387">Q183/P183</f>
        <v>0</v>
      </c>
    </row>
    <row r="184" spans="1:19" ht="15.6">
      <c r="A184" s="54"/>
      <c r="B184" s="621"/>
      <c r="C184" s="611"/>
      <c r="D184" s="613"/>
      <c r="E184" s="615">
        <v>1.2828120599999999E-2</v>
      </c>
      <c r="F184" s="96" t="s">
        <v>102</v>
      </c>
      <c r="G184" s="130">
        <f>+E183*$D$8</f>
        <v>13.107513125200001</v>
      </c>
      <c r="H184" s="98"/>
      <c r="I184" s="99">
        <f>G184+H184+K183</f>
        <v>2.2535159999748089E-4</v>
      </c>
      <c r="J184" s="96"/>
      <c r="K184" s="126">
        <f t="shared" si="352"/>
        <v>2.2535159999748089E-4</v>
      </c>
      <c r="L184" s="101">
        <f t="shared" si="353"/>
        <v>0</v>
      </c>
      <c r="M184" s="409">
        <v>43508</v>
      </c>
      <c r="N184" s="629"/>
      <c r="O184" s="623"/>
      <c r="P184" s="623"/>
      <c r="Q184" s="623"/>
      <c r="R184" s="623"/>
      <c r="S184" s="598"/>
    </row>
    <row r="185" spans="1:19" ht="15.6">
      <c r="A185" s="54">
        <v>13</v>
      </c>
      <c r="B185" s="621"/>
      <c r="C185" s="610" t="s">
        <v>456</v>
      </c>
      <c r="D185" s="612" t="s">
        <v>367</v>
      </c>
      <c r="E185" s="614">
        <v>6.9147745E-3</v>
      </c>
      <c r="F185" s="96" t="s">
        <v>38</v>
      </c>
      <c r="G185" s="130">
        <f>+E185*$D$6</f>
        <v>16.567799701999999</v>
      </c>
      <c r="H185" s="311">
        <v>-26.097000000000001</v>
      </c>
      <c r="I185" s="99">
        <f>G185+H185</f>
        <v>-9.5292002980000028</v>
      </c>
      <c r="J185" s="96"/>
      <c r="K185" s="126">
        <f t="shared" si="352"/>
        <v>-9.5292002980000028</v>
      </c>
      <c r="L185" s="101">
        <f t="shared" si="353"/>
        <v>0</v>
      </c>
      <c r="M185" s="409">
        <v>43508</v>
      </c>
      <c r="N185" s="629">
        <f t="shared" ref="N185:O185" si="388">G185+G186</f>
        <v>26.096358963</v>
      </c>
      <c r="O185" s="623">
        <f t="shared" si="388"/>
        <v>-26.097000000000001</v>
      </c>
      <c r="P185" s="623">
        <f t="shared" ref="P185" si="389">N185+O185</f>
        <v>-6.4103700000117669E-4</v>
      </c>
      <c r="Q185" s="623">
        <f t="shared" ref="Q185" si="390">J185+J186</f>
        <v>0</v>
      </c>
      <c r="R185" s="623">
        <f t="shared" ref="R185" si="391">P185-Q185</f>
        <v>-6.4103700000117669E-4</v>
      </c>
      <c r="S185" s="626">
        <f t="shared" ref="S185" si="392">Q185/P185</f>
        <v>0</v>
      </c>
    </row>
    <row r="186" spans="1:19" ht="15.6">
      <c r="A186" s="54"/>
      <c r="B186" s="621"/>
      <c r="C186" s="611"/>
      <c r="D186" s="613"/>
      <c r="E186" s="615">
        <v>6.9147745E-3</v>
      </c>
      <c r="F186" s="96" t="s">
        <v>102</v>
      </c>
      <c r="G186" s="130">
        <f>+E185*$D$8</f>
        <v>9.5285592609999998</v>
      </c>
      <c r="H186" s="98"/>
      <c r="I186" s="99">
        <f>G186+H186+K185</f>
        <v>-6.4103700000295305E-4</v>
      </c>
      <c r="J186" s="96"/>
      <c r="K186" s="126">
        <f t="shared" si="352"/>
        <v>-6.4103700000295305E-4</v>
      </c>
      <c r="L186" s="101">
        <f t="shared" si="353"/>
        <v>0</v>
      </c>
      <c r="M186" s="409">
        <v>43508</v>
      </c>
      <c r="N186" s="629"/>
      <c r="O186" s="623"/>
      <c r="P186" s="623"/>
      <c r="Q186" s="623"/>
      <c r="R186" s="623"/>
      <c r="S186" s="626"/>
    </row>
    <row r="187" spans="1:19" ht="15.6">
      <c r="A187" s="54">
        <v>14</v>
      </c>
      <c r="B187" s="621"/>
      <c r="C187" s="610" t="s">
        <v>387</v>
      </c>
      <c r="D187" s="612" t="s">
        <v>369</v>
      </c>
      <c r="E187" s="614">
        <v>2.39364964E-2</v>
      </c>
      <c r="F187" s="96" t="s">
        <v>38</v>
      </c>
      <c r="G187" s="130">
        <f>+E187*$D$6</f>
        <v>57.3518453744</v>
      </c>
      <c r="H187" s="498">
        <v>-90.335999999999999</v>
      </c>
      <c r="I187" s="99">
        <f>G187+H187</f>
        <v>-32.984154625599999</v>
      </c>
      <c r="J187" s="96"/>
      <c r="K187" s="126">
        <f t="shared" si="352"/>
        <v>-32.984154625599999</v>
      </c>
      <c r="L187" s="101">
        <f t="shared" si="353"/>
        <v>0</v>
      </c>
      <c r="M187" s="409">
        <v>43508</v>
      </c>
      <c r="N187" s="629">
        <f t="shared" ref="N187:O187" si="393">G187+G188</f>
        <v>90.336337413600006</v>
      </c>
      <c r="O187" s="623">
        <f t="shared" si="393"/>
        <v>-90.335999999999999</v>
      </c>
      <c r="P187" s="623">
        <f t="shared" ref="P187" si="394">N187+O187</f>
        <v>3.3741360000760778E-4</v>
      </c>
      <c r="Q187" s="623">
        <f t="shared" ref="Q187" si="395">J187+J188</f>
        <v>0</v>
      </c>
      <c r="R187" s="623">
        <f t="shared" ref="R187" si="396">P187-Q187</f>
        <v>3.3741360000760778E-4</v>
      </c>
      <c r="S187" s="626">
        <f t="shared" ref="S187" si="397">Q187/P187</f>
        <v>0</v>
      </c>
    </row>
    <row r="188" spans="1:19" ht="15.6">
      <c r="A188" s="54"/>
      <c r="B188" s="621"/>
      <c r="C188" s="611"/>
      <c r="D188" s="613"/>
      <c r="E188" s="615">
        <v>5.5353395999999996E-3</v>
      </c>
      <c r="F188" s="96" t="s">
        <v>102</v>
      </c>
      <c r="G188" s="130">
        <f>+E187*$D$8</f>
        <v>32.984492039199999</v>
      </c>
      <c r="H188" s="98"/>
      <c r="I188" s="99">
        <f>G188+H188+K187</f>
        <v>3.3741360000050236E-4</v>
      </c>
      <c r="J188" s="96"/>
      <c r="K188" s="126">
        <f t="shared" si="352"/>
        <v>3.3741360000050236E-4</v>
      </c>
      <c r="L188" s="101">
        <f t="shared" si="353"/>
        <v>0</v>
      </c>
      <c r="M188" s="409">
        <v>43508</v>
      </c>
      <c r="N188" s="629"/>
      <c r="O188" s="623"/>
      <c r="P188" s="623"/>
      <c r="Q188" s="623"/>
      <c r="R188" s="623"/>
      <c r="S188" s="626"/>
    </row>
    <row r="189" spans="1:19" ht="15.6">
      <c r="A189" s="54">
        <v>15</v>
      </c>
      <c r="B189" s="621"/>
      <c r="C189" s="610" t="s">
        <v>392</v>
      </c>
      <c r="D189" s="612" t="s">
        <v>375</v>
      </c>
      <c r="E189" s="614">
        <v>1.521573E-2</v>
      </c>
      <c r="F189" s="96" t="s">
        <v>38</v>
      </c>
      <c r="G189" s="130">
        <f>+E189*$D$6</f>
        <v>36.456889080000003</v>
      </c>
      <c r="H189" s="343">
        <v>-57.423999999999999</v>
      </c>
      <c r="I189" s="99">
        <f>G189+H189</f>
        <v>-20.967110919999996</v>
      </c>
      <c r="J189" s="96"/>
      <c r="K189" s="126">
        <f t="shared" si="340"/>
        <v>-20.967110919999996</v>
      </c>
      <c r="L189" s="101">
        <f t="shared" si="341"/>
        <v>0</v>
      </c>
      <c r="M189" s="409">
        <v>43508</v>
      </c>
      <c r="N189" s="629">
        <f t="shared" ref="N189:O189" si="398">G189+G190</f>
        <v>57.424165020000004</v>
      </c>
      <c r="O189" s="623">
        <f t="shared" si="398"/>
        <v>-57.423999999999999</v>
      </c>
      <c r="P189" s="623">
        <f t="shared" ref="P189" si="399">N189+O189</f>
        <v>1.6502000000429007E-4</v>
      </c>
      <c r="Q189" s="623">
        <f t="shared" ref="Q189" si="400">J189+J190</f>
        <v>0</v>
      </c>
      <c r="R189" s="623">
        <f t="shared" ref="R189" si="401">P189-Q189</f>
        <v>1.6502000000429007E-4</v>
      </c>
      <c r="S189" s="598">
        <f t="shared" ref="S189" si="402">Q189/P189</f>
        <v>0</v>
      </c>
    </row>
    <row r="190" spans="1:19" ht="15.6">
      <c r="A190" s="54"/>
      <c r="B190" s="621"/>
      <c r="C190" s="611"/>
      <c r="D190" s="613"/>
      <c r="E190" s="615">
        <v>1.521573E-2</v>
      </c>
      <c r="F190" s="96" t="s">
        <v>102</v>
      </c>
      <c r="G190" s="130">
        <f>+E189*$D$8</f>
        <v>20.96727594</v>
      </c>
      <c r="H190" s="98"/>
      <c r="I190" s="99">
        <f>G190+H190+K189</f>
        <v>1.6502000000429007E-4</v>
      </c>
      <c r="J190" s="96"/>
      <c r="K190" s="126">
        <f t="shared" si="340"/>
        <v>1.6502000000429007E-4</v>
      </c>
      <c r="L190" s="101">
        <f t="shared" si="341"/>
        <v>0</v>
      </c>
      <c r="M190" s="409">
        <v>43508</v>
      </c>
      <c r="N190" s="629"/>
      <c r="O190" s="623"/>
      <c r="P190" s="623"/>
      <c r="Q190" s="623"/>
      <c r="R190" s="623"/>
      <c r="S190" s="598"/>
    </row>
    <row r="191" spans="1:19" ht="15.6" customHeight="1">
      <c r="A191" s="54">
        <v>16</v>
      </c>
      <c r="B191" s="621"/>
      <c r="C191" s="610" t="s">
        <v>455</v>
      </c>
      <c r="D191" s="612" t="s">
        <v>376</v>
      </c>
      <c r="E191" s="614">
        <v>6.7761519999999997E-4</v>
      </c>
      <c r="F191" s="96" t="s">
        <v>38</v>
      </c>
      <c r="G191" s="130">
        <f>+E191*$D$6</f>
        <v>1.6235660191999999</v>
      </c>
      <c r="H191" s="311">
        <v>-2.5569999999999999</v>
      </c>
      <c r="I191" s="99">
        <f>G191+H191</f>
        <v>-0.93343398080000006</v>
      </c>
      <c r="J191" s="96"/>
      <c r="K191" s="126">
        <f t="shared" si="340"/>
        <v>-0.93343398080000006</v>
      </c>
      <c r="L191" s="101">
        <f t="shared" si="341"/>
        <v>0</v>
      </c>
      <c r="M191" s="409">
        <v>43508</v>
      </c>
      <c r="N191" s="629">
        <f t="shared" ref="N191:O191" si="403">G191+G192</f>
        <v>2.5573197647999999</v>
      </c>
      <c r="O191" s="623">
        <f t="shared" si="403"/>
        <v>-2.5569999999999999</v>
      </c>
      <c r="P191" s="623">
        <f t="shared" ref="P191" si="404">N191+O191</f>
        <v>3.1976479999995533E-4</v>
      </c>
      <c r="Q191" s="623">
        <f t="shared" ref="Q191" si="405">J191+J192</f>
        <v>0</v>
      </c>
      <c r="R191" s="623">
        <f t="shared" ref="R191" si="406">P191-Q191</f>
        <v>3.1976479999995533E-4</v>
      </c>
      <c r="S191" s="598">
        <f t="shared" ref="S191" si="407">Q191/P191</f>
        <v>0</v>
      </c>
    </row>
    <row r="192" spans="1:19" ht="15.6">
      <c r="A192" s="54"/>
      <c r="B192" s="621"/>
      <c r="C192" s="611"/>
      <c r="D192" s="613"/>
      <c r="E192" s="615">
        <v>6.7761519999999997E-4</v>
      </c>
      <c r="F192" s="96" t="s">
        <v>102</v>
      </c>
      <c r="G192" s="130">
        <f>+E191*$D$8</f>
        <v>0.93375374559999991</v>
      </c>
      <c r="H192" s="98"/>
      <c r="I192" s="99">
        <f>G192+H192+K191</f>
        <v>3.1976479999984431E-4</v>
      </c>
      <c r="J192" s="96"/>
      <c r="K192" s="126">
        <f t="shared" si="340"/>
        <v>3.1976479999984431E-4</v>
      </c>
      <c r="L192" s="101">
        <f t="shared" si="341"/>
        <v>0</v>
      </c>
      <c r="M192" s="409">
        <v>43508</v>
      </c>
      <c r="N192" s="629"/>
      <c r="O192" s="623"/>
      <c r="P192" s="623"/>
      <c r="Q192" s="623"/>
      <c r="R192" s="623"/>
      <c r="S192" s="598"/>
    </row>
    <row r="193" spans="1:20" ht="15.6">
      <c r="A193" s="54">
        <v>17</v>
      </c>
      <c r="B193" s="621"/>
      <c r="C193" s="610" t="s">
        <v>377</v>
      </c>
      <c r="D193" s="612"/>
      <c r="E193" s="614">
        <v>4.3170543000000004E-3</v>
      </c>
      <c r="F193" s="96" t="s">
        <v>38</v>
      </c>
      <c r="G193" s="130">
        <f>+E193*$D$6</f>
        <v>10.343662102800002</v>
      </c>
      <c r="H193" s="98"/>
      <c r="I193" s="99">
        <f>G193+H193</f>
        <v>10.343662102800002</v>
      </c>
      <c r="J193" s="96">
        <v>3.444</v>
      </c>
      <c r="K193" s="126">
        <f t="shared" si="340"/>
        <v>6.8996621028000016</v>
      </c>
      <c r="L193" s="101">
        <f t="shared" si="341"/>
        <v>0.33295751212403957</v>
      </c>
      <c r="M193" s="134" t="s">
        <v>32</v>
      </c>
      <c r="N193" s="616">
        <f t="shared" ref="N193:O193" si="408">G193+G194</f>
        <v>16.292562928200002</v>
      </c>
      <c r="O193" s="618">
        <f t="shared" si="408"/>
        <v>0</v>
      </c>
      <c r="P193" s="618">
        <f t="shared" ref="P193" si="409">N193+O193</f>
        <v>16.292562928200002</v>
      </c>
      <c r="Q193" s="618">
        <f t="shared" ref="Q193" si="410">J193+J194</f>
        <v>3.444</v>
      </c>
      <c r="R193" s="618">
        <f t="shared" ref="R193" si="411">P193-Q193</f>
        <v>12.848562928200003</v>
      </c>
      <c r="S193" s="598">
        <f t="shared" ref="S193" si="412">Q193/P193</f>
        <v>0.21138479042109135</v>
      </c>
    </row>
    <row r="194" spans="1:20" ht="16.2" thickBot="1">
      <c r="A194" s="54"/>
      <c r="B194" s="622"/>
      <c r="C194" s="611"/>
      <c r="D194" s="613"/>
      <c r="E194" s="615">
        <v>4.3170543000000004E-3</v>
      </c>
      <c r="F194" s="109" t="s">
        <v>102</v>
      </c>
      <c r="G194" s="133">
        <f>+E193*$D$8</f>
        <v>5.9489008254000009</v>
      </c>
      <c r="H194" s="105"/>
      <c r="I194" s="106">
        <f>G194+H194+K193</f>
        <v>12.848562928200003</v>
      </c>
      <c r="J194" s="109"/>
      <c r="K194" s="129">
        <f t="shared" si="340"/>
        <v>12.848562928200003</v>
      </c>
      <c r="L194" s="110">
        <f t="shared" si="341"/>
        <v>0</v>
      </c>
      <c r="M194" s="134" t="s">
        <v>32</v>
      </c>
      <c r="N194" s="617"/>
      <c r="O194" s="619"/>
      <c r="P194" s="619"/>
      <c r="Q194" s="619"/>
      <c r="R194" s="619"/>
      <c r="S194" s="599"/>
    </row>
    <row r="195" spans="1:20" ht="15.6" customHeight="1">
      <c r="A195" s="54"/>
      <c r="B195" s="159" t="s">
        <v>378</v>
      </c>
      <c r="C195" s="314"/>
      <c r="D195" s="160"/>
      <c r="E195" s="600">
        <f>SUM(E161:E194)</f>
        <v>0.41628974509999994</v>
      </c>
      <c r="F195" s="157" t="s">
        <v>38</v>
      </c>
      <c r="G195" s="111">
        <f>G161+G163+G165+G183+G187+G171+G167+G175+G173+G179+G181+G169+G185+G177+G189+G191+G193</f>
        <v>547.08953196319999</v>
      </c>
      <c r="H195" s="111">
        <f>H161+H163+H165+H183+H187+F221+H167+H175+H173+H179+H181+H169+H185+H177+H189+H191+H193</f>
        <v>-568.69500000000005</v>
      </c>
      <c r="I195" s="111">
        <f t="shared" ref="I195:K196" si="413">I161+I163+I165+I183+I187+I171+I167+I175+I173+I179+I181+I169+I185+I177+I189+I191+I193</f>
        <v>-21.605468036800012</v>
      </c>
      <c r="J195" s="111">
        <f t="shared" si="413"/>
        <v>5.9529999999999994</v>
      </c>
      <c r="K195" s="111">
        <f t="shared" si="413"/>
        <v>-27.558468036800008</v>
      </c>
      <c r="L195" s="226">
        <f t="shared" si="341"/>
        <v>-0.27553210094131797</v>
      </c>
      <c r="M195" s="602" t="s">
        <v>32</v>
      </c>
      <c r="N195" s="604">
        <f>SUM(N161:N194)</f>
        <v>861.73451320079994</v>
      </c>
      <c r="O195" s="606">
        <f>SUM(O165:O194)</f>
        <v>-507.35300000000001</v>
      </c>
      <c r="P195" s="606">
        <f>+N195+O195</f>
        <v>354.38151320079993</v>
      </c>
      <c r="Q195" s="606">
        <f>SUM(Q165:Q194)</f>
        <v>5.9529999999999994</v>
      </c>
      <c r="R195" s="606">
        <f>SUM(R165:R194)</f>
        <v>233.87544167339996</v>
      </c>
      <c r="S195" s="608">
        <f>Q195/P195</f>
        <v>1.6798280322898519E-2</v>
      </c>
    </row>
    <row r="196" spans="1:20" ht="16.2" thickBot="1">
      <c r="A196" s="54"/>
      <c r="B196" s="161"/>
      <c r="C196" s="315"/>
      <c r="D196" s="162"/>
      <c r="E196" s="601"/>
      <c r="F196" s="158" t="s">
        <v>102</v>
      </c>
      <c r="G196" s="112">
        <f>G162+G164+G166+G184+G188+G172+G168+G176+G174+G180+G182+G170+G186+G178+G190+G192+G194</f>
        <v>314.64498123760001</v>
      </c>
      <c r="H196" s="112">
        <f>H162+H164+H166+H184+H188+H172+H168+H176+H174+H180+H182+H170+H186+H178+H190+H192+H194</f>
        <v>0</v>
      </c>
      <c r="I196" s="112">
        <f t="shared" si="413"/>
        <v>287.08651320079997</v>
      </c>
      <c r="J196" s="112">
        <f t="shared" si="413"/>
        <v>0</v>
      </c>
      <c r="K196" s="112">
        <f t="shared" si="413"/>
        <v>287.08651320079997</v>
      </c>
      <c r="L196" s="227">
        <f t="shared" si="341"/>
        <v>0</v>
      </c>
      <c r="M196" s="603"/>
      <c r="N196" s="605"/>
      <c r="O196" s="607"/>
      <c r="P196" s="607"/>
      <c r="Q196" s="607"/>
      <c r="R196" s="607"/>
      <c r="S196" s="609"/>
    </row>
    <row r="197" spans="1:20">
      <c r="A197" s="54"/>
      <c r="B197" s="54"/>
      <c r="C197" s="57"/>
      <c r="D197" s="54"/>
      <c r="E197" s="54"/>
      <c r="F197" s="3"/>
      <c r="G197" s="54"/>
      <c r="H197" s="54"/>
      <c r="I197" s="54"/>
      <c r="J197" s="54"/>
      <c r="K197" s="54"/>
      <c r="L197" s="3"/>
      <c r="M197" s="54"/>
      <c r="N197" s="54"/>
      <c r="O197" s="54"/>
      <c r="P197" s="54"/>
      <c r="Q197" s="54"/>
      <c r="R197" s="54"/>
      <c r="S197" s="54"/>
      <c r="T197" s="8"/>
    </row>
    <row r="198" spans="1:20">
      <c r="A198" s="54"/>
      <c r="B198" s="54"/>
      <c r="C198" s="57"/>
      <c r="D198" s="54"/>
      <c r="E198" s="54"/>
      <c r="F198" s="3"/>
      <c r="G198" s="54"/>
      <c r="H198" s="54"/>
      <c r="I198" s="54"/>
      <c r="J198" s="54"/>
      <c r="K198" s="54"/>
      <c r="L198" s="3"/>
      <c r="M198" s="54"/>
      <c r="N198" s="54"/>
      <c r="O198" s="54"/>
      <c r="P198" s="54"/>
      <c r="Q198" s="54"/>
      <c r="R198" s="54"/>
      <c r="S198" s="54"/>
      <c r="T198" s="8"/>
    </row>
    <row r="199" spans="1:20" ht="46.8">
      <c r="A199" s="54"/>
      <c r="B199" s="134" t="s">
        <v>379</v>
      </c>
      <c r="C199" s="135"/>
      <c r="D199" s="306" t="s">
        <v>446</v>
      </c>
      <c r="E199" s="134" t="s">
        <v>249</v>
      </c>
      <c r="F199" s="87" t="s">
        <v>250</v>
      </c>
      <c r="G199" s="87" t="s">
        <v>242</v>
      </c>
      <c r="H199" s="88" t="s">
        <v>4</v>
      </c>
      <c r="I199" s="135" t="s">
        <v>5</v>
      </c>
      <c r="J199" s="134" t="s">
        <v>243</v>
      </c>
      <c r="K199" s="87" t="s">
        <v>48</v>
      </c>
      <c r="L199" s="87" t="s">
        <v>49</v>
      </c>
      <c r="M199" s="54"/>
      <c r="N199" s="54"/>
      <c r="O199" s="54"/>
      <c r="P199" s="54"/>
      <c r="Q199" s="54"/>
      <c r="R199" s="54"/>
      <c r="S199" s="54"/>
      <c r="T199" s="8"/>
    </row>
    <row r="200" spans="1:20" ht="15.6" customHeight="1">
      <c r="A200" s="54"/>
      <c r="B200" s="175" t="s">
        <v>444</v>
      </c>
      <c r="C200" s="484"/>
      <c r="D200" s="596">
        <v>16</v>
      </c>
      <c r="E200" s="136">
        <f>+E44</f>
        <v>0.24698050980000003</v>
      </c>
      <c r="F200" s="137" t="s">
        <v>38</v>
      </c>
      <c r="G200" s="138">
        <f>+G44</f>
        <v>562.88733609359997</v>
      </c>
      <c r="H200" s="139">
        <f>+H44</f>
        <v>-172.39</v>
      </c>
      <c r="I200" s="138">
        <f>+G200+H200</f>
        <v>390.49733609359998</v>
      </c>
      <c r="J200" s="139">
        <f>+J44</f>
        <v>81.291222222222231</v>
      </c>
      <c r="K200" s="139">
        <f>+I200-J200</f>
        <v>309.20611387137774</v>
      </c>
      <c r="L200" s="198">
        <f>+J200/I200</f>
        <v>0.2081735640899153</v>
      </c>
      <c r="M200" s="54"/>
      <c r="N200" s="54"/>
      <c r="O200" s="54"/>
      <c r="P200" s="54"/>
      <c r="Q200" s="54"/>
      <c r="R200" s="54"/>
      <c r="S200" s="54"/>
      <c r="T200" s="8"/>
    </row>
    <row r="201" spans="1:20" ht="15.6">
      <c r="A201" s="54"/>
      <c r="B201" s="174"/>
      <c r="C201" s="485"/>
      <c r="D201" s="597"/>
      <c r="E201" s="140"/>
      <c r="F201" s="137" t="s">
        <v>102</v>
      </c>
      <c r="G201" s="141">
        <f>+G45</f>
        <v>323.7306966348001</v>
      </c>
      <c r="H201" s="142">
        <f>+H45</f>
        <v>0</v>
      </c>
      <c r="I201" s="143">
        <f>G201+H201+K200</f>
        <v>632.93681050617784</v>
      </c>
      <c r="J201" s="142">
        <f>+J45</f>
        <v>0</v>
      </c>
      <c r="K201" s="142">
        <f>+I201-J201</f>
        <v>632.93681050617784</v>
      </c>
      <c r="L201" s="198">
        <f>+J201/I201</f>
        <v>0</v>
      </c>
      <c r="M201" s="54"/>
      <c r="N201" s="54"/>
      <c r="O201" s="54"/>
      <c r="P201" s="54"/>
      <c r="Q201" s="54"/>
      <c r="R201" s="54"/>
      <c r="S201" s="54"/>
      <c r="T201" s="8"/>
    </row>
    <row r="202" spans="1:20" ht="15.6" customHeight="1">
      <c r="A202" s="54"/>
      <c r="B202" s="175" t="s">
        <v>445</v>
      </c>
      <c r="C202" s="484"/>
      <c r="D202" s="594">
        <v>17</v>
      </c>
      <c r="E202" s="136">
        <f>+E83</f>
        <v>0.47890969030000002</v>
      </c>
      <c r="F202" s="137" t="s">
        <v>38</v>
      </c>
      <c r="G202" s="144">
        <f>+G83</f>
        <v>580.42381727119994</v>
      </c>
      <c r="H202" s="139">
        <f>+H83</f>
        <v>-620.06700000000001</v>
      </c>
      <c r="I202" s="138">
        <f>+G202+H202</f>
        <v>-39.64318272880007</v>
      </c>
      <c r="J202" s="139">
        <f>+J83</f>
        <v>24.694444444444443</v>
      </c>
      <c r="K202" s="139">
        <f t="shared" ref="K202:K205" si="414">+I202-J202</f>
        <v>-64.337627173244513</v>
      </c>
      <c r="L202" s="198">
        <f t="shared" ref="L202:L207" si="415">+J202/I202</f>
        <v>-0.62291780691221765</v>
      </c>
      <c r="M202" s="54"/>
      <c r="N202" s="54"/>
      <c r="O202" s="54"/>
      <c r="P202" s="54"/>
      <c r="Q202" s="54"/>
      <c r="R202" s="54"/>
      <c r="S202" s="54"/>
      <c r="T202" s="8"/>
    </row>
    <row r="203" spans="1:20" ht="15.6">
      <c r="A203" s="54"/>
      <c r="B203" s="174"/>
      <c r="C203" s="485"/>
      <c r="D203" s="595" t="s">
        <v>102</v>
      </c>
      <c r="E203" s="140"/>
      <c r="F203" s="137" t="s">
        <v>102</v>
      </c>
      <c r="G203" s="145">
        <f>+G84</f>
        <v>333.8163690316</v>
      </c>
      <c r="H203" s="142">
        <f>+H84</f>
        <v>0</v>
      </c>
      <c r="I203" s="143">
        <f>G203+H203+K202</f>
        <v>269.47874185835548</v>
      </c>
      <c r="J203" s="142">
        <f>+J84</f>
        <v>0</v>
      </c>
      <c r="K203" s="142">
        <f t="shared" si="414"/>
        <v>269.47874185835548</v>
      </c>
      <c r="L203" s="198">
        <f t="shared" si="415"/>
        <v>0</v>
      </c>
      <c r="M203" s="54"/>
      <c r="N203" s="54"/>
      <c r="O203" s="54"/>
      <c r="P203" s="54"/>
      <c r="Q203" s="54"/>
      <c r="R203" s="54"/>
      <c r="S203" s="54"/>
      <c r="T203" s="8"/>
    </row>
    <row r="204" spans="1:20" ht="15.6" customHeight="1">
      <c r="A204" s="54"/>
      <c r="B204" s="175" t="s">
        <v>443</v>
      </c>
      <c r="C204" s="484"/>
      <c r="D204" s="594">
        <v>36</v>
      </c>
      <c r="E204" s="136">
        <f>+E156</f>
        <v>0.57615809880000002</v>
      </c>
      <c r="F204" s="137" t="s">
        <v>38</v>
      </c>
      <c r="G204" s="146">
        <f>+G156</f>
        <v>705.59931131760004</v>
      </c>
      <c r="H204" s="139">
        <f>+H156</f>
        <v>-923.01700000000017</v>
      </c>
      <c r="I204" s="138">
        <f>+G204+H204</f>
        <v>-217.41768868240013</v>
      </c>
      <c r="J204" s="139">
        <f>+J156</f>
        <v>9.5350000000000001</v>
      </c>
      <c r="K204" s="139">
        <f t="shared" si="414"/>
        <v>-226.95268868240012</v>
      </c>
      <c r="L204" s="198">
        <f t="shared" si="415"/>
        <v>-4.3855677326827616E-2</v>
      </c>
      <c r="M204" s="54"/>
      <c r="N204" s="54"/>
      <c r="O204" s="54"/>
      <c r="P204" s="54"/>
      <c r="Q204" s="54"/>
      <c r="R204" s="54"/>
      <c r="S204" s="54"/>
      <c r="T204" s="8"/>
    </row>
    <row r="205" spans="1:20" ht="15.6">
      <c r="A205" s="54"/>
      <c r="B205" s="174"/>
      <c r="C205" s="485"/>
      <c r="D205" s="595" t="s">
        <v>102</v>
      </c>
      <c r="E205" s="140"/>
      <c r="F205" s="137" t="s">
        <v>102</v>
      </c>
      <c r="G205" s="146">
        <f>+G157</f>
        <v>405.80795116680014</v>
      </c>
      <c r="H205" s="142">
        <f>+H157</f>
        <v>0</v>
      </c>
      <c r="I205" s="143">
        <f>G205+H205+K204</f>
        <v>178.85526248440001</v>
      </c>
      <c r="J205" s="142">
        <f>+J157</f>
        <v>0</v>
      </c>
      <c r="K205" s="142">
        <f t="shared" si="414"/>
        <v>178.85526248440001</v>
      </c>
      <c r="L205" s="198">
        <f t="shared" si="415"/>
        <v>0</v>
      </c>
      <c r="M205" s="54"/>
      <c r="N205" s="54"/>
      <c r="O205" s="54"/>
      <c r="P205" s="54"/>
      <c r="Q205" s="54"/>
      <c r="R205" s="54"/>
      <c r="S205" s="54"/>
      <c r="T205" s="8"/>
    </row>
    <row r="206" spans="1:20" ht="15.6" customHeight="1">
      <c r="A206" s="54"/>
      <c r="B206" s="175" t="s">
        <v>442</v>
      </c>
      <c r="C206" s="484"/>
      <c r="D206" s="594">
        <v>17</v>
      </c>
      <c r="E206" s="136">
        <f>+E195</f>
        <v>0.41628974509999994</v>
      </c>
      <c r="F206" s="137" t="s">
        <v>38</v>
      </c>
      <c r="G206" s="144">
        <f>+G195</f>
        <v>547.08953196319999</v>
      </c>
      <c r="H206" s="139">
        <f>+H195</f>
        <v>-568.69500000000005</v>
      </c>
      <c r="I206" s="138">
        <f>+G206+H206</f>
        <v>-21.605468036800062</v>
      </c>
      <c r="J206" s="139">
        <f>+J195</f>
        <v>5.9529999999999994</v>
      </c>
      <c r="K206" s="139">
        <f>+I206-J206</f>
        <v>-27.558468036800061</v>
      </c>
      <c r="L206" s="198">
        <f t="shared" si="415"/>
        <v>-0.2755321009413173</v>
      </c>
      <c r="M206" s="54"/>
      <c r="N206" s="54"/>
      <c r="O206" s="54"/>
      <c r="P206" s="54"/>
      <c r="Q206" s="54"/>
      <c r="R206" s="54"/>
      <c r="S206" s="54"/>
      <c r="T206" s="8"/>
    </row>
    <row r="207" spans="1:20" ht="15.6">
      <c r="A207" s="54"/>
      <c r="B207" s="174"/>
      <c r="C207" s="485"/>
      <c r="D207" s="595" t="s">
        <v>102</v>
      </c>
      <c r="E207" s="140"/>
      <c r="F207" s="137" t="s">
        <v>102</v>
      </c>
      <c r="G207" s="145">
        <f t="shared" ref="G207:H207" si="416">+G196</f>
        <v>314.64498123760001</v>
      </c>
      <c r="H207" s="142">
        <f t="shared" si="416"/>
        <v>0</v>
      </c>
      <c r="I207" s="143">
        <f>G207+H207+K206</f>
        <v>287.08651320079997</v>
      </c>
      <c r="J207" s="142">
        <f t="shared" ref="J207" si="417">+J196</f>
        <v>0</v>
      </c>
      <c r="K207" s="142">
        <f>+I207-J207</f>
        <v>287.08651320079997</v>
      </c>
      <c r="L207" s="198">
        <f t="shared" si="415"/>
        <v>0</v>
      </c>
      <c r="M207" s="54"/>
      <c r="N207" s="54"/>
      <c r="O207" s="54"/>
      <c r="P207" s="54"/>
      <c r="Q207" s="54"/>
      <c r="R207" s="54"/>
      <c r="S207" s="54"/>
      <c r="T207" s="8"/>
    </row>
    <row r="208" spans="1:20" ht="31.8" customHeight="1">
      <c r="A208" s="54"/>
      <c r="B208" s="193" t="s">
        <v>382</v>
      </c>
      <c r="C208" s="319"/>
      <c r="D208" s="302">
        <f>SUM(D200:D207)</f>
        <v>86</v>
      </c>
      <c r="E208" s="302">
        <f>SUM(E200:E207)</f>
        <v>1.7183380439999998</v>
      </c>
      <c r="F208" s="192"/>
      <c r="G208" s="191">
        <f>SUM(G200:G207)</f>
        <v>3773.9999947164001</v>
      </c>
      <c r="H208" s="191">
        <f>SUM(H200:H207)</f>
        <v>-2284.1690000000003</v>
      </c>
      <c r="I208" s="191">
        <f>+G208+H208</f>
        <v>1489.8309947163998</v>
      </c>
      <c r="J208" s="191">
        <f>SUM(J200:J207)</f>
        <v>121.47366666666667</v>
      </c>
      <c r="K208" s="191">
        <f>+I208-J208</f>
        <v>1368.357328049733</v>
      </c>
      <c r="L208" s="225">
        <f>+J208/I208</f>
        <v>8.1535199024228969E-2</v>
      </c>
      <c r="M208" s="54"/>
      <c r="N208" s="54"/>
      <c r="O208" s="54"/>
      <c r="P208" s="54"/>
      <c r="Q208" s="54"/>
      <c r="R208" s="54"/>
      <c r="S208" s="54"/>
      <c r="T208" s="8"/>
    </row>
    <row r="209" spans="1:9">
      <c r="A209" s="54"/>
    </row>
    <row r="210" spans="1:9">
      <c r="A210" s="54"/>
    </row>
    <row r="211" spans="1:9">
      <c r="A211" s="54"/>
      <c r="B211" s="486" t="s">
        <v>429</v>
      </c>
      <c r="C211" s="487"/>
      <c r="D211" s="487"/>
      <c r="E211" s="487"/>
      <c r="F211" s="488"/>
      <c r="G211" s="345">
        <v>722.274</v>
      </c>
      <c r="H211" s="349">
        <f>+H16+H22+H30+H55+H88+H110+H116+H130+H134+H138+H140+H179</f>
        <v>-722.274</v>
      </c>
      <c r="I211" s="342" t="s">
        <v>440</v>
      </c>
    </row>
    <row r="212" spans="1:9">
      <c r="A212" s="54"/>
      <c r="B212" s="489" t="s">
        <v>430</v>
      </c>
      <c r="C212" s="490"/>
      <c r="D212" s="490"/>
      <c r="E212" s="490"/>
      <c r="F212" s="491"/>
      <c r="G212" s="347">
        <v>193.87899999999999</v>
      </c>
      <c r="H212" s="350">
        <f>+H132+H148+F221+H122</f>
        <v>-159.154</v>
      </c>
      <c r="I212" s="347" t="s">
        <v>439</v>
      </c>
    </row>
    <row r="213" spans="1:9">
      <c r="A213" s="54"/>
      <c r="B213" s="492" t="s">
        <v>438</v>
      </c>
      <c r="C213" s="493"/>
      <c r="D213" s="493"/>
      <c r="E213" s="493"/>
      <c r="F213" s="494"/>
      <c r="G213" s="346">
        <v>1402.471</v>
      </c>
      <c r="H213" s="349">
        <f>+H61+H69+H67+H71+H57+H63+H51+H75+H77+H96+H98+H100+H108+H114+H118+H120+H124+H126+H142+H161+H185+H181+H177+H167+H183+H169+H187+H189+H191+H65</f>
        <v>-1347.819</v>
      </c>
      <c r="I213" s="510" t="s">
        <v>441</v>
      </c>
    </row>
    <row r="214" spans="1:9">
      <c r="A214" s="54"/>
      <c r="B214" s="495" t="s">
        <v>431</v>
      </c>
      <c r="C214" s="496"/>
      <c r="D214" s="496"/>
      <c r="E214" s="496"/>
      <c r="F214" s="497"/>
      <c r="G214" s="388">
        <f>SUM(G211:G213)</f>
        <v>2318.6239999999998</v>
      </c>
      <c r="H214" s="389">
        <f>SUM(H211:H213)</f>
        <v>-2229.2469999999998</v>
      </c>
    </row>
    <row r="215" spans="1:9">
      <c r="A215" s="54"/>
    </row>
    <row r="216" spans="1:9">
      <c r="A216" s="54"/>
    </row>
    <row r="217" spans="1:9">
      <c r="A217" s="54"/>
    </row>
    <row r="218" spans="1:9">
      <c r="A218" s="54"/>
    </row>
    <row r="219" spans="1:9">
      <c r="A219" s="54"/>
    </row>
    <row r="220" spans="1:9">
      <c r="A220" s="54"/>
      <c r="F220" s="340"/>
    </row>
    <row r="221" spans="1:9">
      <c r="A221" s="54"/>
      <c r="F221" s="340"/>
    </row>
    <row r="222" spans="1:9">
      <c r="A222" s="54"/>
      <c r="F222" s="340"/>
    </row>
    <row r="223" spans="1:9">
      <c r="A223" s="54"/>
      <c r="F223" s="340"/>
    </row>
    <row r="224" spans="1:9">
      <c r="A224" s="54"/>
      <c r="F224" s="340"/>
    </row>
    <row r="225" spans="1:6">
      <c r="A225" s="54"/>
      <c r="F225" s="340"/>
    </row>
    <row r="226" spans="1:6">
      <c r="A226" s="54"/>
      <c r="F226" s="340"/>
    </row>
    <row r="227" spans="1:6">
      <c r="A227" s="54"/>
    </row>
    <row r="228" spans="1:6">
      <c r="A228" s="54"/>
    </row>
    <row r="229" spans="1:6">
      <c r="A229" s="54"/>
    </row>
    <row r="230" spans="1:6">
      <c r="A230" s="54"/>
    </row>
    <row r="231" spans="1:6">
      <c r="A231" s="54">
        <v>36</v>
      </c>
    </row>
    <row r="232" spans="1:6">
      <c r="A232" s="54"/>
    </row>
  </sheetData>
  <mergeCells count="784">
    <mergeCell ref="B2:S2"/>
    <mergeCell ref="B3:S3"/>
    <mergeCell ref="B6:B9"/>
    <mergeCell ref="B12:B43"/>
    <mergeCell ref="D24:D25"/>
    <mergeCell ref="E24:E25"/>
    <mergeCell ref="N24:N25"/>
    <mergeCell ref="O24:O25"/>
    <mergeCell ref="P24:P25"/>
    <mergeCell ref="Q24:Q25"/>
    <mergeCell ref="R24:R25"/>
    <mergeCell ref="S24:S25"/>
    <mergeCell ref="D28:D29"/>
    <mergeCell ref="E28:E29"/>
    <mergeCell ref="N28:N29"/>
    <mergeCell ref="O28:O29"/>
    <mergeCell ref="P28:P29"/>
    <mergeCell ref="Q28:Q29"/>
    <mergeCell ref="R28:R29"/>
    <mergeCell ref="S28:S29"/>
    <mergeCell ref="D12:D13"/>
    <mergeCell ref="R16:R17"/>
    <mergeCell ref="S16:S17"/>
    <mergeCell ref="D34:D35"/>
    <mergeCell ref="E34:E35"/>
    <mergeCell ref="N34:N35"/>
    <mergeCell ref="O34:O35"/>
    <mergeCell ref="P34:P35"/>
    <mergeCell ref="E12:E13"/>
    <mergeCell ref="N12:N13"/>
    <mergeCell ref="O12:O13"/>
    <mergeCell ref="P12:P13"/>
    <mergeCell ref="Q12:Q13"/>
    <mergeCell ref="R12:R13"/>
    <mergeCell ref="S12:S13"/>
    <mergeCell ref="D14:D15"/>
    <mergeCell ref="E14:E15"/>
    <mergeCell ref="N14:N15"/>
    <mergeCell ref="O14:O15"/>
    <mergeCell ref="P14:P15"/>
    <mergeCell ref="Q14:Q15"/>
    <mergeCell ref="R14:R15"/>
    <mergeCell ref="S14:S15"/>
    <mergeCell ref="D16:D17"/>
    <mergeCell ref="E16:E17"/>
    <mergeCell ref="N16:N17"/>
    <mergeCell ref="O16:O17"/>
    <mergeCell ref="P16:P17"/>
    <mergeCell ref="Q16:Q17"/>
    <mergeCell ref="D32:D33"/>
    <mergeCell ref="E32:E33"/>
    <mergeCell ref="N32:N33"/>
    <mergeCell ref="O32:O33"/>
    <mergeCell ref="P32:P33"/>
    <mergeCell ref="R18:R19"/>
    <mergeCell ref="S18:S19"/>
    <mergeCell ref="R22:R23"/>
    <mergeCell ref="S22:S23"/>
    <mergeCell ref="P30:P31"/>
    <mergeCell ref="Q30:Q31"/>
    <mergeCell ref="R30:R31"/>
    <mergeCell ref="S30:S31"/>
    <mergeCell ref="Q38:Q39"/>
    <mergeCell ref="R38:R39"/>
    <mergeCell ref="S38:S39"/>
    <mergeCell ref="R36:R37"/>
    <mergeCell ref="S36:S37"/>
    <mergeCell ref="Q20:Q21"/>
    <mergeCell ref="R20:R21"/>
    <mergeCell ref="S20:S21"/>
    <mergeCell ref="Q32:Q33"/>
    <mergeCell ref="R32:R33"/>
    <mergeCell ref="S32:S33"/>
    <mergeCell ref="D22:D23"/>
    <mergeCell ref="E22:E23"/>
    <mergeCell ref="N22:N23"/>
    <mergeCell ref="O22:O23"/>
    <mergeCell ref="P22:P23"/>
    <mergeCell ref="Q22:Q23"/>
    <mergeCell ref="D18:D19"/>
    <mergeCell ref="E18:E19"/>
    <mergeCell ref="N18:N19"/>
    <mergeCell ref="O18:O19"/>
    <mergeCell ref="P18:P19"/>
    <mergeCell ref="D20:D21"/>
    <mergeCell ref="E20:E21"/>
    <mergeCell ref="N20:N21"/>
    <mergeCell ref="O20:O21"/>
    <mergeCell ref="P20:P21"/>
    <mergeCell ref="Q18:Q19"/>
    <mergeCell ref="Q36:Q37"/>
    <mergeCell ref="D26:D27"/>
    <mergeCell ref="E26:E27"/>
    <mergeCell ref="N26:N27"/>
    <mergeCell ref="O26:O27"/>
    <mergeCell ref="P26:P27"/>
    <mergeCell ref="Q26:Q27"/>
    <mergeCell ref="R26:R27"/>
    <mergeCell ref="S26:S27"/>
    <mergeCell ref="D30:D31"/>
    <mergeCell ref="E30:E31"/>
    <mergeCell ref="N30:N31"/>
    <mergeCell ref="O30:O31"/>
    <mergeCell ref="Q34:Q35"/>
    <mergeCell ref="R34:R35"/>
    <mergeCell ref="S34:S35"/>
    <mergeCell ref="C38:C39"/>
    <mergeCell ref="D38:D39"/>
    <mergeCell ref="E38:E39"/>
    <mergeCell ref="N38:N39"/>
    <mergeCell ref="O38:O39"/>
    <mergeCell ref="P38:P39"/>
    <mergeCell ref="D36:D37"/>
    <mergeCell ref="E36:E37"/>
    <mergeCell ref="N36:N37"/>
    <mergeCell ref="O36:O37"/>
    <mergeCell ref="P36:P37"/>
    <mergeCell ref="D42:D43"/>
    <mergeCell ref="E42:E43"/>
    <mergeCell ref="N42:N43"/>
    <mergeCell ref="O42:O43"/>
    <mergeCell ref="P42:P43"/>
    <mergeCell ref="Q42:Q43"/>
    <mergeCell ref="R42:R43"/>
    <mergeCell ref="S42:S43"/>
    <mergeCell ref="C40:C41"/>
    <mergeCell ref="D40:D41"/>
    <mergeCell ref="E40:E41"/>
    <mergeCell ref="N40:N41"/>
    <mergeCell ref="O40:O41"/>
    <mergeCell ref="P40:P41"/>
    <mergeCell ref="Q40:Q41"/>
    <mergeCell ref="R40:R41"/>
    <mergeCell ref="S40:S41"/>
    <mergeCell ref="Q44:Q45"/>
    <mergeCell ref="R44:R45"/>
    <mergeCell ref="S44:S45"/>
    <mergeCell ref="B49:B82"/>
    <mergeCell ref="C65:C66"/>
    <mergeCell ref="D65:D66"/>
    <mergeCell ref="E65:E66"/>
    <mergeCell ref="N65:N66"/>
    <mergeCell ref="O65:O66"/>
    <mergeCell ref="P65:P66"/>
    <mergeCell ref="E44:E45"/>
    <mergeCell ref="M44:M45"/>
    <mergeCell ref="N44:N45"/>
    <mergeCell ref="O44:O45"/>
    <mergeCell ref="P44:P45"/>
    <mergeCell ref="Q65:Q66"/>
    <mergeCell ref="R65:R66"/>
    <mergeCell ref="S65:S66"/>
    <mergeCell ref="C49:C50"/>
    <mergeCell ref="D49:D50"/>
    <mergeCell ref="E49:E50"/>
    <mergeCell ref="N49:N50"/>
    <mergeCell ref="O49:O50"/>
    <mergeCell ref="P49:P50"/>
    <mergeCell ref="Q49:Q50"/>
    <mergeCell ref="R49:R50"/>
    <mergeCell ref="S49:S50"/>
    <mergeCell ref="C61:C62"/>
    <mergeCell ref="D61:D62"/>
    <mergeCell ref="E61:E62"/>
    <mergeCell ref="N61:N62"/>
    <mergeCell ref="O61:O62"/>
    <mergeCell ref="P61:P62"/>
    <mergeCell ref="Q61:Q62"/>
    <mergeCell ref="R61:R62"/>
    <mergeCell ref="S61:S62"/>
    <mergeCell ref="C69:C70"/>
    <mergeCell ref="D69:D70"/>
    <mergeCell ref="E69:E70"/>
    <mergeCell ref="N69:N70"/>
    <mergeCell ref="O69:O70"/>
    <mergeCell ref="P69:P70"/>
    <mergeCell ref="Q69:Q70"/>
    <mergeCell ref="R69:R70"/>
    <mergeCell ref="S69:S70"/>
    <mergeCell ref="Q67:Q68"/>
    <mergeCell ref="R67:R68"/>
    <mergeCell ref="S67:S68"/>
    <mergeCell ref="C53:C54"/>
    <mergeCell ref="D53:D54"/>
    <mergeCell ref="E53:E54"/>
    <mergeCell ref="N53:N54"/>
    <mergeCell ref="O53:O54"/>
    <mergeCell ref="P53:P54"/>
    <mergeCell ref="Q53:Q54"/>
    <mergeCell ref="C67:C68"/>
    <mergeCell ref="D67:D68"/>
    <mergeCell ref="E67:E68"/>
    <mergeCell ref="N67:N68"/>
    <mergeCell ref="O67:O68"/>
    <mergeCell ref="P67:P68"/>
    <mergeCell ref="R53:R54"/>
    <mergeCell ref="S53:S54"/>
    <mergeCell ref="C71:C72"/>
    <mergeCell ref="D71:D72"/>
    <mergeCell ref="E71:E72"/>
    <mergeCell ref="N71:N72"/>
    <mergeCell ref="O71:O72"/>
    <mergeCell ref="P71:P72"/>
    <mergeCell ref="Q71:Q72"/>
    <mergeCell ref="R71:R72"/>
    <mergeCell ref="S71:S72"/>
    <mergeCell ref="C57:C58"/>
    <mergeCell ref="D57:D58"/>
    <mergeCell ref="E57:E58"/>
    <mergeCell ref="N57:N58"/>
    <mergeCell ref="O57:O58"/>
    <mergeCell ref="P57:P58"/>
    <mergeCell ref="Q57:Q58"/>
    <mergeCell ref="R57:R58"/>
    <mergeCell ref="S57:S58"/>
    <mergeCell ref="Q63:Q64"/>
    <mergeCell ref="R63:R64"/>
    <mergeCell ref="S63:S64"/>
    <mergeCell ref="C59:C60"/>
    <mergeCell ref="D59:D60"/>
    <mergeCell ref="E59:E60"/>
    <mergeCell ref="N59:N60"/>
    <mergeCell ref="O59:O60"/>
    <mergeCell ref="P59:P60"/>
    <mergeCell ref="Q59:Q60"/>
    <mergeCell ref="C63:C64"/>
    <mergeCell ref="D63:D64"/>
    <mergeCell ref="E63:E64"/>
    <mergeCell ref="N63:N64"/>
    <mergeCell ref="O63:O64"/>
    <mergeCell ref="P63:P64"/>
    <mergeCell ref="R59:R60"/>
    <mergeCell ref="S59:S60"/>
    <mergeCell ref="C55:C56"/>
    <mergeCell ref="D55:D56"/>
    <mergeCell ref="E55:E56"/>
    <mergeCell ref="N55:N56"/>
    <mergeCell ref="O55:O56"/>
    <mergeCell ref="P55:P56"/>
    <mergeCell ref="Q55:Q56"/>
    <mergeCell ref="R55:R56"/>
    <mergeCell ref="S55:S56"/>
    <mergeCell ref="C51:C52"/>
    <mergeCell ref="D51:D52"/>
    <mergeCell ref="E51:E52"/>
    <mergeCell ref="N51:N52"/>
    <mergeCell ref="O51:O52"/>
    <mergeCell ref="P51:P52"/>
    <mergeCell ref="Q51:Q52"/>
    <mergeCell ref="R51:R52"/>
    <mergeCell ref="S51:S52"/>
    <mergeCell ref="Q75:Q76"/>
    <mergeCell ref="R75:R76"/>
    <mergeCell ref="S75:S76"/>
    <mergeCell ref="C73:C74"/>
    <mergeCell ref="D73:D74"/>
    <mergeCell ref="E73:E74"/>
    <mergeCell ref="N73:N74"/>
    <mergeCell ref="O73:O74"/>
    <mergeCell ref="P73:P74"/>
    <mergeCell ref="Q73:Q74"/>
    <mergeCell ref="C75:C76"/>
    <mergeCell ref="D75:D76"/>
    <mergeCell ref="E75:E76"/>
    <mergeCell ref="N75:N76"/>
    <mergeCell ref="O75:O76"/>
    <mergeCell ref="P75:P76"/>
    <mergeCell ref="R73:R74"/>
    <mergeCell ref="S73:S74"/>
    <mergeCell ref="C77:C78"/>
    <mergeCell ref="D77:D78"/>
    <mergeCell ref="E77:E78"/>
    <mergeCell ref="N77:N78"/>
    <mergeCell ref="O77:O78"/>
    <mergeCell ref="P77:P78"/>
    <mergeCell ref="Q77:Q78"/>
    <mergeCell ref="R77:R78"/>
    <mergeCell ref="S77:S78"/>
    <mergeCell ref="C81:C82"/>
    <mergeCell ref="D81:D82"/>
    <mergeCell ref="E81:E82"/>
    <mergeCell ref="N81:N82"/>
    <mergeCell ref="O81:O82"/>
    <mergeCell ref="P81:P82"/>
    <mergeCell ref="S83:S84"/>
    <mergeCell ref="C79:C80"/>
    <mergeCell ref="D79:D80"/>
    <mergeCell ref="E79:E80"/>
    <mergeCell ref="N79:N80"/>
    <mergeCell ref="O79:O80"/>
    <mergeCell ref="P79:P80"/>
    <mergeCell ref="Q79:Q80"/>
    <mergeCell ref="R79:R80"/>
    <mergeCell ref="S79:S80"/>
    <mergeCell ref="Q81:Q82"/>
    <mergeCell ref="R81:R82"/>
    <mergeCell ref="S81:S82"/>
    <mergeCell ref="E83:E84"/>
    <mergeCell ref="N83:N84"/>
    <mergeCell ref="O83:O84"/>
    <mergeCell ref="P83:P84"/>
    <mergeCell ref="Q83:Q84"/>
    <mergeCell ref="R83:R84"/>
    <mergeCell ref="B88:B155"/>
    <mergeCell ref="C88:C89"/>
    <mergeCell ref="D88:D89"/>
    <mergeCell ref="E88:E89"/>
    <mergeCell ref="N88:N89"/>
    <mergeCell ref="O88:O89"/>
    <mergeCell ref="P88:P89"/>
    <mergeCell ref="Q88:Q89"/>
    <mergeCell ref="R88:R89"/>
    <mergeCell ref="Q92:Q93"/>
    <mergeCell ref="R92:R93"/>
    <mergeCell ref="Q98:Q99"/>
    <mergeCell ref="R98:R99"/>
    <mergeCell ref="C102:C103"/>
    <mergeCell ref="D102:D103"/>
    <mergeCell ref="E102:E103"/>
    <mergeCell ref="S88:S89"/>
    <mergeCell ref="C90:C91"/>
    <mergeCell ref="D90:D91"/>
    <mergeCell ref="E90:E91"/>
    <mergeCell ref="N90:N91"/>
    <mergeCell ref="O90:O91"/>
    <mergeCell ref="P90:P91"/>
    <mergeCell ref="Q90:Q91"/>
    <mergeCell ref="R90:R91"/>
    <mergeCell ref="S90:S91"/>
    <mergeCell ref="S92:S93"/>
    <mergeCell ref="C94:C95"/>
    <mergeCell ref="D94:D95"/>
    <mergeCell ref="E94:E95"/>
    <mergeCell ref="N94:N95"/>
    <mergeCell ref="O94:O95"/>
    <mergeCell ref="P94:P95"/>
    <mergeCell ref="Q94:Q95"/>
    <mergeCell ref="C92:C93"/>
    <mergeCell ref="D92:D93"/>
    <mergeCell ref="E92:E93"/>
    <mergeCell ref="N92:N93"/>
    <mergeCell ref="O92:O93"/>
    <mergeCell ref="P92:P93"/>
    <mergeCell ref="R94:R95"/>
    <mergeCell ref="S94:S95"/>
    <mergeCell ref="C96:C97"/>
    <mergeCell ref="D96:D97"/>
    <mergeCell ref="E96:E97"/>
    <mergeCell ref="N96:N97"/>
    <mergeCell ref="O96:O97"/>
    <mergeCell ref="P96:P97"/>
    <mergeCell ref="Q96:Q97"/>
    <mergeCell ref="R96:R97"/>
    <mergeCell ref="S96:S97"/>
    <mergeCell ref="S98:S99"/>
    <mergeCell ref="C100:C101"/>
    <mergeCell ref="D100:D101"/>
    <mergeCell ref="E100:E101"/>
    <mergeCell ref="N100:N101"/>
    <mergeCell ref="O100:O101"/>
    <mergeCell ref="P100:P101"/>
    <mergeCell ref="Q100:Q101"/>
    <mergeCell ref="C98:C99"/>
    <mergeCell ref="D98:D99"/>
    <mergeCell ref="E98:E99"/>
    <mergeCell ref="N98:N99"/>
    <mergeCell ref="O98:O99"/>
    <mergeCell ref="P98:P99"/>
    <mergeCell ref="R100:R101"/>
    <mergeCell ref="S100:S101"/>
    <mergeCell ref="N102:N103"/>
    <mergeCell ref="O102:O103"/>
    <mergeCell ref="P102:P103"/>
    <mergeCell ref="Q102:Q103"/>
    <mergeCell ref="R102:R103"/>
    <mergeCell ref="S102:S103"/>
    <mergeCell ref="C104:C105"/>
    <mergeCell ref="D104:D105"/>
    <mergeCell ref="E104:E105"/>
    <mergeCell ref="N104:N105"/>
    <mergeCell ref="O104:O105"/>
    <mergeCell ref="P104:P105"/>
    <mergeCell ref="Q104:Q105"/>
    <mergeCell ref="R104:R105"/>
    <mergeCell ref="S104:S105"/>
    <mergeCell ref="Q106:Q107"/>
    <mergeCell ref="R106:R107"/>
    <mergeCell ref="S106:S107"/>
    <mergeCell ref="C106:C107"/>
    <mergeCell ref="D106:D107"/>
    <mergeCell ref="E106:E107"/>
    <mergeCell ref="N106:N107"/>
    <mergeCell ref="O106:O107"/>
    <mergeCell ref="P106:P107"/>
    <mergeCell ref="C108:C109"/>
    <mergeCell ref="D108:D109"/>
    <mergeCell ref="E108:E109"/>
    <mergeCell ref="N108:N109"/>
    <mergeCell ref="O108:O109"/>
    <mergeCell ref="P108:P109"/>
    <mergeCell ref="Q108:Q109"/>
    <mergeCell ref="R108:R109"/>
    <mergeCell ref="S108:S109"/>
    <mergeCell ref="C110:C111"/>
    <mergeCell ref="D110:D111"/>
    <mergeCell ref="E110:E111"/>
    <mergeCell ref="N110:N111"/>
    <mergeCell ref="O110:O111"/>
    <mergeCell ref="P110:P111"/>
    <mergeCell ref="Q110:Q111"/>
    <mergeCell ref="R110:R111"/>
    <mergeCell ref="S110:S111"/>
    <mergeCell ref="Q112:Q113"/>
    <mergeCell ref="R112:R113"/>
    <mergeCell ref="S112:S113"/>
    <mergeCell ref="C114:C115"/>
    <mergeCell ref="D114:D115"/>
    <mergeCell ref="E114:E115"/>
    <mergeCell ref="N114:N115"/>
    <mergeCell ref="O114:O115"/>
    <mergeCell ref="P114:P115"/>
    <mergeCell ref="Q114:Q115"/>
    <mergeCell ref="C112:C113"/>
    <mergeCell ref="D112:D113"/>
    <mergeCell ref="E112:E113"/>
    <mergeCell ref="N112:N113"/>
    <mergeCell ref="O112:O113"/>
    <mergeCell ref="P112:P113"/>
    <mergeCell ref="R114:R115"/>
    <mergeCell ref="S114:S115"/>
    <mergeCell ref="C116:C117"/>
    <mergeCell ref="D116:D117"/>
    <mergeCell ref="E116:E117"/>
    <mergeCell ref="N116:N117"/>
    <mergeCell ref="O116:O117"/>
    <mergeCell ref="P116:P117"/>
    <mergeCell ref="Q116:Q117"/>
    <mergeCell ref="R116:R117"/>
    <mergeCell ref="S116:S117"/>
    <mergeCell ref="C118:C119"/>
    <mergeCell ref="D118:D119"/>
    <mergeCell ref="E118:E119"/>
    <mergeCell ref="N118:N119"/>
    <mergeCell ref="O118:O119"/>
    <mergeCell ref="P118:P119"/>
    <mergeCell ref="Q118:Q119"/>
    <mergeCell ref="R118:R119"/>
    <mergeCell ref="S118:S119"/>
    <mergeCell ref="Q120:Q121"/>
    <mergeCell ref="R120:R121"/>
    <mergeCell ref="S120:S121"/>
    <mergeCell ref="C122:C123"/>
    <mergeCell ref="D122:D123"/>
    <mergeCell ref="E122:E123"/>
    <mergeCell ref="N122:N123"/>
    <mergeCell ref="O122:O123"/>
    <mergeCell ref="P122:P123"/>
    <mergeCell ref="Q122:Q123"/>
    <mergeCell ref="C120:C121"/>
    <mergeCell ref="D120:D121"/>
    <mergeCell ref="E120:E121"/>
    <mergeCell ref="N120:N121"/>
    <mergeCell ref="O120:O121"/>
    <mergeCell ref="P120:P121"/>
    <mergeCell ref="R122:R123"/>
    <mergeCell ref="S122:S123"/>
    <mergeCell ref="C124:C125"/>
    <mergeCell ref="D124:D125"/>
    <mergeCell ref="E124:E125"/>
    <mergeCell ref="N124:N125"/>
    <mergeCell ref="O124:O125"/>
    <mergeCell ref="P124:P125"/>
    <mergeCell ref="Q124:Q125"/>
    <mergeCell ref="R124:R125"/>
    <mergeCell ref="S124:S125"/>
    <mergeCell ref="C126:C127"/>
    <mergeCell ref="D126:D127"/>
    <mergeCell ref="E126:E127"/>
    <mergeCell ref="N126:N127"/>
    <mergeCell ref="O126:O127"/>
    <mergeCell ref="P126:P127"/>
    <mergeCell ref="Q126:Q127"/>
    <mergeCell ref="R126:R127"/>
    <mergeCell ref="S126:S127"/>
    <mergeCell ref="Q128:Q129"/>
    <mergeCell ref="R128:R129"/>
    <mergeCell ref="S128:S129"/>
    <mergeCell ref="C130:C131"/>
    <mergeCell ref="D130:D131"/>
    <mergeCell ref="E130:E131"/>
    <mergeCell ref="N130:N131"/>
    <mergeCell ref="O130:O131"/>
    <mergeCell ref="P130:P131"/>
    <mergeCell ref="Q130:Q131"/>
    <mergeCell ref="C128:C129"/>
    <mergeCell ref="D128:D129"/>
    <mergeCell ref="E128:E129"/>
    <mergeCell ref="N128:N129"/>
    <mergeCell ref="O128:O129"/>
    <mergeCell ref="P128:P129"/>
    <mergeCell ref="R130:R131"/>
    <mergeCell ref="S130:S131"/>
    <mergeCell ref="C132:C133"/>
    <mergeCell ref="D132:D133"/>
    <mergeCell ref="E132:E133"/>
    <mergeCell ref="N132:N133"/>
    <mergeCell ref="O132:O133"/>
    <mergeCell ref="P132:P133"/>
    <mergeCell ref="Q132:Q133"/>
    <mergeCell ref="R132:R133"/>
    <mergeCell ref="S132:S133"/>
    <mergeCell ref="C134:C135"/>
    <mergeCell ref="D134:D135"/>
    <mergeCell ref="E134:E135"/>
    <mergeCell ref="N134:N135"/>
    <mergeCell ref="O134:O135"/>
    <mergeCell ref="P134:P135"/>
    <mergeCell ref="Q134:Q135"/>
    <mergeCell ref="R134:R135"/>
    <mergeCell ref="S134:S135"/>
    <mergeCell ref="Q136:Q137"/>
    <mergeCell ref="R136:R137"/>
    <mergeCell ref="S136:S137"/>
    <mergeCell ref="C138:C139"/>
    <mergeCell ref="D138:D139"/>
    <mergeCell ref="E138:E139"/>
    <mergeCell ref="N138:N139"/>
    <mergeCell ref="O138:O139"/>
    <mergeCell ref="P138:P139"/>
    <mergeCell ref="Q138:Q139"/>
    <mergeCell ref="C136:C137"/>
    <mergeCell ref="D136:D137"/>
    <mergeCell ref="E136:E137"/>
    <mergeCell ref="N136:N137"/>
    <mergeCell ref="O136:O137"/>
    <mergeCell ref="P136:P137"/>
    <mergeCell ref="R138:R139"/>
    <mergeCell ref="S138:S139"/>
    <mergeCell ref="C140:C141"/>
    <mergeCell ref="D140:D141"/>
    <mergeCell ref="E140:E141"/>
    <mergeCell ref="N140:N141"/>
    <mergeCell ref="O140:O141"/>
    <mergeCell ref="P140:P141"/>
    <mergeCell ref="Q140:Q141"/>
    <mergeCell ref="R140:R141"/>
    <mergeCell ref="S140:S141"/>
    <mergeCell ref="C142:C143"/>
    <mergeCell ref="D142:D143"/>
    <mergeCell ref="E142:E143"/>
    <mergeCell ref="N142:N143"/>
    <mergeCell ref="O142:O143"/>
    <mergeCell ref="P142:P143"/>
    <mergeCell ref="Q142:Q143"/>
    <mergeCell ref="R142:R143"/>
    <mergeCell ref="S142:S143"/>
    <mergeCell ref="Q144:Q145"/>
    <mergeCell ref="R144:R145"/>
    <mergeCell ref="S144:S145"/>
    <mergeCell ref="C146:C147"/>
    <mergeCell ref="D146:D147"/>
    <mergeCell ref="E146:E147"/>
    <mergeCell ref="N146:N147"/>
    <mergeCell ref="O146:O147"/>
    <mergeCell ref="P146:P147"/>
    <mergeCell ref="Q146:Q147"/>
    <mergeCell ref="C144:C145"/>
    <mergeCell ref="D144:D145"/>
    <mergeCell ref="E144:E145"/>
    <mergeCell ref="N144:N145"/>
    <mergeCell ref="O144:O145"/>
    <mergeCell ref="P144:P145"/>
    <mergeCell ref="R146:R147"/>
    <mergeCell ref="S146:S147"/>
    <mergeCell ref="C148:C149"/>
    <mergeCell ref="D148:D149"/>
    <mergeCell ref="E148:E149"/>
    <mergeCell ref="N148:N149"/>
    <mergeCell ref="O148:O149"/>
    <mergeCell ref="P148:P149"/>
    <mergeCell ref="Q148:Q149"/>
    <mergeCell ref="R148:R149"/>
    <mergeCell ref="S148:S149"/>
    <mergeCell ref="C150:C151"/>
    <mergeCell ref="D150:D151"/>
    <mergeCell ref="E150:E151"/>
    <mergeCell ref="N150:N151"/>
    <mergeCell ref="O150:O151"/>
    <mergeCell ref="P150:P151"/>
    <mergeCell ref="Q150:Q151"/>
    <mergeCell ref="R150:R151"/>
    <mergeCell ref="S150:S151"/>
    <mergeCell ref="C154:C155"/>
    <mergeCell ref="D154:D155"/>
    <mergeCell ref="E154:E155"/>
    <mergeCell ref="N154:N155"/>
    <mergeCell ref="O154:O155"/>
    <mergeCell ref="P154:P155"/>
    <mergeCell ref="Q154:Q155"/>
    <mergeCell ref="C152:C153"/>
    <mergeCell ref="D152:D153"/>
    <mergeCell ref="E152:E153"/>
    <mergeCell ref="N152:N153"/>
    <mergeCell ref="O152:O153"/>
    <mergeCell ref="P152:P153"/>
    <mergeCell ref="E156:E157"/>
    <mergeCell ref="M156:M157"/>
    <mergeCell ref="N156:N157"/>
    <mergeCell ref="O156:O157"/>
    <mergeCell ref="P156:P157"/>
    <mergeCell ref="Q156:Q157"/>
    <mergeCell ref="R156:R157"/>
    <mergeCell ref="S156:S157"/>
    <mergeCell ref="Q152:Q153"/>
    <mergeCell ref="R152:R153"/>
    <mergeCell ref="S152:S153"/>
    <mergeCell ref="R154:R155"/>
    <mergeCell ref="S154:S155"/>
    <mergeCell ref="P175:P176"/>
    <mergeCell ref="R171:R172"/>
    <mergeCell ref="S171:S172"/>
    <mergeCell ref="Q175:Q176"/>
    <mergeCell ref="R175:R176"/>
    <mergeCell ref="S165:S166"/>
    <mergeCell ref="C163:C164"/>
    <mergeCell ref="D163:D164"/>
    <mergeCell ref="E163:E164"/>
    <mergeCell ref="N163:N164"/>
    <mergeCell ref="O163:O164"/>
    <mergeCell ref="P163:P164"/>
    <mergeCell ref="Q163:Q164"/>
    <mergeCell ref="R163:R164"/>
    <mergeCell ref="S163:S164"/>
    <mergeCell ref="C165:C166"/>
    <mergeCell ref="D165:D166"/>
    <mergeCell ref="E165:E166"/>
    <mergeCell ref="N165:N166"/>
    <mergeCell ref="O165:O166"/>
    <mergeCell ref="P165:P166"/>
    <mergeCell ref="Q165:Q166"/>
    <mergeCell ref="R165:R166"/>
    <mergeCell ref="S161:S162"/>
    <mergeCell ref="C179:C180"/>
    <mergeCell ref="D179:D180"/>
    <mergeCell ref="E179:E180"/>
    <mergeCell ref="N179:N180"/>
    <mergeCell ref="O179:O180"/>
    <mergeCell ref="P179:P180"/>
    <mergeCell ref="Q179:Q180"/>
    <mergeCell ref="R179:R180"/>
    <mergeCell ref="S179:S180"/>
    <mergeCell ref="C161:C162"/>
    <mergeCell ref="D161:D162"/>
    <mergeCell ref="E161:E162"/>
    <mergeCell ref="N161:N162"/>
    <mergeCell ref="O161:O162"/>
    <mergeCell ref="P161:P162"/>
    <mergeCell ref="Q161:Q162"/>
    <mergeCell ref="R161:R162"/>
    <mergeCell ref="S175:S176"/>
    <mergeCell ref="C171:C172"/>
    <mergeCell ref="D171:D172"/>
    <mergeCell ref="E171:E172"/>
    <mergeCell ref="N171:N172"/>
    <mergeCell ref="O171:O172"/>
    <mergeCell ref="S185:S186"/>
    <mergeCell ref="C181:C182"/>
    <mergeCell ref="D181:D182"/>
    <mergeCell ref="E181:E182"/>
    <mergeCell ref="N181:N182"/>
    <mergeCell ref="O181:O182"/>
    <mergeCell ref="P181:P182"/>
    <mergeCell ref="Q181:Q182"/>
    <mergeCell ref="C185:C186"/>
    <mergeCell ref="D185:D186"/>
    <mergeCell ref="E185:E186"/>
    <mergeCell ref="N185:N186"/>
    <mergeCell ref="O185:O186"/>
    <mergeCell ref="P185:P186"/>
    <mergeCell ref="R181:R182"/>
    <mergeCell ref="S181:S182"/>
    <mergeCell ref="Q185:Q186"/>
    <mergeCell ref="R185:R186"/>
    <mergeCell ref="S167:S168"/>
    <mergeCell ref="C167:C168"/>
    <mergeCell ref="D183:D184"/>
    <mergeCell ref="E183:E184"/>
    <mergeCell ref="N183:N184"/>
    <mergeCell ref="O183:O184"/>
    <mergeCell ref="P183:P184"/>
    <mergeCell ref="Q183:Q184"/>
    <mergeCell ref="C173:C174"/>
    <mergeCell ref="D167:D168"/>
    <mergeCell ref="E167:E168"/>
    <mergeCell ref="N167:N168"/>
    <mergeCell ref="O167:O168"/>
    <mergeCell ref="P167:P168"/>
    <mergeCell ref="R183:R184"/>
    <mergeCell ref="S183:S184"/>
    <mergeCell ref="Q167:Q168"/>
    <mergeCell ref="R167:R168"/>
    <mergeCell ref="Q177:Q178"/>
    <mergeCell ref="R177:R178"/>
    <mergeCell ref="S177:S178"/>
    <mergeCell ref="C177:C178"/>
    <mergeCell ref="D173:D174"/>
    <mergeCell ref="E173:E174"/>
    <mergeCell ref="S189:S190"/>
    <mergeCell ref="C191:C192"/>
    <mergeCell ref="D191:D192"/>
    <mergeCell ref="E191:E192"/>
    <mergeCell ref="N191:N192"/>
    <mergeCell ref="O191:O192"/>
    <mergeCell ref="P191:P192"/>
    <mergeCell ref="Q191:Q192"/>
    <mergeCell ref="C189:C190"/>
    <mergeCell ref="D189:D190"/>
    <mergeCell ref="E189:E190"/>
    <mergeCell ref="N189:N190"/>
    <mergeCell ref="O189:O190"/>
    <mergeCell ref="P189:P190"/>
    <mergeCell ref="R191:R192"/>
    <mergeCell ref="S191:S192"/>
    <mergeCell ref="S187:S188"/>
    <mergeCell ref="C183:C184"/>
    <mergeCell ref="D169:D170"/>
    <mergeCell ref="E169:E170"/>
    <mergeCell ref="N169:N170"/>
    <mergeCell ref="D187:D188"/>
    <mergeCell ref="E187:E188"/>
    <mergeCell ref="N187:N188"/>
    <mergeCell ref="O187:O188"/>
    <mergeCell ref="P187:P188"/>
    <mergeCell ref="Q187:Q188"/>
    <mergeCell ref="R187:R188"/>
    <mergeCell ref="O169:O170"/>
    <mergeCell ref="P169:P170"/>
    <mergeCell ref="Q169:Q170"/>
    <mergeCell ref="R169:R170"/>
    <mergeCell ref="S169:S170"/>
    <mergeCell ref="N173:N174"/>
    <mergeCell ref="O173:O174"/>
    <mergeCell ref="P173:P174"/>
    <mergeCell ref="Q173:Q174"/>
    <mergeCell ref="R173:R174"/>
    <mergeCell ref="S173:S174"/>
    <mergeCell ref="C187:C188"/>
    <mergeCell ref="C193:C194"/>
    <mergeCell ref="D193:D194"/>
    <mergeCell ref="E193:E194"/>
    <mergeCell ref="N193:N194"/>
    <mergeCell ref="O193:O194"/>
    <mergeCell ref="P193:P194"/>
    <mergeCell ref="Q193:Q194"/>
    <mergeCell ref="R193:R194"/>
    <mergeCell ref="B161:B194"/>
    <mergeCell ref="Q189:Q190"/>
    <mergeCell ref="R189:R190"/>
    <mergeCell ref="C169:C170"/>
    <mergeCell ref="D177:D178"/>
    <mergeCell ref="E177:E178"/>
    <mergeCell ref="N177:N178"/>
    <mergeCell ref="O177:O178"/>
    <mergeCell ref="P177:P178"/>
    <mergeCell ref="P171:P172"/>
    <mergeCell ref="Q171:Q172"/>
    <mergeCell ref="C175:C176"/>
    <mergeCell ref="D175:D176"/>
    <mergeCell ref="E175:E176"/>
    <mergeCell ref="N175:N176"/>
    <mergeCell ref="O175:O176"/>
    <mergeCell ref="D202:D203"/>
    <mergeCell ref="D204:D205"/>
    <mergeCell ref="D206:D207"/>
    <mergeCell ref="D200:D201"/>
    <mergeCell ref="S193:S194"/>
    <mergeCell ref="E195:E196"/>
    <mergeCell ref="M195:M196"/>
    <mergeCell ref="N195:N196"/>
    <mergeCell ref="O195:O196"/>
    <mergeCell ref="P195:P196"/>
    <mergeCell ref="Q195:Q196"/>
    <mergeCell ref="R195:R196"/>
    <mergeCell ref="S195:S196"/>
  </mergeCells>
  <conditionalFormatting sqref="P7">
    <cfRule type="cellIs" dxfId="4" priority="4" operator="greaterThan">
      <formula>0.9</formula>
    </cfRule>
  </conditionalFormatting>
  <conditionalFormatting sqref="P7">
    <cfRule type="dataBar" priority="3">
      <dataBar>
        <cfvo type="min" val="0"/>
        <cfvo type="max" val="0"/>
        <color rgb="FF008AEF"/>
      </dataBar>
    </cfRule>
  </conditionalFormatting>
  <conditionalFormatting sqref="J12 J14 J16 J20 J24 J28 J32 J36 J40 J18 J22 J26 J30 J34 J38 J42">
    <cfRule type="cellIs" dxfId="3" priority="2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BL291"/>
  <sheetViews>
    <sheetView showGridLines="0" tabSelected="1" topLeftCell="I229" zoomScale="62" zoomScaleNormal="62" workbookViewId="0">
      <selection activeCell="R253" sqref="R253"/>
    </sheetView>
  </sheetViews>
  <sheetFormatPr baseColWidth="10" defaultColWidth="11.44140625" defaultRowHeight="14.4"/>
  <cols>
    <col min="1" max="1" width="2.33203125" style="57" hidden="1" customWidth="1"/>
    <col min="2" max="2" width="6.44140625" style="57" customWidth="1"/>
    <col min="3" max="3" width="16" style="54" customWidth="1"/>
    <col min="4" max="4" width="15.88671875" style="54" customWidth="1"/>
    <col min="5" max="5" width="31.5546875" style="54" customWidth="1"/>
    <col min="6" max="6" width="15.5546875" style="54" bestFit="1" customWidth="1"/>
    <col min="7" max="7" width="16.109375" style="54" customWidth="1"/>
    <col min="8" max="8" width="15.77734375" style="3" customWidth="1"/>
    <col min="9" max="9" width="19.33203125" style="54" customWidth="1"/>
    <col min="10" max="10" width="17.6640625" style="54" customWidth="1"/>
    <col min="11" max="11" width="20.44140625" style="54" customWidth="1"/>
    <col min="12" max="12" width="15" style="54" customWidth="1"/>
    <col min="13" max="13" width="16" style="54" customWidth="1"/>
    <col min="14" max="14" width="16.6640625" style="54" customWidth="1"/>
    <col min="15" max="15" width="14" style="3" customWidth="1"/>
    <col min="16" max="16" width="16" style="54" customWidth="1"/>
    <col min="17" max="17" width="13.33203125" style="54" customWidth="1"/>
    <col min="18" max="18" width="18.6640625" style="54" customWidth="1"/>
    <col min="19" max="19" width="12.88671875" style="54" customWidth="1"/>
    <col min="20" max="20" width="9.6640625" style="54" hidden="1" customWidth="1"/>
    <col min="21" max="21" width="16" style="54" customWidth="1"/>
    <col min="22" max="22" width="14.6640625" style="54" customWidth="1"/>
    <col min="23" max="23" width="25.6640625" style="54" customWidth="1"/>
    <col min="24" max="24" width="18.44140625" style="54" customWidth="1"/>
    <col min="25" max="25" width="40" style="54" customWidth="1"/>
    <col min="26" max="26" width="16" style="54" bestFit="1" customWidth="1"/>
    <col min="27" max="27" width="12.33203125" style="54" bestFit="1" customWidth="1"/>
    <col min="28" max="28" width="17.33203125" style="54" bestFit="1" customWidth="1"/>
    <col min="29" max="29" width="23" style="54" bestFit="1" customWidth="1"/>
    <col min="30" max="30" width="18.33203125" style="54" bestFit="1" customWidth="1"/>
    <col min="31" max="31" width="15" style="54" customWidth="1"/>
    <col min="32" max="32" width="12.5546875" style="54" bestFit="1" customWidth="1"/>
    <col min="33" max="33" width="14.5546875" style="54" bestFit="1" customWidth="1"/>
    <col min="34" max="34" width="16" style="54" bestFit="1" customWidth="1"/>
    <col min="35" max="35" width="21" style="54" bestFit="1" customWidth="1"/>
    <col min="36" max="36" width="23" style="54" bestFit="1" customWidth="1"/>
    <col min="37" max="37" width="18.33203125" style="54" bestFit="1" customWidth="1"/>
    <col min="38" max="38" width="21.5546875" style="54" bestFit="1" customWidth="1"/>
    <col min="39" max="39" width="12.5546875" style="54" bestFit="1" customWidth="1"/>
    <col min="40" max="40" width="9.6640625" style="54" bestFit="1" customWidth="1"/>
    <col min="41" max="41" width="14.109375" style="54" bestFit="1" customWidth="1"/>
    <col min="42" max="42" width="10" style="54" bestFit="1" customWidth="1"/>
    <col min="43" max="43" width="15.5546875" style="54" customWidth="1"/>
    <col min="44" max="44" width="44.44140625" style="54" customWidth="1"/>
    <col min="45" max="45" width="14.5546875" style="54" bestFit="1" customWidth="1"/>
    <col min="46" max="46" width="12.33203125" style="8" bestFit="1" customWidth="1"/>
    <col min="47" max="47" width="21.88671875" style="54" customWidth="1"/>
    <col min="48" max="48" width="23" style="54" bestFit="1" customWidth="1"/>
    <col min="49" max="49" width="18.33203125" style="54" bestFit="1" customWidth="1"/>
    <col min="50" max="50" width="14.5546875" style="54" customWidth="1"/>
    <col min="51" max="51" width="17.44140625" style="54" customWidth="1"/>
    <col min="52" max="52" width="9.33203125" style="54" bestFit="1" customWidth="1"/>
    <col min="53" max="53" width="14.5546875" style="54" bestFit="1" customWidth="1"/>
    <col min="54" max="54" width="21" style="54" bestFit="1" customWidth="1"/>
    <col min="55" max="55" width="23" style="54" bestFit="1" customWidth="1"/>
    <col min="56" max="56" width="18.33203125" style="54" bestFit="1" customWidth="1"/>
    <col min="57" max="57" width="21.5546875" style="54" bestFit="1" customWidth="1"/>
    <col min="58" max="58" width="12.5546875" style="54" bestFit="1" customWidth="1"/>
    <col min="59" max="59" width="9.6640625" style="54" bestFit="1" customWidth="1"/>
    <col min="60" max="60" width="14.109375" style="54" bestFit="1" customWidth="1"/>
    <col min="61" max="61" width="6.44140625" style="54" hidden="1" customWidth="1"/>
    <col min="62" max="62" width="24.6640625" style="54" customWidth="1"/>
    <col min="63" max="63" width="16.6640625" style="54" customWidth="1"/>
    <col min="64" max="64" width="42.44140625" style="54" bestFit="1" customWidth="1"/>
    <col min="65" max="65" width="18.33203125" style="54" customWidth="1"/>
    <col min="66" max="66" width="11.44140625" style="54"/>
    <col min="67" max="67" width="14.88671875" style="54" bestFit="1" customWidth="1"/>
    <col min="68" max="68" width="20.6640625" style="54" customWidth="1"/>
    <col min="69" max="69" width="15.6640625" style="54" customWidth="1"/>
    <col min="70" max="70" width="11.44140625" style="54"/>
    <col min="71" max="71" width="14" style="54" customWidth="1"/>
    <col min="72" max="72" width="11.44140625" style="54"/>
    <col min="73" max="73" width="17.5546875" style="54" customWidth="1"/>
    <col min="74" max="74" width="21" style="54" bestFit="1" customWidth="1"/>
    <col min="75" max="75" width="14.109375" style="54" bestFit="1" customWidth="1"/>
    <col min="76" max="76" width="18.33203125" style="54" bestFit="1" customWidth="1"/>
    <col min="77" max="77" width="12.6640625" style="54" bestFit="1" customWidth="1"/>
    <col min="78" max="78" width="12.5546875" style="54" bestFit="1" customWidth="1"/>
    <col min="79" max="79" width="9.6640625" style="54" bestFit="1" customWidth="1"/>
    <col min="80" max="80" width="14.109375" style="54" bestFit="1" customWidth="1"/>
    <col min="81" max="16384" width="11.44140625" style="54"/>
  </cols>
  <sheetData>
    <row r="1" spans="1:64" ht="15" thickBot="1">
      <c r="J1" s="55"/>
    </row>
    <row r="2" spans="1:64" ht="21">
      <c r="C2" s="767" t="s">
        <v>100</v>
      </c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9"/>
    </row>
    <row r="3" spans="1:64" ht="21.6" thickBot="1">
      <c r="C3" s="770">
        <f>+'Resumen Cuota Global'!B4</f>
        <v>43510</v>
      </c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2"/>
    </row>
    <row r="4" spans="1:64" ht="2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64" ht="21">
      <c r="C5" s="179" t="s">
        <v>76</v>
      </c>
      <c r="D5" s="180" t="s">
        <v>36</v>
      </c>
      <c r="E5" s="773" t="s">
        <v>46</v>
      </c>
      <c r="F5" s="773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3"/>
      <c r="AU5" s="62"/>
      <c r="AV5" s="62"/>
      <c r="AW5" s="62"/>
      <c r="AX5" s="62"/>
    </row>
    <row r="6" spans="1:64" ht="21">
      <c r="C6" s="774" t="s">
        <v>101</v>
      </c>
      <c r="D6" s="64" t="s">
        <v>38</v>
      </c>
      <c r="E6" s="618">
        <v>1090</v>
      </c>
      <c r="F6" s="618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3"/>
      <c r="AU6" s="62"/>
      <c r="AV6" s="62"/>
      <c r="AW6" s="62"/>
      <c r="AX6" s="62"/>
    </row>
    <row r="7" spans="1:64" ht="21">
      <c r="C7" s="774"/>
      <c r="D7" s="65" t="s">
        <v>39</v>
      </c>
      <c r="E7" s="775" t="s">
        <v>40</v>
      </c>
      <c r="F7" s="775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3"/>
      <c r="AU7" s="62"/>
      <c r="AV7" s="62"/>
      <c r="AW7" s="62"/>
      <c r="AX7" s="62"/>
    </row>
    <row r="8" spans="1:64" ht="21">
      <c r="C8" s="774"/>
      <c r="D8" s="64" t="s">
        <v>102</v>
      </c>
      <c r="E8" s="618">
        <v>627</v>
      </c>
      <c r="F8" s="618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3"/>
      <c r="AU8" s="62"/>
      <c r="AV8" s="62"/>
      <c r="AW8" s="62"/>
      <c r="AX8" s="62"/>
    </row>
    <row r="9" spans="1:64" ht="21">
      <c r="C9" s="774"/>
      <c r="D9" s="181" t="s">
        <v>42</v>
      </c>
      <c r="E9" s="773">
        <f>SUM(E6:F8)</f>
        <v>1717</v>
      </c>
      <c r="F9" s="776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62"/>
      <c r="AP9" s="62"/>
      <c r="AQ9" s="62"/>
      <c r="AR9" s="62"/>
      <c r="AS9" s="62"/>
      <c r="AT9" s="63"/>
      <c r="AU9" s="62"/>
      <c r="AV9" s="62"/>
      <c r="AW9" s="62"/>
      <c r="AX9" s="62"/>
    </row>
    <row r="10" spans="1:64" ht="21.6" thickBot="1">
      <c r="C10" s="66"/>
      <c r="D10" s="67"/>
      <c r="E10" s="67"/>
      <c r="F10" s="67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62"/>
      <c r="AP10" s="62"/>
      <c r="AQ10" s="62"/>
      <c r="AR10" s="62"/>
      <c r="AS10" s="62"/>
      <c r="AT10" s="63"/>
      <c r="AU10" s="62"/>
      <c r="AV10" s="62"/>
      <c r="AW10" s="62"/>
      <c r="AX10" s="62"/>
    </row>
    <row r="11" spans="1:64" ht="36.6" thickBot="1">
      <c r="C11" s="68" t="s">
        <v>103</v>
      </c>
      <c r="D11" s="61" t="s">
        <v>36</v>
      </c>
      <c r="E11" s="759" t="s">
        <v>104</v>
      </c>
      <c r="F11" s="760"/>
      <c r="G11" s="69" t="s">
        <v>46</v>
      </c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1"/>
      <c r="V11" s="171"/>
      <c r="W11" s="171"/>
      <c r="X11" s="171"/>
      <c r="Y11" s="171"/>
      <c r="Z11" s="165"/>
      <c r="AA11" s="165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</row>
    <row r="12" spans="1:64">
      <c r="C12" s="761" t="s">
        <v>106</v>
      </c>
      <c r="D12" s="71" t="s">
        <v>38</v>
      </c>
      <c r="E12" s="762" t="s">
        <v>107</v>
      </c>
      <c r="F12" s="763">
        <v>7.9365079364999997E-3</v>
      </c>
      <c r="G12" s="72">
        <f>F12*E6*70</f>
        <v>605.55555555494993</v>
      </c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1"/>
      <c r="V12" s="171"/>
      <c r="W12" s="171"/>
      <c r="X12" s="171"/>
      <c r="Y12" s="171"/>
      <c r="Z12" s="165"/>
      <c r="AA12" s="165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</row>
    <row r="13" spans="1:64" ht="15" thickBot="1">
      <c r="C13" s="761"/>
      <c r="D13" s="71" t="s">
        <v>102</v>
      </c>
      <c r="E13" s="766"/>
      <c r="F13" s="763"/>
      <c r="G13" s="73">
        <f>+F12*$E$8*70</f>
        <v>348.33333333298498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1"/>
      <c r="V13" s="171"/>
      <c r="W13" s="171"/>
      <c r="X13" s="171"/>
      <c r="Y13" s="171"/>
      <c r="Z13" s="165"/>
      <c r="AA13" s="165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BL13" s="70"/>
    </row>
    <row r="14" spans="1:64">
      <c r="C14" s="761" t="s">
        <v>108</v>
      </c>
      <c r="D14" s="71" t="s">
        <v>38</v>
      </c>
      <c r="E14" s="762" t="s">
        <v>109</v>
      </c>
      <c r="F14" s="763"/>
      <c r="G14" s="73">
        <f>+F12*$E$6*56</f>
        <v>484.44444444395998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1"/>
      <c r="V14" s="171"/>
      <c r="W14" s="171"/>
      <c r="X14" s="171"/>
      <c r="Y14" s="171"/>
      <c r="Z14" s="165"/>
      <c r="AA14" s="165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R14" s="70"/>
      <c r="BK14" s="70"/>
      <c r="BL14" s="70"/>
    </row>
    <row r="15" spans="1:64" s="70" customFormat="1" ht="15" thickBot="1">
      <c r="A15" s="57"/>
      <c r="B15" s="57"/>
      <c r="C15" s="765"/>
      <c r="D15" s="74" t="s">
        <v>102</v>
      </c>
      <c r="E15" s="762"/>
      <c r="F15" s="764"/>
      <c r="G15" s="75">
        <f>+F12*$E$8*56</f>
        <v>278.66666666638798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2"/>
      <c r="V15" s="172"/>
      <c r="W15" s="172"/>
      <c r="X15" s="172"/>
      <c r="Y15" s="172"/>
      <c r="Z15" s="166"/>
      <c r="AA15" s="166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T15" s="8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64">
      <c r="C16" s="76"/>
      <c r="D16" s="58"/>
      <c r="E16" s="58">
        <f>70+56</f>
        <v>126</v>
      </c>
      <c r="F16" s="3">
        <f>+E16*F12</f>
        <v>0.99999999999899991</v>
      </c>
      <c r="I16" s="172"/>
      <c r="J16" s="172"/>
      <c r="K16" s="172"/>
      <c r="L16" s="172"/>
      <c r="M16" s="172"/>
      <c r="N16" s="172"/>
      <c r="O16" s="173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</row>
    <row r="17" spans="1:25" ht="15" thickBot="1">
      <c r="I17" s="172"/>
      <c r="J17" s="172"/>
      <c r="K17" s="172"/>
      <c r="L17" s="172"/>
      <c r="M17" s="172"/>
      <c r="N17" s="172"/>
      <c r="O17" s="173"/>
      <c r="P17" s="172"/>
      <c r="Q17" s="172"/>
      <c r="R17" s="172"/>
      <c r="S17" s="172"/>
      <c r="T17" s="172"/>
      <c r="U17" s="172"/>
      <c r="V17" s="172"/>
      <c r="W17" s="172"/>
      <c r="X17" s="172"/>
      <c r="Y17" s="172"/>
    </row>
    <row r="18" spans="1:25" ht="47.4" thickBot="1">
      <c r="A18" s="167" t="s">
        <v>110</v>
      </c>
      <c r="B18" s="168" t="s">
        <v>111</v>
      </c>
      <c r="C18" s="168" t="s">
        <v>103</v>
      </c>
      <c r="D18" s="61" t="s">
        <v>36</v>
      </c>
      <c r="E18" s="61" t="s">
        <v>112</v>
      </c>
      <c r="F18" s="61" t="s">
        <v>113</v>
      </c>
      <c r="G18" s="61" t="s">
        <v>46</v>
      </c>
      <c r="H18" s="147" t="s">
        <v>4</v>
      </c>
      <c r="I18" s="147" t="s">
        <v>47</v>
      </c>
      <c r="J18" s="148" t="s">
        <v>6</v>
      </c>
      <c r="K18" s="147" t="s">
        <v>114</v>
      </c>
      <c r="L18" s="149" t="s">
        <v>49</v>
      </c>
      <c r="M18" s="150" t="s">
        <v>105</v>
      </c>
      <c r="N18" s="220" t="s">
        <v>3</v>
      </c>
      <c r="O18" s="221" t="s">
        <v>4</v>
      </c>
      <c r="P18" s="221" t="s">
        <v>5</v>
      </c>
      <c r="Q18" s="221" t="s">
        <v>6</v>
      </c>
      <c r="R18" s="221" t="s">
        <v>52</v>
      </c>
      <c r="S18" s="222" t="s">
        <v>473</v>
      </c>
      <c r="T18" s="222" t="s">
        <v>474</v>
      </c>
    </row>
    <row r="19" spans="1:25" ht="15" customHeight="1">
      <c r="A19" s="57">
        <v>1</v>
      </c>
      <c r="B19" s="182">
        <v>1</v>
      </c>
      <c r="C19" s="176" t="s">
        <v>106</v>
      </c>
      <c r="D19" s="177" t="s">
        <v>38</v>
      </c>
      <c r="E19" s="178" t="s">
        <v>115</v>
      </c>
      <c r="F19" s="178">
        <v>964551</v>
      </c>
      <c r="G19" s="183">
        <v>8.6507857139999995</v>
      </c>
      <c r="H19" s="1123">
        <v>-13.627000000000001</v>
      </c>
      <c r="I19" s="79">
        <f>G19+H19</f>
        <v>-4.9762142860000012</v>
      </c>
      <c r="J19" s="80"/>
      <c r="K19" s="214">
        <f>I19-J19</f>
        <v>-4.9762142860000012</v>
      </c>
      <c r="L19" s="216">
        <f>J19/I19</f>
        <v>0</v>
      </c>
      <c r="M19" s="218" t="s">
        <v>32</v>
      </c>
      <c r="N19" s="81">
        <f>G19+G20</f>
        <v>13.626971427999999</v>
      </c>
      <c r="O19" s="82">
        <f>H19+H20</f>
        <v>-13.627000000000001</v>
      </c>
      <c r="P19" s="81">
        <f>N19+O19</f>
        <v>-2.8572000001503284E-5</v>
      </c>
      <c r="Q19" s="83">
        <f>J19+J20</f>
        <v>0</v>
      </c>
      <c r="R19" s="81">
        <f>P19-Q19</f>
        <v>-2.8572000001503284E-5</v>
      </c>
      <c r="S19" s="757">
        <f>Q19/P19</f>
        <v>0</v>
      </c>
      <c r="T19" s="1136">
        <f>100%-(R19/N19)</f>
        <v>1.0000020967241439</v>
      </c>
    </row>
    <row r="20" spans="1:25" ht="15" customHeight="1" thickBot="1">
      <c r="A20" s="57">
        <v>2</v>
      </c>
      <c r="B20" s="182">
        <v>1</v>
      </c>
      <c r="C20" s="199" t="s">
        <v>106</v>
      </c>
      <c r="D20" s="200" t="s">
        <v>102</v>
      </c>
      <c r="E20" s="201" t="s">
        <v>115</v>
      </c>
      <c r="F20" s="201">
        <v>964551</v>
      </c>
      <c r="G20" s="202">
        <v>4.9761857139999996</v>
      </c>
      <c r="H20" s="203"/>
      <c r="I20" s="204">
        <f>G20+H20+K19</f>
        <v>-2.8572000001503284E-5</v>
      </c>
      <c r="J20" s="205"/>
      <c r="K20" s="215">
        <f>I20-J20</f>
        <v>-2.8572000001503284E-5</v>
      </c>
      <c r="L20" s="217">
        <f>J20/I20</f>
        <v>0</v>
      </c>
      <c r="M20" s="219" t="s">
        <v>32</v>
      </c>
      <c r="N20" s="84"/>
      <c r="O20" s="84"/>
      <c r="P20" s="84"/>
      <c r="Q20" s="84"/>
      <c r="R20" s="84"/>
      <c r="S20" s="758"/>
      <c r="T20" s="1137"/>
    </row>
    <row r="21" spans="1:25" ht="15" customHeight="1">
      <c r="A21" s="57">
        <v>3</v>
      </c>
      <c r="B21" s="182">
        <v>2</v>
      </c>
      <c r="C21" s="176" t="s">
        <v>106</v>
      </c>
      <c r="D21" s="177" t="s">
        <v>38</v>
      </c>
      <c r="E21" s="178" t="s">
        <v>116</v>
      </c>
      <c r="F21" s="178">
        <v>903675</v>
      </c>
      <c r="G21" s="183">
        <v>8.6507857139999995</v>
      </c>
      <c r="H21" s="1123">
        <v>-13.627000000000001</v>
      </c>
      <c r="I21" s="79">
        <f>G21+H21</f>
        <v>-4.9762142860000012</v>
      </c>
      <c r="J21" s="80"/>
      <c r="K21" s="214">
        <f>I21-J21</f>
        <v>-4.9762142860000012</v>
      </c>
      <c r="L21" s="216">
        <f>J21/I21</f>
        <v>0</v>
      </c>
      <c r="M21" s="218" t="s">
        <v>32</v>
      </c>
      <c r="N21" s="81">
        <f>G21+G22</f>
        <v>13.626971427999999</v>
      </c>
      <c r="O21" s="82">
        <f>H21+H22</f>
        <v>-13.627000000000001</v>
      </c>
      <c r="P21" s="81">
        <f>N21+O21</f>
        <v>-2.8572000001503284E-5</v>
      </c>
      <c r="Q21" s="83">
        <f>J21+J22</f>
        <v>0</v>
      </c>
      <c r="R21" s="81">
        <f>P21-Q21</f>
        <v>-2.8572000001503284E-5</v>
      </c>
      <c r="S21" s="757">
        <f>Q21/P21</f>
        <v>0</v>
      </c>
      <c r="T21" s="1136">
        <f t="shared" ref="T21:T30" si="0">100%-(R21/N21)</f>
        <v>1.0000020967241439</v>
      </c>
    </row>
    <row r="22" spans="1:25" ht="15" customHeight="1" thickBot="1">
      <c r="A22" s="57">
        <v>4</v>
      </c>
      <c r="B22" s="182">
        <v>2</v>
      </c>
      <c r="C22" s="199" t="s">
        <v>106</v>
      </c>
      <c r="D22" s="200" t="s">
        <v>102</v>
      </c>
      <c r="E22" s="201" t="s">
        <v>116</v>
      </c>
      <c r="F22" s="201">
        <v>903675</v>
      </c>
      <c r="G22" s="202">
        <v>4.9761857139999996</v>
      </c>
      <c r="H22" s="203"/>
      <c r="I22" s="204">
        <f>G22+H22+K21</f>
        <v>-2.8572000001503284E-5</v>
      </c>
      <c r="J22" s="205"/>
      <c r="K22" s="215">
        <f t="shared" ref="K22:K85" si="1">I22-J22</f>
        <v>-2.8572000001503284E-5</v>
      </c>
      <c r="L22" s="217">
        <f>J22/I22</f>
        <v>0</v>
      </c>
      <c r="M22" s="219" t="s">
        <v>32</v>
      </c>
      <c r="N22" s="84"/>
      <c r="O22" s="84"/>
      <c r="P22" s="84"/>
      <c r="Q22" s="84"/>
      <c r="R22" s="84"/>
      <c r="S22" s="758"/>
      <c r="T22" s="1137"/>
    </row>
    <row r="23" spans="1:25" ht="15" customHeight="1">
      <c r="A23" s="57">
        <v>5</v>
      </c>
      <c r="B23" s="182">
        <f>+B21+$B$19</f>
        <v>3</v>
      </c>
      <c r="C23" s="176" t="s">
        <v>106</v>
      </c>
      <c r="D23" s="177" t="s">
        <v>38</v>
      </c>
      <c r="E23" s="178" t="s">
        <v>117</v>
      </c>
      <c r="F23" s="178">
        <v>954587</v>
      </c>
      <c r="G23" s="183">
        <v>8.6507857139999995</v>
      </c>
      <c r="H23" s="1123">
        <v>-13.627000000000001</v>
      </c>
      <c r="I23" s="79">
        <f t="shared" ref="I23" si="2">G23+H23</f>
        <v>-4.9762142860000012</v>
      </c>
      <c r="J23" s="80"/>
      <c r="K23" s="214">
        <f t="shared" si="1"/>
        <v>-4.9762142860000012</v>
      </c>
      <c r="L23" s="216">
        <f t="shared" ref="L23:L86" si="3">J23/I23</f>
        <v>0</v>
      </c>
      <c r="M23" s="218" t="s">
        <v>32</v>
      </c>
      <c r="N23" s="81">
        <f t="shared" ref="N23:O23" si="4">G23+G24</f>
        <v>13.626971427999999</v>
      </c>
      <c r="O23" s="82">
        <f t="shared" si="4"/>
        <v>-13.627000000000001</v>
      </c>
      <c r="P23" s="81">
        <f t="shared" ref="P23" si="5">N23+O23</f>
        <v>-2.8572000001503284E-5</v>
      </c>
      <c r="Q23" s="83">
        <f t="shared" ref="Q23" si="6">J23+J24</f>
        <v>0</v>
      </c>
      <c r="R23" s="81">
        <f t="shared" ref="R23" si="7">P23-Q23</f>
        <v>-2.8572000001503284E-5</v>
      </c>
      <c r="S23" s="757">
        <f t="shared" ref="S23" si="8">Q23/P23</f>
        <v>0</v>
      </c>
      <c r="T23" s="1136">
        <f t="shared" ref="T23:T30" si="9">100%-(R23/N23)</f>
        <v>1.0000020967241439</v>
      </c>
    </row>
    <row r="24" spans="1:25" ht="15" customHeight="1" thickBot="1">
      <c r="A24" s="57">
        <v>6</v>
      </c>
      <c r="B24" s="182">
        <f>+B22+$B$20</f>
        <v>3</v>
      </c>
      <c r="C24" s="199" t="s">
        <v>106</v>
      </c>
      <c r="D24" s="200" t="s">
        <v>102</v>
      </c>
      <c r="E24" s="201" t="s">
        <v>117</v>
      </c>
      <c r="F24" s="201">
        <v>954587</v>
      </c>
      <c r="G24" s="202">
        <v>4.9761857139999996</v>
      </c>
      <c r="H24" s="203"/>
      <c r="I24" s="204">
        <f t="shared" ref="I24" si="10">G24+H24+K23</f>
        <v>-2.8572000001503284E-5</v>
      </c>
      <c r="J24" s="205"/>
      <c r="K24" s="215">
        <f t="shared" si="1"/>
        <v>-2.8572000001503284E-5</v>
      </c>
      <c r="L24" s="217">
        <f t="shared" si="3"/>
        <v>0</v>
      </c>
      <c r="M24" s="219" t="s">
        <v>32</v>
      </c>
      <c r="N24" s="84"/>
      <c r="O24" s="84"/>
      <c r="P24" s="84"/>
      <c r="Q24" s="84"/>
      <c r="R24" s="84"/>
      <c r="S24" s="758"/>
      <c r="T24" s="1137"/>
    </row>
    <row r="25" spans="1:25" ht="15" customHeight="1">
      <c r="A25" s="57">
        <v>7</v>
      </c>
      <c r="B25" s="182">
        <f>+B23+$B$19</f>
        <v>4</v>
      </c>
      <c r="C25" s="176" t="s">
        <v>106</v>
      </c>
      <c r="D25" s="177" t="s">
        <v>38</v>
      </c>
      <c r="E25" s="178" t="s">
        <v>118</v>
      </c>
      <c r="F25" s="178">
        <v>922442</v>
      </c>
      <c r="G25" s="183">
        <v>8.6507857139999995</v>
      </c>
      <c r="H25" s="1123">
        <v>-13.627000000000001</v>
      </c>
      <c r="I25" s="79">
        <f t="shared" ref="I25" si="11">G25+H25</f>
        <v>-4.9762142860000012</v>
      </c>
      <c r="J25" s="80"/>
      <c r="K25" s="214">
        <f t="shared" si="1"/>
        <v>-4.9762142860000012</v>
      </c>
      <c r="L25" s="216">
        <f t="shared" si="3"/>
        <v>0</v>
      </c>
      <c r="M25" s="218" t="s">
        <v>32</v>
      </c>
      <c r="N25" s="81">
        <f t="shared" ref="N25:O25" si="12">G25+G26</f>
        <v>13.626971427999999</v>
      </c>
      <c r="O25" s="82">
        <f t="shared" si="12"/>
        <v>-13.627000000000001</v>
      </c>
      <c r="P25" s="81">
        <f t="shared" ref="P25" si="13">N25+O25</f>
        <v>-2.8572000001503284E-5</v>
      </c>
      <c r="Q25" s="83">
        <f t="shared" ref="Q25" si="14">J25+J26</f>
        <v>0</v>
      </c>
      <c r="R25" s="81">
        <f t="shared" ref="R25" si="15">P25-Q25</f>
        <v>-2.8572000001503284E-5</v>
      </c>
      <c r="S25" s="757">
        <f t="shared" ref="S25" si="16">Q25/P25</f>
        <v>0</v>
      </c>
      <c r="T25" s="1136">
        <f t="shared" ref="T25:T30" si="17">100%-(R25/N25)</f>
        <v>1.0000020967241439</v>
      </c>
    </row>
    <row r="26" spans="1:25" ht="15" customHeight="1" thickBot="1">
      <c r="A26" s="57">
        <v>8</v>
      </c>
      <c r="B26" s="182">
        <f>+B24+$B$20</f>
        <v>4</v>
      </c>
      <c r="C26" s="199" t="s">
        <v>106</v>
      </c>
      <c r="D26" s="200" t="s">
        <v>102</v>
      </c>
      <c r="E26" s="201" t="s">
        <v>118</v>
      </c>
      <c r="F26" s="201">
        <v>922442</v>
      </c>
      <c r="G26" s="202">
        <v>4.9761857139999996</v>
      </c>
      <c r="H26" s="203"/>
      <c r="I26" s="204">
        <f t="shared" ref="I26" si="18">G26+H26+K25</f>
        <v>-2.8572000001503284E-5</v>
      </c>
      <c r="J26" s="205"/>
      <c r="K26" s="215">
        <f t="shared" si="1"/>
        <v>-2.8572000001503284E-5</v>
      </c>
      <c r="L26" s="217">
        <f t="shared" si="3"/>
        <v>0</v>
      </c>
      <c r="M26" s="219" t="s">
        <v>32</v>
      </c>
      <c r="N26" s="84"/>
      <c r="O26" s="84"/>
      <c r="P26" s="84"/>
      <c r="Q26" s="84"/>
      <c r="R26" s="84"/>
      <c r="S26" s="758"/>
      <c r="T26" s="1137"/>
    </row>
    <row r="27" spans="1:25" ht="15" customHeight="1">
      <c r="A27" s="57">
        <v>9</v>
      </c>
      <c r="B27" s="182">
        <f t="shared" ref="B27" si="19">+B25+$B$19</f>
        <v>5</v>
      </c>
      <c r="C27" s="176" t="s">
        <v>106</v>
      </c>
      <c r="D27" s="177" t="s">
        <v>38</v>
      </c>
      <c r="E27" s="178" t="s">
        <v>119</v>
      </c>
      <c r="F27" s="178">
        <v>961932</v>
      </c>
      <c r="G27" s="183">
        <v>8.6507857139999995</v>
      </c>
      <c r="H27" s="1123">
        <v>-13.627000000000001</v>
      </c>
      <c r="I27" s="79">
        <f t="shared" ref="I27" si="20">G27+H27</f>
        <v>-4.9762142860000012</v>
      </c>
      <c r="J27" s="80"/>
      <c r="K27" s="214">
        <f t="shared" si="1"/>
        <v>-4.9762142860000012</v>
      </c>
      <c r="L27" s="216">
        <f t="shared" si="3"/>
        <v>0</v>
      </c>
      <c r="M27" s="218" t="s">
        <v>32</v>
      </c>
      <c r="N27" s="81">
        <f t="shared" ref="N27:O27" si="21">G27+G28</f>
        <v>13.626971427999999</v>
      </c>
      <c r="O27" s="82">
        <f t="shared" si="21"/>
        <v>-13.627000000000001</v>
      </c>
      <c r="P27" s="81">
        <f t="shared" ref="P27" si="22">N27+O27</f>
        <v>-2.8572000001503284E-5</v>
      </c>
      <c r="Q27" s="83">
        <f t="shared" ref="Q27" si="23">J27+J28</f>
        <v>0</v>
      </c>
      <c r="R27" s="81">
        <f t="shared" ref="R27" si="24">P27-Q27</f>
        <v>-2.8572000001503284E-5</v>
      </c>
      <c r="S27" s="757">
        <f t="shared" ref="S27" si="25">Q27/P27</f>
        <v>0</v>
      </c>
      <c r="T27" s="1136">
        <f t="shared" ref="T27:T30" si="26">100%-(R27/N27)</f>
        <v>1.0000020967241439</v>
      </c>
    </row>
    <row r="28" spans="1:25" ht="15" customHeight="1" thickBot="1">
      <c r="A28" s="57">
        <v>10</v>
      </c>
      <c r="B28" s="182">
        <f t="shared" ref="B28" si="27">+B26+$B$20</f>
        <v>5</v>
      </c>
      <c r="C28" s="199" t="s">
        <v>106</v>
      </c>
      <c r="D28" s="200" t="s">
        <v>102</v>
      </c>
      <c r="E28" s="201" t="s">
        <v>119</v>
      </c>
      <c r="F28" s="201">
        <v>961932</v>
      </c>
      <c r="G28" s="202">
        <v>4.9761857139999996</v>
      </c>
      <c r="H28" s="203"/>
      <c r="I28" s="204">
        <f t="shared" ref="I28" si="28">G28+H28+K27</f>
        <v>-2.8572000001503284E-5</v>
      </c>
      <c r="J28" s="205"/>
      <c r="K28" s="215">
        <f t="shared" si="1"/>
        <v>-2.8572000001503284E-5</v>
      </c>
      <c r="L28" s="217">
        <f t="shared" si="3"/>
        <v>0</v>
      </c>
      <c r="M28" s="219" t="s">
        <v>32</v>
      </c>
      <c r="N28" s="84"/>
      <c r="O28" s="84"/>
      <c r="P28" s="84"/>
      <c r="Q28" s="84"/>
      <c r="R28" s="84"/>
      <c r="S28" s="758"/>
      <c r="T28" s="1137"/>
    </row>
    <row r="29" spans="1:25" ht="15" customHeight="1">
      <c r="A29" s="57">
        <v>11</v>
      </c>
      <c r="B29" s="182">
        <f t="shared" ref="B29" si="29">+B27+$B$19</f>
        <v>6</v>
      </c>
      <c r="C29" s="176" t="s">
        <v>106</v>
      </c>
      <c r="D29" s="177" t="s">
        <v>38</v>
      </c>
      <c r="E29" s="178" t="s">
        <v>120</v>
      </c>
      <c r="F29" s="178">
        <v>964142</v>
      </c>
      <c r="G29" s="183">
        <v>8.6507857139999995</v>
      </c>
      <c r="H29" s="1123">
        <v>-13.627000000000001</v>
      </c>
      <c r="I29" s="79">
        <f t="shared" ref="I29" si="30">G29+H29</f>
        <v>-4.9762142860000012</v>
      </c>
      <c r="J29" s="80"/>
      <c r="K29" s="214">
        <f t="shared" si="1"/>
        <v>-4.9762142860000012</v>
      </c>
      <c r="L29" s="216">
        <f t="shared" si="3"/>
        <v>0</v>
      </c>
      <c r="M29" s="218" t="s">
        <v>32</v>
      </c>
      <c r="N29" s="81">
        <f t="shared" ref="N29:O29" si="31">G29+G30</f>
        <v>13.626971427999999</v>
      </c>
      <c r="O29" s="82">
        <f t="shared" si="31"/>
        <v>-13.627000000000001</v>
      </c>
      <c r="P29" s="81">
        <f t="shared" ref="P29" si="32">N29+O29</f>
        <v>-2.8572000001503284E-5</v>
      </c>
      <c r="Q29" s="83">
        <f t="shared" ref="Q29" si="33">J29+J30</f>
        <v>0</v>
      </c>
      <c r="R29" s="81">
        <f t="shared" ref="R29" si="34">P29-Q29</f>
        <v>-2.8572000001503284E-5</v>
      </c>
      <c r="S29" s="757">
        <f t="shared" ref="S29" si="35">Q29/P29</f>
        <v>0</v>
      </c>
      <c r="T29" s="1136">
        <f t="shared" ref="T29:T31" si="36">100%-(R29/N29)</f>
        <v>1.0000020967241439</v>
      </c>
    </row>
    <row r="30" spans="1:25" ht="15" customHeight="1" thickBot="1">
      <c r="A30" s="57">
        <v>12</v>
      </c>
      <c r="B30" s="182">
        <f t="shared" ref="B30" si="37">+B28+$B$20</f>
        <v>6</v>
      </c>
      <c r="C30" s="199" t="s">
        <v>106</v>
      </c>
      <c r="D30" s="200" t="s">
        <v>102</v>
      </c>
      <c r="E30" s="201" t="s">
        <v>120</v>
      </c>
      <c r="F30" s="201">
        <v>964142</v>
      </c>
      <c r="G30" s="202">
        <v>4.9761857139999996</v>
      </c>
      <c r="H30" s="203"/>
      <c r="I30" s="204">
        <f t="shared" ref="I30" si="38">G30+H30+K29</f>
        <v>-2.8572000001503284E-5</v>
      </c>
      <c r="J30" s="205"/>
      <c r="K30" s="215">
        <f t="shared" si="1"/>
        <v>-2.8572000001503284E-5</v>
      </c>
      <c r="L30" s="217">
        <f t="shared" si="3"/>
        <v>0</v>
      </c>
      <c r="M30" s="219" t="s">
        <v>32</v>
      </c>
      <c r="N30" s="84"/>
      <c r="O30" s="84"/>
      <c r="P30" s="84"/>
      <c r="Q30" s="84"/>
      <c r="R30" s="84"/>
      <c r="S30" s="758"/>
      <c r="T30" s="1137"/>
    </row>
    <row r="31" spans="1:25" ht="15" customHeight="1">
      <c r="A31" s="57">
        <v>13</v>
      </c>
      <c r="B31" s="182">
        <f t="shared" ref="B31" si="39">+B29+$B$19</f>
        <v>7</v>
      </c>
      <c r="C31" s="176" t="s">
        <v>106</v>
      </c>
      <c r="D31" s="177" t="s">
        <v>38</v>
      </c>
      <c r="E31" s="178" t="s">
        <v>121</v>
      </c>
      <c r="F31" s="178">
        <v>918725</v>
      </c>
      <c r="G31" s="183">
        <v>8.6507857139999995</v>
      </c>
      <c r="H31" s="78"/>
      <c r="I31" s="79">
        <f t="shared" ref="I31" si="40">G31+H31</f>
        <v>8.6507857139999995</v>
      </c>
      <c r="J31" s="80"/>
      <c r="K31" s="214">
        <f t="shared" si="1"/>
        <v>8.6507857139999995</v>
      </c>
      <c r="L31" s="216">
        <f t="shared" si="3"/>
        <v>0</v>
      </c>
      <c r="M31" s="218" t="s">
        <v>32</v>
      </c>
      <c r="N31" s="81">
        <f t="shared" ref="N31:O31" si="41">G31+G32</f>
        <v>13.626971427999999</v>
      </c>
      <c r="O31" s="82">
        <f>H31+H32+O32</f>
        <v>0</v>
      </c>
      <c r="P31" s="81">
        <f t="shared" ref="P31" si="42">N31+O31</f>
        <v>13.626971427999999</v>
      </c>
      <c r="Q31" s="83">
        <f t="shared" ref="Q31" si="43">J31+J32</f>
        <v>0</v>
      </c>
      <c r="R31" s="81">
        <f t="shared" ref="R31" si="44">P31-Q31</f>
        <v>13.626971427999999</v>
      </c>
      <c r="S31" s="757">
        <f t="shared" ref="S31" si="45">Q31/P31</f>
        <v>0</v>
      </c>
      <c r="T31" s="1143">
        <f>100%-(R31/N31)</f>
        <v>0</v>
      </c>
      <c r="U31" s="1132"/>
    </row>
    <row r="32" spans="1:25" ht="15" customHeight="1" thickBot="1">
      <c r="A32" s="57">
        <v>14</v>
      </c>
      <c r="B32" s="182">
        <f t="shared" ref="B32" si="46">+B30+$B$20</f>
        <v>7</v>
      </c>
      <c r="C32" s="199" t="s">
        <v>106</v>
      </c>
      <c r="D32" s="200" t="s">
        <v>102</v>
      </c>
      <c r="E32" s="201" t="s">
        <v>121</v>
      </c>
      <c r="F32" s="201">
        <v>918725</v>
      </c>
      <c r="G32" s="202">
        <v>4.9761857139999996</v>
      </c>
      <c r="H32" s="203"/>
      <c r="I32" s="204">
        <f t="shared" ref="I32" si="47">G32+H32+K31</f>
        <v>13.626971427999999</v>
      </c>
      <c r="J32" s="205"/>
      <c r="K32" s="215">
        <f t="shared" si="1"/>
        <v>13.626971427999999</v>
      </c>
      <c r="L32" s="217">
        <f t="shared" si="3"/>
        <v>0</v>
      </c>
      <c r="M32" s="219" t="s">
        <v>32</v>
      </c>
      <c r="N32" s="84"/>
      <c r="O32" s="84"/>
      <c r="P32" s="84"/>
      <c r="Q32" s="84"/>
      <c r="R32" s="84"/>
      <c r="S32" s="1145"/>
      <c r="T32" s="1144"/>
      <c r="U32" s="1132"/>
    </row>
    <row r="33" spans="1:20" ht="15" customHeight="1">
      <c r="A33" s="57">
        <v>15</v>
      </c>
      <c r="B33" s="182">
        <f t="shared" ref="B33" si="48">+B31+$B$19</f>
        <v>8</v>
      </c>
      <c r="C33" s="176" t="s">
        <v>106</v>
      </c>
      <c r="D33" s="177" t="s">
        <v>38</v>
      </c>
      <c r="E33" s="178" t="s">
        <v>122</v>
      </c>
      <c r="F33" s="178">
        <v>918466</v>
      </c>
      <c r="G33" s="183">
        <v>8.6507857139999995</v>
      </c>
      <c r="H33" s="1127">
        <v>-13</v>
      </c>
      <c r="I33" s="79">
        <f t="shared" ref="I33" si="49">G33+H33</f>
        <v>-4.3492142860000005</v>
      </c>
      <c r="J33" s="80"/>
      <c r="K33" s="214">
        <f t="shared" si="1"/>
        <v>-4.3492142860000005</v>
      </c>
      <c r="L33" s="216">
        <f t="shared" si="3"/>
        <v>0</v>
      </c>
      <c r="M33" s="218" t="s">
        <v>32</v>
      </c>
      <c r="N33" s="81">
        <f t="shared" ref="N33:O33" si="50">G33+G34</f>
        <v>13.626971427999999</v>
      </c>
      <c r="O33" s="82">
        <f t="shared" si="50"/>
        <v>-13</v>
      </c>
      <c r="P33" s="81">
        <f t="shared" ref="P33" si="51">N33+O33</f>
        <v>0.62697142799999916</v>
      </c>
      <c r="Q33" s="83">
        <f t="shared" ref="Q33" si="52">J33+J34</f>
        <v>0</v>
      </c>
      <c r="R33" s="81">
        <f t="shared" ref="R33" si="53">P33-Q33</f>
        <v>0.62697142799999916</v>
      </c>
      <c r="S33" s="757">
        <f t="shared" ref="S33" si="54">Q33/P33</f>
        <v>0</v>
      </c>
      <c r="T33" s="1136">
        <f>100%-(R33/N33)</f>
        <v>0.95399040562221105</v>
      </c>
    </row>
    <row r="34" spans="1:20" ht="15" customHeight="1" thickBot="1">
      <c r="A34" s="57">
        <v>16</v>
      </c>
      <c r="B34" s="182">
        <f t="shared" ref="B34" si="55">+B32+$B$20</f>
        <v>8</v>
      </c>
      <c r="C34" s="199" t="s">
        <v>106</v>
      </c>
      <c r="D34" s="200" t="s">
        <v>102</v>
      </c>
      <c r="E34" s="201" t="s">
        <v>122</v>
      </c>
      <c r="F34" s="201">
        <v>918466</v>
      </c>
      <c r="G34" s="202">
        <v>4.9761857139999996</v>
      </c>
      <c r="H34" s="203"/>
      <c r="I34" s="204">
        <f t="shared" ref="I34" si="56">G34+H34+K33</f>
        <v>0.62697142799999916</v>
      </c>
      <c r="J34" s="205"/>
      <c r="K34" s="215">
        <f t="shared" si="1"/>
        <v>0.62697142799999916</v>
      </c>
      <c r="L34" s="217">
        <f t="shared" si="3"/>
        <v>0</v>
      </c>
      <c r="M34" s="219" t="s">
        <v>32</v>
      </c>
      <c r="N34" s="84"/>
      <c r="O34" s="84"/>
      <c r="P34" s="84"/>
      <c r="Q34" s="84"/>
      <c r="R34" s="84"/>
      <c r="S34" s="758"/>
      <c r="T34" s="1137"/>
    </row>
    <row r="35" spans="1:20" ht="15" customHeight="1">
      <c r="A35" s="57">
        <v>17</v>
      </c>
      <c r="B35" s="182">
        <f t="shared" ref="B35" si="57">+B33+$B$19</f>
        <v>9</v>
      </c>
      <c r="C35" s="176" t="s">
        <v>106</v>
      </c>
      <c r="D35" s="177" t="s">
        <v>38</v>
      </c>
      <c r="E35" s="178" t="s">
        <v>123</v>
      </c>
      <c r="F35" s="178">
        <v>951943</v>
      </c>
      <c r="G35" s="183">
        <v>8.6507857139999995</v>
      </c>
      <c r="H35" s="1123">
        <v>-13.627000000000001</v>
      </c>
      <c r="I35" s="79">
        <f t="shared" ref="I35" si="58">G35+H35</f>
        <v>-4.9762142860000012</v>
      </c>
      <c r="J35" s="80"/>
      <c r="K35" s="214">
        <f t="shared" si="1"/>
        <v>-4.9762142860000012</v>
      </c>
      <c r="L35" s="216">
        <f t="shared" si="3"/>
        <v>0</v>
      </c>
      <c r="M35" s="218" t="s">
        <v>32</v>
      </c>
      <c r="N35" s="81">
        <f t="shared" ref="N35:O35" si="59">G35+G36</f>
        <v>13.626971427999999</v>
      </c>
      <c r="O35" s="82">
        <f t="shared" si="59"/>
        <v>-13.627000000000001</v>
      </c>
      <c r="P35" s="81">
        <f t="shared" ref="P35" si="60">N35+O35</f>
        <v>-2.8572000001503284E-5</v>
      </c>
      <c r="Q35" s="83">
        <f t="shared" ref="Q35" si="61">J35+J36</f>
        <v>0</v>
      </c>
      <c r="R35" s="81">
        <f t="shared" ref="R35" si="62">P35-Q35</f>
        <v>-2.8572000001503284E-5</v>
      </c>
      <c r="S35" s="757">
        <f t="shared" ref="S35" si="63">Q35/P35</f>
        <v>0</v>
      </c>
      <c r="T35" s="1136">
        <f t="shared" ref="T35:T58" si="64">100%-(R35/N35)</f>
        <v>1.0000020967241439</v>
      </c>
    </row>
    <row r="36" spans="1:20" ht="15" customHeight="1" thickBot="1">
      <c r="A36" s="57">
        <v>18</v>
      </c>
      <c r="B36" s="182">
        <f t="shared" ref="B36" si="65">+B34+$B$20</f>
        <v>9</v>
      </c>
      <c r="C36" s="199" t="s">
        <v>106</v>
      </c>
      <c r="D36" s="200" t="s">
        <v>102</v>
      </c>
      <c r="E36" s="201" t="s">
        <v>123</v>
      </c>
      <c r="F36" s="201">
        <v>951943</v>
      </c>
      <c r="G36" s="202">
        <v>4.9761857139999996</v>
      </c>
      <c r="H36" s="203"/>
      <c r="I36" s="204">
        <f t="shared" ref="I36" si="66">G36+H36+K35</f>
        <v>-2.8572000001503284E-5</v>
      </c>
      <c r="J36" s="205"/>
      <c r="K36" s="215">
        <f t="shared" si="1"/>
        <v>-2.8572000001503284E-5</v>
      </c>
      <c r="L36" s="217">
        <f t="shared" si="3"/>
        <v>0</v>
      </c>
      <c r="M36" s="219" t="s">
        <v>32</v>
      </c>
      <c r="N36" s="84"/>
      <c r="O36" s="84"/>
      <c r="P36" s="84"/>
      <c r="Q36" s="84"/>
      <c r="R36" s="84"/>
      <c r="S36" s="758"/>
      <c r="T36" s="1137"/>
    </row>
    <row r="37" spans="1:20" ht="15" customHeight="1">
      <c r="A37" s="57">
        <v>19</v>
      </c>
      <c r="B37" s="182">
        <f t="shared" ref="B37" si="67">+B35+$B$19</f>
        <v>10</v>
      </c>
      <c r="C37" s="176" t="s">
        <v>106</v>
      </c>
      <c r="D37" s="177" t="s">
        <v>38</v>
      </c>
      <c r="E37" s="178" t="s">
        <v>124</v>
      </c>
      <c r="F37" s="178">
        <v>952448</v>
      </c>
      <c r="G37" s="183">
        <v>8.6507857139999995</v>
      </c>
      <c r="H37" s="1123">
        <v>-13.627000000000001</v>
      </c>
      <c r="I37" s="79">
        <f t="shared" ref="I37" si="68">G37+H37</f>
        <v>-4.9762142860000012</v>
      </c>
      <c r="J37" s="80"/>
      <c r="K37" s="214">
        <f t="shared" si="1"/>
        <v>-4.9762142860000012</v>
      </c>
      <c r="L37" s="216">
        <f t="shared" si="3"/>
        <v>0</v>
      </c>
      <c r="M37" s="218" t="s">
        <v>32</v>
      </c>
      <c r="N37" s="81">
        <f t="shared" ref="N37:O37" si="69">G37+G38</f>
        <v>13.626971427999999</v>
      </c>
      <c r="O37" s="82">
        <f t="shared" si="69"/>
        <v>-13.627000000000001</v>
      </c>
      <c r="P37" s="81">
        <f t="shared" ref="P37" si="70">N37+O37</f>
        <v>-2.8572000001503284E-5</v>
      </c>
      <c r="Q37" s="83">
        <f t="shared" ref="Q37" si="71">J37+J38</f>
        <v>0</v>
      </c>
      <c r="R37" s="81">
        <f t="shared" ref="R37" si="72">P37-Q37</f>
        <v>-2.8572000001503284E-5</v>
      </c>
      <c r="S37" s="757">
        <f t="shared" ref="S37" si="73">Q37/P37</f>
        <v>0</v>
      </c>
      <c r="T37" s="1136">
        <f t="shared" ref="T37:T58" si="74">100%-(R37/N37)</f>
        <v>1.0000020967241439</v>
      </c>
    </row>
    <row r="38" spans="1:20" ht="15" customHeight="1" thickBot="1">
      <c r="A38" s="57">
        <v>20</v>
      </c>
      <c r="B38" s="182">
        <f t="shared" ref="B38" si="75">+B36+$B$20</f>
        <v>10</v>
      </c>
      <c r="C38" s="199" t="s">
        <v>106</v>
      </c>
      <c r="D38" s="200" t="s">
        <v>102</v>
      </c>
      <c r="E38" s="201" t="s">
        <v>124</v>
      </c>
      <c r="F38" s="201">
        <v>952448</v>
      </c>
      <c r="G38" s="202">
        <v>4.9761857139999996</v>
      </c>
      <c r="H38" s="203"/>
      <c r="I38" s="204">
        <f t="shared" ref="I38" si="76">G38+H38+K37</f>
        <v>-2.8572000001503284E-5</v>
      </c>
      <c r="J38" s="205"/>
      <c r="K38" s="215">
        <f t="shared" si="1"/>
        <v>-2.8572000001503284E-5</v>
      </c>
      <c r="L38" s="217">
        <f t="shared" si="3"/>
        <v>0</v>
      </c>
      <c r="M38" s="219" t="s">
        <v>32</v>
      </c>
      <c r="N38" s="84"/>
      <c r="O38" s="84"/>
      <c r="P38" s="84"/>
      <c r="Q38" s="84"/>
      <c r="R38" s="84"/>
      <c r="S38" s="758"/>
      <c r="T38" s="1137"/>
    </row>
    <row r="39" spans="1:20" ht="15" customHeight="1">
      <c r="A39" s="57">
        <v>21</v>
      </c>
      <c r="B39" s="182">
        <f t="shared" ref="B39" si="77">+B37+$B$19</f>
        <v>11</v>
      </c>
      <c r="C39" s="176" t="s">
        <v>106</v>
      </c>
      <c r="D39" s="177" t="s">
        <v>38</v>
      </c>
      <c r="E39" s="178" t="s">
        <v>125</v>
      </c>
      <c r="F39" s="178">
        <v>961102</v>
      </c>
      <c r="G39" s="183">
        <v>8.6507857139999995</v>
      </c>
      <c r="H39" s="1123">
        <v>-13.627000000000001</v>
      </c>
      <c r="I39" s="79">
        <f t="shared" ref="I39" si="78">G39+H39</f>
        <v>-4.9762142860000012</v>
      </c>
      <c r="J39" s="80"/>
      <c r="K39" s="214">
        <f t="shared" si="1"/>
        <v>-4.9762142860000012</v>
      </c>
      <c r="L39" s="216">
        <f t="shared" si="3"/>
        <v>0</v>
      </c>
      <c r="M39" s="218" t="s">
        <v>32</v>
      </c>
      <c r="N39" s="81">
        <f t="shared" ref="N39:O39" si="79">G39+G40</f>
        <v>13.626971427999999</v>
      </c>
      <c r="O39" s="82">
        <f t="shared" si="79"/>
        <v>-13.627000000000001</v>
      </c>
      <c r="P39" s="81">
        <f t="shared" ref="P39" si="80">N39+O39</f>
        <v>-2.8572000001503284E-5</v>
      </c>
      <c r="Q39" s="83">
        <f t="shared" ref="Q39" si="81">J39+J40</f>
        <v>0</v>
      </c>
      <c r="R39" s="81">
        <f t="shared" ref="R39" si="82">P39-Q39</f>
        <v>-2.8572000001503284E-5</v>
      </c>
      <c r="S39" s="757">
        <f t="shared" ref="S39" si="83">Q39/P39</f>
        <v>0</v>
      </c>
      <c r="T39" s="1136">
        <f t="shared" ref="T39:T58" si="84">100%-(R39/N39)</f>
        <v>1.0000020967241439</v>
      </c>
    </row>
    <row r="40" spans="1:20" ht="15" customHeight="1" thickBot="1">
      <c r="A40" s="57">
        <v>22</v>
      </c>
      <c r="B40" s="182">
        <f t="shared" ref="B40" si="85">+B38+$B$20</f>
        <v>11</v>
      </c>
      <c r="C40" s="199" t="s">
        <v>106</v>
      </c>
      <c r="D40" s="200" t="s">
        <v>102</v>
      </c>
      <c r="E40" s="201" t="s">
        <v>125</v>
      </c>
      <c r="F40" s="201">
        <v>961102</v>
      </c>
      <c r="G40" s="202">
        <v>4.9761857139999996</v>
      </c>
      <c r="H40" s="203"/>
      <c r="I40" s="204">
        <f t="shared" ref="I40" si="86">G40+H40+K39</f>
        <v>-2.8572000001503284E-5</v>
      </c>
      <c r="J40" s="205"/>
      <c r="K40" s="215">
        <f t="shared" si="1"/>
        <v>-2.8572000001503284E-5</v>
      </c>
      <c r="L40" s="217">
        <f t="shared" si="3"/>
        <v>0</v>
      </c>
      <c r="M40" s="219" t="s">
        <v>32</v>
      </c>
      <c r="N40" s="84"/>
      <c r="O40" s="84"/>
      <c r="P40" s="84"/>
      <c r="Q40" s="84"/>
      <c r="R40" s="84"/>
      <c r="S40" s="758"/>
      <c r="T40" s="1137"/>
    </row>
    <row r="41" spans="1:20" ht="15" customHeight="1">
      <c r="A41" s="57">
        <v>23</v>
      </c>
      <c r="B41" s="182">
        <f t="shared" ref="B41" si="87">+B39+$B$19</f>
        <v>12</v>
      </c>
      <c r="C41" s="176" t="s">
        <v>106</v>
      </c>
      <c r="D41" s="177" t="s">
        <v>38</v>
      </c>
      <c r="E41" s="178" t="s">
        <v>126</v>
      </c>
      <c r="F41" s="178">
        <v>37454</v>
      </c>
      <c r="G41" s="183">
        <v>8.6507857139999995</v>
      </c>
      <c r="H41" s="1123">
        <v>-13.627000000000001</v>
      </c>
      <c r="I41" s="79">
        <f t="shared" ref="I41" si="88">G41+H41</f>
        <v>-4.9762142860000012</v>
      </c>
      <c r="J41" s="80"/>
      <c r="K41" s="214">
        <f t="shared" si="1"/>
        <v>-4.9762142860000012</v>
      </c>
      <c r="L41" s="216">
        <f t="shared" si="3"/>
        <v>0</v>
      </c>
      <c r="M41" s="218" t="s">
        <v>32</v>
      </c>
      <c r="N41" s="81">
        <f t="shared" ref="N41:O41" si="89">G41+G42</f>
        <v>13.626971427999999</v>
      </c>
      <c r="O41" s="82">
        <f t="shared" si="89"/>
        <v>-13.627000000000001</v>
      </c>
      <c r="P41" s="81">
        <f t="shared" ref="P41" si="90">N41+O41</f>
        <v>-2.8572000001503284E-5</v>
      </c>
      <c r="Q41" s="83">
        <f t="shared" ref="Q41" si="91">J41+J42</f>
        <v>0</v>
      </c>
      <c r="R41" s="81">
        <f t="shared" ref="R41" si="92">P41-Q41</f>
        <v>-2.8572000001503284E-5</v>
      </c>
      <c r="S41" s="757">
        <f t="shared" ref="S41" si="93">Q41/P41</f>
        <v>0</v>
      </c>
      <c r="T41" s="1136">
        <f t="shared" ref="T41:T58" si="94">100%-(R41/N41)</f>
        <v>1.0000020967241439</v>
      </c>
    </row>
    <row r="42" spans="1:20" ht="15" customHeight="1" thickBot="1">
      <c r="A42" s="57">
        <v>24</v>
      </c>
      <c r="B42" s="182">
        <f t="shared" ref="B42" si="95">+B40+$B$20</f>
        <v>12</v>
      </c>
      <c r="C42" s="199" t="s">
        <v>106</v>
      </c>
      <c r="D42" s="200" t="s">
        <v>102</v>
      </c>
      <c r="E42" s="201" t="s">
        <v>126</v>
      </c>
      <c r="F42" s="201">
        <v>37454</v>
      </c>
      <c r="G42" s="202">
        <v>4.9761857139999996</v>
      </c>
      <c r="H42" s="203"/>
      <c r="I42" s="204">
        <f t="shared" ref="I42" si="96">G42+H42+K41</f>
        <v>-2.8572000001503284E-5</v>
      </c>
      <c r="J42" s="205"/>
      <c r="K42" s="215">
        <f t="shared" si="1"/>
        <v>-2.8572000001503284E-5</v>
      </c>
      <c r="L42" s="217">
        <f t="shared" si="3"/>
        <v>0</v>
      </c>
      <c r="M42" s="219" t="s">
        <v>32</v>
      </c>
      <c r="N42" s="84"/>
      <c r="O42" s="84"/>
      <c r="P42" s="84"/>
      <c r="Q42" s="84"/>
      <c r="R42" s="84"/>
      <c r="S42" s="758"/>
      <c r="T42" s="1137"/>
    </row>
    <row r="43" spans="1:20" ht="15" customHeight="1">
      <c r="A43" s="57">
        <v>25</v>
      </c>
      <c r="B43" s="182">
        <f t="shared" ref="B43" si="97">+B41+$B$19</f>
        <v>13</v>
      </c>
      <c r="C43" s="176" t="s">
        <v>106</v>
      </c>
      <c r="D43" s="177" t="s">
        <v>38</v>
      </c>
      <c r="E43" s="178" t="s">
        <v>127</v>
      </c>
      <c r="F43" s="178">
        <v>900895</v>
      </c>
      <c r="G43" s="183">
        <v>8.6507857139999995</v>
      </c>
      <c r="H43" s="1123">
        <v>-13.627000000000001</v>
      </c>
      <c r="I43" s="79">
        <f t="shared" ref="I43" si="98">G43+H43</f>
        <v>-4.9762142860000012</v>
      </c>
      <c r="J43" s="80"/>
      <c r="K43" s="214">
        <f t="shared" si="1"/>
        <v>-4.9762142860000012</v>
      </c>
      <c r="L43" s="216">
        <f t="shared" si="3"/>
        <v>0</v>
      </c>
      <c r="M43" s="218" t="s">
        <v>32</v>
      </c>
      <c r="N43" s="81">
        <f t="shared" ref="N43:O43" si="99">G43+G44</f>
        <v>13.626971427999999</v>
      </c>
      <c r="O43" s="82">
        <f t="shared" si="99"/>
        <v>-13.627000000000001</v>
      </c>
      <c r="P43" s="81">
        <f t="shared" ref="P43" si="100">N43+O43</f>
        <v>-2.8572000001503284E-5</v>
      </c>
      <c r="Q43" s="83">
        <f t="shared" ref="Q43" si="101">J43+J44</f>
        <v>0</v>
      </c>
      <c r="R43" s="81">
        <f t="shared" ref="R43" si="102">P43-Q43</f>
        <v>-2.8572000001503284E-5</v>
      </c>
      <c r="S43" s="757">
        <f t="shared" ref="S43" si="103">Q43/P43</f>
        <v>0</v>
      </c>
      <c r="T43" s="1136">
        <f t="shared" ref="T43:T58" si="104">100%-(R43/N43)</f>
        <v>1.0000020967241439</v>
      </c>
    </row>
    <row r="44" spans="1:20" ht="15" customHeight="1" thickBot="1">
      <c r="A44" s="57">
        <v>26</v>
      </c>
      <c r="B44" s="182">
        <f t="shared" ref="B44" si="105">+B42+$B$20</f>
        <v>13</v>
      </c>
      <c r="C44" s="199" t="s">
        <v>106</v>
      </c>
      <c r="D44" s="200" t="s">
        <v>102</v>
      </c>
      <c r="E44" s="201" t="s">
        <v>127</v>
      </c>
      <c r="F44" s="201">
        <v>900895</v>
      </c>
      <c r="G44" s="202">
        <v>4.9761857139999996</v>
      </c>
      <c r="H44" s="203"/>
      <c r="I44" s="204">
        <f t="shared" ref="I44" si="106">G44+H44+K43</f>
        <v>-2.8572000001503284E-5</v>
      </c>
      <c r="J44" s="205"/>
      <c r="K44" s="215">
        <f t="shared" si="1"/>
        <v>-2.8572000001503284E-5</v>
      </c>
      <c r="L44" s="217">
        <f t="shared" si="3"/>
        <v>0</v>
      </c>
      <c r="M44" s="219" t="s">
        <v>32</v>
      </c>
      <c r="N44" s="84"/>
      <c r="O44" s="84"/>
      <c r="P44" s="84"/>
      <c r="Q44" s="84"/>
      <c r="R44" s="84"/>
      <c r="S44" s="758"/>
      <c r="T44" s="1137"/>
    </row>
    <row r="45" spans="1:20" ht="15" customHeight="1">
      <c r="A45" s="57">
        <v>27</v>
      </c>
      <c r="B45" s="182">
        <f t="shared" ref="B45" si="107">+B43+$B$19</f>
        <v>14</v>
      </c>
      <c r="C45" s="176" t="s">
        <v>106</v>
      </c>
      <c r="D45" s="177" t="s">
        <v>38</v>
      </c>
      <c r="E45" s="178" t="s">
        <v>128</v>
      </c>
      <c r="F45" s="178">
        <v>965590</v>
      </c>
      <c r="G45" s="183">
        <v>8.6507857139999995</v>
      </c>
      <c r="H45" s="1124">
        <v>-13.627000000000001</v>
      </c>
      <c r="I45" s="79">
        <f t="shared" ref="I45" si="108">G45+H45</f>
        <v>-4.9762142860000012</v>
      </c>
      <c r="J45" s="80"/>
      <c r="K45" s="214">
        <f t="shared" si="1"/>
        <v>-4.9762142860000012</v>
      </c>
      <c r="L45" s="216">
        <f t="shared" si="3"/>
        <v>0</v>
      </c>
      <c r="M45" s="218" t="s">
        <v>32</v>
      </c>
      <c r="N45" s="81">
        <f t="shared" ref="N45:O45" si="109">G45+G46</f>
        <v>13.626971427999999</v>
      </c>
      <c r="O45" s="82">
        <f t="shared" si="109"/>
        <v>-13.627000000000001</v>
      </c>
      <c r="P45" s="81">
        <f t="shared" ref="P45" si="110">N45+O45</f>
        <v>-2.8572000001503284E-5</v>
      </c>
      <c r="Q45" s="83">
        <f t="shared" ref="Q45" si="111">J45+J46</f>
        <v>0</v>
      </c>
      <c r="R45" s="81">
        <f t="shared" ref="R45" si="112">P45-Q45</f>
        <v>-2.8572000001503284E-5</v>
      </c>
      <c r="S45" s="757">
        <f t="shared" ref="S45" si="113">Q45/P45</f>
        <v>0</v>
      </c>
      <c r="T45" s="1136">
        <f t="shared" ref="T45:T58" si="114">100%-(R45/N45)</f>
        <v>1.0000020967241439</v>
      </c>
    </row>
    <row r="46" spans="1:20" ht="15" customHeight="1" thickBot="1">
      <c r="A46" s="57">
        <v>28</v>
      </c>
      <c r="B46" s="182">
        <f t="shared" ref="B46" si="115">+B44+$B$20</f>
        <v>14</v>
      </c>
      <c r="C46" s="199" t="s">
        <v>106</v>
      </c>
      <c r="D46" s="200" t="s">
        <v>102</v>
      </c>
      <c r="E46" s="201" t="s">
        <v>128</v>
      </c>
      <c r="F46" s="201">
        <v>965590</v>
      </c>
      <c r="G46" s="202">
        <v>4.9761857139999996</v>
      </c>
      <c r="H46" s="203"/>
      <c r="I46" s="204">
        <f t="shared" ref="I46" si="116">G46+H46+K45</f>
        <v>-2.8572000001503284E-5</v>
      </c>
      <c r="J46" s="205"/>
      <c r="K46" s="215">
        <f t="shared" si="1"/>
        <v>-2.8572000001503284E-5</v>
      </c>
      <c r="L46" s="217">
        <f t="shared" si="3"/>
        <v>0</v>
      </c>
      <c r="M46" s="219" t="s">
        <v>32</v>
      </c>
      <c r="N46" s="84"/>
      <c r="O46" s="84"/>
      <c r="P46" s="84"/>
      <c r="Q46" s="84"/>
      <c r="R46" s="84"/>
      <c r="S46" s="758"/>
      <c r="T46" s="1137"/>
    </row>
    <row r="47" spans="1:20" ht="15" customHeight="1">
      <c r="A47" s="57">
        <v>29</v>
      </c>
      <c r="B47" s="182">
        <f t="shared" ref="B47" si="117">+B45+$B$19</f>
        <v>15</v>
      </c>
      <c r="C47" s="176" t="s">
        <v>106</v>
      </c>
      <c r="D47" s="177" t="s">
        <v>38</v>
      </c>
      <c r="E47" s="178" t="s">
        <v>129</v>
      </c>
      <c r="F47" s="178">
        <v>952272</v>
      </c>
      <c r="G47" s="183">
        <v>8.6507857139999995</v>
      </c>
      <c r="H47" s="1123">
        <v>-13.627000000000001</v>
      </c>
      <c r="I47" s="79">
        <f t="shared" ref="I47" si="118">G47+H47</f>
        <v>-4.9762142860000012</v>
      </c>
      <c r="J47" s="80"/>
      <c r="K47" s="214">
        <f t="shared" si="1"/>
        <v>-4.9762142860000012</v>
      </c>
      <c r="L47" s="216">
        <f t="shared" si="3"/>
        <v>0</v>
      </c>
      <c r="M47" s="218" t="s">
        <v>32</v>
      </c>
      <c r="N47" s="81">
        <f t="shared" ref="N47:O47" si="119">G47+G48</f>
        <v>13.626971427999999</v>
      </c>
      <c r="O47" s="82">
        <f t="shared" si="119"/>
        <v>-13.627000000000001</v>
      </c>
      <c r="P47" s="81">
        <f t="shared" ref="P47" si="120">N47+O47</f>
        <v>-2.8572000001503284E-5</v>
      </c>
      <c r="Q47" s="83">
        <f t="shared" ref="Q47" si="121">J47+J48</f>
        <v>0</v>
      </c>
      <c r="R47" s="81">
        <f t="shared" ref="R47" si="122">P47-Q47</f>
        <v>-2.8572000001503284E-5</v>
      </c>
      <c r="S47" s="757">
        <f t="shared" ref="S47" si="123">Q47/P47</f>
        <v>0</v>
      </c>
      <c r="T47" s="1136">
        <f t="shared" ref="T47:T58" si="124">100%-(R47/N47)</f>
        <v>1.0000020967241439</v>
      </c>
    </row>
    <row r="48" spans="1:20" ht="15" customHeight="1" thickBot="1">
      <c r="A48" s="57">
        <v>30</v>
      </c>
      <c r="B48" s="182">
        <f t="shared" ref="B48" si="125">+B46+$B$20</f>
        <v>15</v>
      </c>
      <c r="C48" s="199" t="s">
        <v>106</v>
      </c>
      <c r="D48" s="200" t="s">
        <v>102</v>
      </c>
      <c r="E48" s="201" t="s">
        <v>129</v>
      </c>
      <c r="F48" s="201">
        <v>952272</v>
      </c>
      <c r="G48" s="202">
        <v>4.9761857139999996</v>
      </c>
      <c r="H48" s="203"/>
      <c r="I48" s="204">
        <f t="shared" ref="I48" si="126">G48+H48+K47</f>
        <v>-2.8572000001503284E-5</v>
      </c>
      <c r="J48" s="205"/>
      <c r="K48" s="215">
        <f t="shared" si="1"/>
        <v>-2.8572000001503284E-5</v>
      </c>
      <c r="L48" s="217">
        <f t="shared" si="3"/>
        <v>0</v>
      </c>
      <c r="M48" s="219" t="s">
        <v>32</v>
      </c>
      <c r="N48" s="84"/>
      <c r="O48" s="84"/>
      <c r="P48" s="84"/>
      <c r="Q48" s="84"/>
      <c r="R48" s="84"/>
      <c r="S48" s="758"/>
      <c r="T48" s="1137"/>
    </row>
    <row r="49" spans="1:20" ht="15" customHeight="1">
      <c r="A49" s="57">
        <v>31</v>
      </c>
      <c r="B49" s="182">
        <f t="shared" ref="B49" si="127">+B47+$B$19</f>
        <v>16</v>
      </c>
      <c r="C49" s="176" t="s">
        <v>106</v>
      </c>
      <c r="D49" s="177" t="s">
        <v>38</v>
      </c>
      <c r="E49" s="178" t="s">
        <v>130</v>
      </c>
      <c r="F49" s="178">
        <v>960680</v>
      </c>
      <c r="G49" s="183">
        <v>8.6507857139999995</v>
      </c>
      <c r="H49" s="1123">
        <v>-13.627000000000001</v>
      </c>
      <c r="I49" s="79">
        <f t="shared" ref="I49" si="128">G49+H49</f>
        <v>-4.9762142860000012</v>
      </c>
      <c r="J49" s="80"/>
      <c r="K49" s="214">
        <f t="shared" si="1"/>
        <v>-4.9762142860000012</v>
      </c>
      <c r="L49" s="216">
        <f t="shared" si="3"/>
        <v>0</v>
      </c>
      <c r="M49" s="218" t="s">
        <v>32</v>
      </c>
      <c r="N49" s="81">
        <f t="shared" ref="N49:O49" si="129">G49+G50</f>
        <v>13.626971427999999</v>
      </c>
      <c r="O49" s="82">
        <f t="shared" si="129"/>
        <v>-13.627000000000001</v>
      </c>
      <c r="P49" s="81">
        <f t="shared" ref="P49" si="130">N49+O49</f>
        <v>-2.8572000001503284E-5</v>
      </c>
      <c r="Q49" s="83">
        <f t="shared" ref="Q49" si="131">J49+J50</f>
        <v>0</v>
      </c>
      <c r="R49" s="81">
        <f t="shared" ref="R49" si="132">P49-Q49</f>
        <v>-2.8572000001503284E-5</v>
      </c>
      <c r="S49" s="757">
        <f t="shared" ref="S49" si="133">Q49/P49</f>
        <v>0</v>
      </c>
      <c r="T49" s="1136">
        <f t="shared" ref="T49:T58" si="134">100%-(R49/N49)</f>
        <v>1.0000020967241439</v>
      </c>
    </row>
    <row r="50" spans="1:20" ht="15" customHeight="1" thickBot="1">
      <c r="A50" s="57">
        <v>32</v>
      </c>
      <c r="B50" s="182">
        <f t="shared" ref="B50" si="135">+B48+$B$20</f>
        <v>16</v>
      </c>
      <c r="C50" s="199" t="s">
        <v>106</v>
      </c>
      <c r="D50" s="200" t="s">
        <v>102</v>
      </c>
      <c r="E50" s="201" t="s">
        <v>130</v>
      </c>
      <c r="F50" s="201">
        <v>960680</v>
      </c>
      <c r="G50" s="202">
        <v>4.9761857139999996</v>
      </c>
      <c r="H50" s="203"/>
      <c r="I50" s="204">
        <f t="shared" ref="I50" si="136">G50+H50+K49</f>
        <v>-2.8572000001503284E-5</v>
      </c>
      <c r="J50" s="205"/>
      <c r="K50" s="215">
        <f t="shared" si="1"/>
        <v>-2.8572000001503284E-5</v>
      </c>
      <c r="L50" s="217">
        <f t="shared" si="3"/>
        <v>0</v>
      </c>
      <c r="M50" s="219" t="s">
        <v>32</v>
      </c>
      <c r="N50" s="84"/>
      <c r="O50" s="84"/>
      <c r="P50" s="84"/>
      <c r="Q50" s="84"/>
      <c r="R50" s="84"/>
      <c r="S50" s="758"/>
      <c r="T50" s="1137"/>
    </row>
    <row r="51" spans="1:20" ht="15" customHeight="1">
      <c r="A51" s="57">
        <v>33</v>
      </c>
      <c r="B51" s="182">
        <f t="shared" ref="B51" si="137">+B49+$B$19</f>
        <v>17</v>
      </c>
      <c r="C51" s="176" t="s">
        <v>106</v>
      </c>
      <c r="D51" s="177" t="s">
        <v>38</v>
      </c>
      <c r="E51" s="178" t="s">
        <v>131</v>
      </c>
      <c r="F51" s="178">
        <v>963416</v>
      </c>
      <c r="G51" s="183">
        <v>8.6507857139999995</v>
      </c>
      <c r="H51" s="1127">
        <v>-9</v>
      </c>
      <c r="I51" s="79">
        <f t="shared" ref="I51" si="138">G51+H51</f>
        <v>-0.34921428600000048</v>
      </c>
      <c r="J51" s="80"/>
      <c r="K51" s="214">
        <f t="shared" si="1"/>
        <v>-0.34921428600000048</v>
      </c>
      <c r="L51" s="216">
        <f t="shared" si="3"/>
        <v>0</v>
      </c>
      <c r="M51" s="218" t="s">
        <v>32</v>
      </c>
      <c r="N51" s="81">
        <f t="shared" ref="N51:O51" si="139">G51+G52</f>
        <v>13.626971427999999</v>
      </c>
      <c r="O51" s="82">
        <f t="shared" si="139"/>
        <v>-9</v>
      </c>
      <c r="P51" s="81">
        <f t="shared" ref="P51" si="140">N51+O51</f>
        <v>4.6269714279999992</v>
      </c>
      <c r="Q51" s="83">
        <f t="shared" ref="Q51" si="141">J51+J52</f>
        <v>0</v>
      </c>
      <c r="R51" s="81">
        <f t="shared" ref="R51" si="142">P51-Q51</f>
        <v>4.6269714279999992</v>
      </c>
      <c r="S51" s="757">
        <f t="shared" ref="S51" si="143">Q51/P51</f>
        <v>0</v>
      </c>
      <c r="T51" s="1136">
        <f t="shared" ref="T51:T58" si="144">100%-(R51/N51)</f>
        <v>0.66045489619999231</v>
      </c>
    </row>
    <row r="52" spans="1:20" ht="15" customHeight="1" thickBot="1">
      <c r="A52" s="57">
        <v>34</v>
      </c>
      <c r="B52" s="182">
        <f t="shared" ref="B52" si="145">+B50+$B$20</f>
        <v>17</v>
      </c>
      <c r="C52" s="199" t="s">
        <v>106</v>
      </c>
      <c r="D52" s="200" t="s">
        <v>102</v>
      </c>
      <c r="E52" s="201" t="s">
        <v>131</v>
      </c>
      <c r="F52" s="201">
        <v>963416</v>
      </c>
      <c r="G52" s="202">
        <v>4.9761857139999996</v>
      </c>
      <c r="H52" s="203"/>
      <c r="I52" s="204">
        <f t="shared" ref="I52" si="146">G52+H52+K51</f>
        <v>4.6269714279999992</v>
      </c>
      <c r="J52" s="205"/>
      <c r="K52" s="215">
        <f t="shared" si="1"/>
        <v>4.6269714279999992</v>
      </c>
      <c r="L52" s="217">
        <f t="shared" si="3"/>
        <v>0</v>
      </c>
      <c r="M52" s="219" t="s">
        <v>32</v>
      </c>
      <c r="N52" s="84"/>
      <c r="O52" s="84"/>
      <c r="P52" s="84"/>
      <c r="Q52" s="84"/>
      <c r="R52" s="84"/>
      <c r="S52" s="758"/>
      <c r="T52" s="1137"/>
    </row>
    <row r="53" spans="1:20" ht="15" customHeight="1">
      <c r="A53" s="57">
        <v>35</v>
      </c>
      <c r="B53" s="182">
        <f t="shared" ref="B53" si="147">+B51+$B$19</f>
        <v>18</v>
      </c>
      <c r="C53" s="176" t="s">
        <v>106</v>
      </c>
      <c r="D53" s="177" t="s">
        <v>38</v>
      </c>
      <c r="E53" s="178" t="s">
        <v>132</v>
      </c>
      <c r="F53" s="178">
        <v>960679</v>
      </c>
      <c r="G53" s="183">
        <v>8.6507857139999995</v>
      </c>
      <c r="H53" s="78"/>
      <c r="I53" s="79">
        <f t="shared" ref="I53" si="148">G53+H53</f>
        <v>8.6507857139999995</v>
      </c>
      <c r="J53" s="80"/>
      <c r="K53" s="214">
        <f t="shared" si="1"/>
        <v>8.6507857139999995</v>
      </c>
      <c r="L53" s="216">
        <f t="shared" si="3"/>
        <v>0</v>
      </c>
      <c r="M53" s="218" t="s">
        <v>32</v>
      </c>
      <c r="N53" s="81">
        <f t="shared" ref="N53:O53" si="149">G53+G54</f>
        <v>13.626971427999999</v>
      </c>
      <c r="O53" s="82">
        <f t="shared" si="149"/>
        <v>0</v>
      </c>
      <c r="P53" s="81">
        <f t="shared" ref="P53" si="150">N53+O53</f>
        <v>13.626971427999999</v>
      </c>
      <c r="Q53" s="83">
        <f t="shared" ref="Q53" si="151">J53+J54</f>
        <v>0</v>
      </c>
      <c r="R53" s="81">
        <f t="shared" ref="R53" si="152">P53-Q53</f>
        <v>13.626971427999999</v>
      </c>
      <c r="S53" s="757">
        <f t="shared" ref="S53" si="153">Q53/P53</f>
        <v>0</v>
      </c>
      <c r="T53" s="1136">
        <f t="shared" ref="T53:T58" si="154">100%-(R53/N53)</f>
        <v>0</v>
      </c>
    </row>
    <row r="54" spans="1:20" ht="15" customHeight="1" thickBot="1">
      <c r="A54" s="57">
        <v>36</v>
      </c>
      <c r="B54" s="182">
        <f t="shared" ref="B54" si="155">+B52+$B$20</f>
        <v>18</v>
      </c>
      <c r="C54" s="199" t="s">
        <v>106</v>
      </c>
      <c r="D54" s="200" t="s">
        <v>102</v>
      </c>
      <c r="E54" s="201" t="s">
        <v>132</v>
      </c>
      <c r="F54" s="201">
        <v>960679</v>
      </c>
      <c r="G54" s="202">
        <v>4.9761857139999996</v>
      </c>
      <c r="H54" s="203"/>
      <c r="I54" s="204">
        <f t="shared" ref="I54" si="156">G54+H54+K53</f>
        <v>13.626971427999999</v>
      </c>
      <c r="J54" s="205"/>
      <c r="K54" s="215">
        <f t="shared" si="1"/>
        <v>13.626971427999999</v>
      </c>
      <c r="L54" s="217">
        <f t="shared" si="3"/>
        <v>0</v>
      </c>
      <c r="M54" s="219" t="s">
        <v>32</v>
      </c>
      <c r="N54" s="84"/>
      <c r="O54" s="84"/>
      <c r="P54" s="84"/>
      <c r="Q54" s="84"/>
      <c r="R54" s="84"/>
      <c r="S54" s="758"/>
      <c r="T54" s="1137"/>
    </row>
    <row r="55" spans="1:20" ht="15" customHeight="1">
      <c r="A55" s="57">
        <v>37</v>
      </c>
      <c r="B55" s="182">
        <f t="shared" ref="B55" si="157">+B53+$B$19</f>
        <v>19</v>
      </c>
      <c r="C55" s="176" t="s">
        <v>106</v>
      </c>
      <c r="D55" s="177" t="s">
        <v>38</v>
      </c>
      <c r="E55" s="178" t="s">
        <v>133</v>
      </c>
      <c r="F55" s="178">
        <v>961369</v>
      </c>
      <c r="G55" s="183">
        <v>8.6507857139999995</v>
      </c>
      <c r="H55" s="78"/>
      <c r="I55" s="79">
        <f t="shared" ref="I55" si="158">G55+H55</f>
        <v>8.6507857139999995</v>
      </c>
      <c r="J55" s="80"/>
      <c r="K55" s="214">
        <f t="shared" si="1"/>
        <v>8.6507857139999995</v>
      </c>
      <c r="L55" s="216">
        <f t="shared" si="3"/>
        <v>0</v>
      </c>
      <c r="M55" s="218" t="s">
        <v>32</v>
      </c>
      <c r="N55" s="81">
        <f t="shared" ref="N55:O55" si="159">G55+G56</f>
        <v>13.626971427999999</v>
      </c>
      <c r="O55" s="82">
        <f t="shared" si="159"/>
        <v>0</v>
      </c>
      <c r="P55" s="81">
        <f t="shared" ref="P55" si="160">N55+O55</f>
        <v>13.626971427999999</v>
      </c>
      <c r="Q55" s="83">
        <f t="shared" ref="Q55" si="161">J55+J56</f>
        <v>0</v>
      </c>
      <c r="R55" s="81">
        <f t="shared" ref="R55" si="162">P55-Q55</f>
        <v>13.626971427999999</v>
      </c>
      <c r="S55" s="757">
        <f t="shared" ref="S55" si="163">Q55/P55</f>
        <v>0</v>
      </c>
      <c r="T55" s="1136">
        <f t="shared" ref="T55:T58" si="164">100%-(R55/N55)</f>
        <v>0</v>
      </c>
    </row>
    <row r="56" spans="1:20" ht="15" customHeight="1" thickBot="1">
      <c r="A56" s="57">
        <v>38</v>
      </c>
      <c r="B56" s="182">
        <f t="shared" ref="B56" si="165">+B54+$B$20</f>
        <v>19</v>
      </c>
      <c r="C56" s="199" t="s">
        <v>106</v>
      </c>
      <c r="D56" s="200" t="s">
        <v>102</v>
      </c>
      <c r="E56" s="201" t="s">
        <v>133</v>
      </c>
      <c r="F56" s="201">
        <v>961369</v>
      </c>
      <c r="G56" s="202">
        <v>4.9761857139999996</v>
      </c>
      <c r="H56" s="203"/>
      <c r="I56" s="204">
        <f t="shared" ref="I56" si="166">G56+H56+K55</f>
        <v>13.626971427999999</v>
      </c>
      <c r="J56" s="205"/>
      <c r="K56" s="215">
        <f t="shared" si="1"/>
        <v>13.626971427999999</v>
      </c>
      <c r="L56" s="217">
        <f t="shared" si="3"/>
        <v>0</v>
      </c>
      <c r="M56" s="219" t="s">
        <v>32</v>
      </c>
      <c r="N56" s="84"/>
      <c r="O56" s="84"/>
      <c r="P56" s="84"/>
      <c r="Q56" s="84"/>
      <c r="R56" s="84"/>
      <c r="S56" s="758"/>
      <c r="T56" s="1137"/>
    </row>
    <row r="57" spans="1:20" ht="15" customHeight="1">
      <c r="A57" s="57">
        <v>39</v>
      </c>
      <c r="B57" s="182">
        <f t="shared" ref="B57" si="167">+B55+$B$19</f>
        <v>20</v>
      </c>
      <c r="C57" s="176" t="s">
        <v>106</v>
      </c>
      <c r="D57" s="177" t="s">
        <v>38</v>
      </c>
      <c r="E57" s="178" t="s">
        <v>134</v>
      </c>
      <c r="F57" s="178">
        <v>918715</v>
      </c>
      <c r="G57" s="183">
        <v>8.6507857139999995</v>
      </c>
      <c r="H57" s="1123">
        <v>-13.627000000000001</v>
      </c>
      <c r="I57" s="79">
        <f t="shared" ref="I57" si="168">G57+H57</f>
        <v>-4.9762142860000012</v>
      </c>
      <c r="J57" s="80"/>
      <c r="K57" s="214">
        <f t="shared" si="1"/>
        <v>-4.9762142860000012</v>
      </c>
      <c r="L57" s="216">
        <f t="shared" si="3"/>
        <v>0</v>
      </c>
      <c r="M57" s="218" t="s">
        <v>32</v>
      </c>
      <c r="N57" s="81">
        <f t="shared" ref="N57:O57" si="169">G57+G58</f>
        <v>13.626971427999999</v>
      </c>
      <c r="O57" s="82">
        <f t="shared" si="169"/>
        <v>-13.627000000000001</v>
      </c>
      <c r="P57" s="81">
        <f t="shared" ref="P57" si="170">N57+O57</f>
        <v>-2.8572000001503284E-5</v>
      </c>
      <c r="Q57" s="83">
        <f t="shared" ref="Q57" si="171">J57+J58</f>
        <v>0</v>
      </c>
      <c r="R57" s="81">
        <f t="shared" ref="R57" si="172">P57-Q57</f>
        <v>-2.8572000001503284E-5</v>
      </c>
      <c r="S57" s="757">
        <f t="shared" ref="S57" si="173">Q57/P57</f>
        <v>0</v>
      </c>
      <c r="T57" s="1136">
        <f t="shared" ref="T57:T119" si="174">100%-(R57/N57)</f>
        <v>1.0000020967241439</v>
      </c>
    </row>
    <row r="58" spans="1:20" ht="15" customHeight="1" thickBot="1">
      <c r="A58" s="57">
        <v>40</v>
      </c>
      <c r="B58" s="182">
        <f t="shared" ref="B58" si="175">+B56+$B$20</f>
        <v>20</v>
      </c>
      <c r="C58" s="199" t="s">
        <v>106</v>
      </c>
      <c r="D58" s="200" t="s">
        <v>102</v>
      </c>
      <c r="E58" s="201" t="s">
        <v>134</v>
      </c>
      <c r="F58" s="201">
        <v>918715</v>
      </c>
      <c r="G58" s="202">
        <v>4.9761857139999996</v>
      </c>
      <c r="H58" s="203"/>
      <c r="I58" s="204">
        <f t="shared" ref="I58" si="176">G58+H58+K57</f>
        <v>-2.8572000001503284E-5</v>
      </c>
      <c r="J58" s="205"/>
      <c r="K58" s="215">
        <f t="shared" si="1"/>
        <v>-2.8572000001503284E-5</v>
      </c>
      <c r="L58" s="217">
        <f t="shared" si="3"/>
        <v>0</v>
      </c>
      <c r="M58" s="219" t="s">
        <v>32</v>
      </c>
      <c r="N58" s="84"/>
      <c r="O58" s="84"/>
      <c r="P58" s="84"/>
      <c r="Q58" s="84"/>
      <c r="R58" s="84"/>
      <c r="S58" s="758"/>
      <c r="T58" s="1137"/>
    </row>
    <row r="59" spans="1:20" ht="15" customHeight="1">
      <c r="A59" s="57">
        <v>41</v>
      </c>
      <c r="B59" s="182">
        <f t="shared" ref="B59" si="177">+B57+$B$19</f>
        <v>21</v>
      </c>
      <c r="C59" s="176" t="s">
        <v>106</v>
      </c>
      <c r="D59" s="177" t="s">
        <v>38</v>
      </c>
      <c r="E59" s="178" t="s">
        <v>135</v>
      </c>
      <c r="F59" s="178">
        <v>926081</v>
      </c>
      <c r="G59" s="183">
        <v>8.6507857139999995</v>
      </c>
      <c r="H59" s="1123">
        <v>-13.627000000000001</v>
      </c>
      <c r="I59" s="79">
        <f t="shared" ref="I59" si="178">G59+H59</f>
        <v>-4.9762142860000012</v>
      </c>
      <c r="J59" s="80"/>
      <c r="K59" s="214">
        <f t="shared" si="1"/>
        <v>-4.9762142860000012</v>
      </c>
      <c r="L59" s="216">
        <f t="shared" si="3"/>
        <v>0</v>
      </c>
      <c r="M59" s="218" t="s">
        <v>32</v>
      </c>
      <c r="N59" s="81">
        <f t="shared" ref="N59:O59" si="179">G59+G60</f>
        <v>13.626971427999999</v>
      </c>
      <c r="O59" s="82">
        <f t="shared" si="179"/>
        <v>-13.627000000000001</v>
      </c>
      <c r="P59" s="81">
        <f t="shared" ref="P59" si="180">N59+O59</f>
        <v>-2.8572000001503284E-5</v>
      </c>
      <c r="Q59" s="83">
        <f t="shared" ref="Q59" si="181">J59+J60</f>
        <v>0</v>
      </c>
      <c r="R59" s="81">
        <f t="shared" ref="R59" si="182">P59-Q59</f>
        <v>-2.8572000001503284E-5</v>
      </c>
      <c r="S59" s="757">
        <f t="shared" ref="S59" si="183">Q59/P59</f>
        <v>0</v>
      </c>
      <c r="T59" s="1136">
        <f t="shared" si="174"/>
        <v>1.0000020967241439</v>
      </c>
    </row>
    <row r="60" spans="1:20" ht="15" customHeight="1" thickBot="1">
      <c r="A60" s="57">
        <v>42</v>
      </c>
      <c r="B60" s="182">
        <f t="shared" ref="B60" si="184">+B58+$B$20</f>
        <v>21</v>
      </c>
      <c r="C60" s="199" t="s">
        <v>106</v>
      </c>
      <c r="D60" s="200" t="s">
        <v>102</v>
      </c>
      <c r="E60" s="201" t="s">
        <v>135</v>
      </c>
      <c r="F60" s="201">
        <v>926081</v>
      </c>
      <c r="G60" s="202">
        <v>4.9761857139999996</v>
      </c>
      <c r="H60" s="203"/>
      <c r="I60" s="204">
        <f t="shared" ref="I60" si="185">G60+H60+K59</f>
        <v>-2.8572000001503284E-5</v>
      </c>
      <c r="J60" s="205"/>
      <c r="K60" s="215">
        <f t="shared" si="1"/>
        <v>-2.8572000001503284E-5</v>
      </c>
      <c r="L60" s="217">
        <f t="shared" si="3"/>
        <v>0</v>
      </c>
      <c r="M60" s="219" t="s">
        <v>32</v>
      </c>
      <c r="N60" s="84"/>
      <c r="O60" s="84"/>
      <c r="P60" s="84"/>
      <c r="Q60" s="84"/>
      <c r="R60" s="84"/>
      <c r="S60" s="758"/>
      <c r="T60" s="1137"/>
    </row>
    <row r="61" spans="1:20" ht="15" customHeight="1">
      <c r="A61" s="57">
        <v>43</v>
      </c>
      <c r="B61" s="182">
        <f t="shared" ref="B61" si="186">+B59+$B$19</f>
        <v>22</v>
      </c>
      <c r="C61" s="176" t="s">
        <v>106</v>
      </c>
      <c r="D61" s="177" t="s">
        <v>38</v>
      </c>
      <c r="E61" s="178" t="s">
        <v>136</v>
      </c>
      <c r="F61" s="178">
        <v>961650</v>
      </c>
      <c r="G61" s="183">
        <v>8.6507857139999995</v>
      </c>
      <c r="H61" s="1123">
        <v>-13.627000000000001</v>
      </c>
      <c r="I61" s="79">
        <f t="shared" ref="I61" si="187">G61+H61</f>
        <v>-4.9762142860000012</v>
      </c>
      <c r="J61" s="80"/>
      <c r="K61" s="214">
        <f t="shared" si="1"/>
        <v>-4.9762142860000012</v>
      </c>
      <c r="L61" s="216">
        <f t="shared" si="3"/>
        <v>0</v>
      </c>
      <c r="M61" s="218" t="s">
        <v>32</v>
      </c>
      <c r="N61" s="81">
        <f t="shared" ref="N61:O61" si="188">G61+G62</f>
        <v>13.626971427999999</v>
      </c>
      <c r="O61" s="82">
        <f t="shared" si="188"/>
        <v>-13.627000000000001</v>
      </c>
      <c r="P61" s="81">
        <f t="shared" ref="P61" si="189">N61+O61</f>
        <v>-2.8572000001503284E-5</v>
      </c>
      <c r="Q61" s="83">
        <f t="shared" ref="Q61" si="190">J61+J62</f>
        <v>0</v>
      </c>
      <c r="R61" s="81">
        <f t="shared" ref="R61" si="191">P61-Q61</f>
        <v>-2.8572000001503284E-5</v>
      </c>
      <c r="S61" s="757">
        <f t="shared" ref="S61" si="192">Q61/P61</f>
        <v>0</v>
      </c>
      <c r="T61" s="1136">
        <f t="shared" si="174"/>
        <v>1.0000020967241439</v>
      </c>
    </row>
    <row r="62" spans="1:20" ht="15" customHeight="1" thickBot="1">
      <c r="A62" s="57">
        <v>44</v>
      </c>
      <c r="B62" s="182">
        <f t="shared" ref="B62" si="193">+B60+$B$20</f>
        <v>22</v>
      </c>
      <c r="C62" s="199" t="s">
        <v>106</v>
      </c>
      <c r="D62" s="200" t="s">
        <v>102</v>
      </c>
      <c r="E62" s="201" t="s">
        <v>136</v>
      </c>
      <c r="F62" s="201">
        <v>961650</v>
      </c>
      <c r="G62" s="202">
        <v>4.9761857139999996</v>
      </c>
      <c r="H62" s="203"/>
      <c r="I62" s="204">
        <f t="shared" ref="I62" si="194">G62+H62+K61</f>
        <v>-2.8572000001503284E-5</v>
      </c>
      <c r="J62" s="205"/>
      <c r="K62" s="215">
        <f t="shared" si="1"/>
        <v>-2.8572000001503284E-5</v>
      </c>
      <c r="L62" s="217">
        <f t="shared" si="3"/>
        <v>0</v>
      </c>
      <c r="M62" s="219" t="s">
        <v>32</v>
      </c>
      <c r="N62" s="84"/>
      <c r="O62" s="84"/>
      <c r="P62" s="84"/>
      <c r="Q62" s="84"/>
      <c r="R62" s="84"/>
      <c r="S62" s="758"/>
      <c r="T62" s="1137"/>
    </row>
    <row r="63" spans="1:20" ht="15" customHeight="1">
      <c r="A63" s="57">
        <v>45</v>
      </c>
      <c r="B63" s="182">
        <f t="shared" ref="B63" si="195">+B61+$B$19</f>
        <v>23</v>
      </c>
      <c r="C63" s="176" t="s">
        <v>106</v>
      </c>
      <c r="D63" s="177" t="s">
        <v>38</v>
      </c>
      <c r="E63" s="178" t="s">
        <v>137</v>
      </c>
      <c r="F63" s="178">
        <v>900894</v>
      </c>
      <c r="G63" s="183">
        <v>8.6507857139999995</v>
      </c>
      <c r="H63" s="1123">
        <v>-13.627000000000001</v>
      </c>
      <c r="I63" s="79">
        <f t="shared" ref="I63" si="196">G63+H63</f>
        <v>-4.9762142860000012</v>
      </c>
      <c r="J63" s="80"/>
      <c r="K63" s="214">
        <f t="shared" si="1"/>
        <v>-4.9762142860000012</v>
      </c>
      <c r="L63" s="216">
        <f t="shared" si="3"/>
        <v>0</v>
      </c>
      <c r="M63" s="218" t="s">
        <v>32</v>
      </c>
      <c r="N63" s="81">
        <f t="shared" ref="N63:O63" si="197">G63+G64</f>
        <v>13.626971427999999</v>
      </c>
      <c r="O63" s="82">
        <f t="shared" si="197"/>
        <v>-13.627000000000001</v>
      </c>
      <c r="P63" s="81">
        <f t="shared" ref="P63" si="198">N63+O63</f>
        <v>-2.8572000001503284E-5</v>
      </c>
      <c r="Q63" s="83">
        <f t="shared" ref="Q63" si="199">J63+J64</f>
        <v>0</v>
      </c>
      <c r="R63" s="81">
        <f t="shared" ref="R63" si="200">P63-Q63</f>
        <v>-2.8572000001503284E-5</v>
      </c>
      <c r="S63" s="757">
        <f t="shared" ref="S63" si="201">Q63/P63</f>
        <v>0</v>
      </c>
      <c r="T63" s="1136">
        <f t="shared" si="174"/>
        <v>1.0000020967241439</v>
      </c>
    </row>
    <row r="64" spans="1:20" ht="15" customHeight="1" thickBot="1">
      <c r="A64" s="57">
        <v>46</v>
      </c>
      <c r="B64" s="182">
        <f t="shared" ref="B64" si="202">+B62+$B$20</f>
        <v>23</v>
      </c>
      <c r="C64" s="199" t="s">
        <v>106</v>
      </c>
      <c r="D64" s="200" t="s">
        <v>102</v>
      </c>
      <c r="E64" s="201" t="s">
        <v>137</v>
      </c>
      <c r="F64" s="201">
        <v>900894</v>
      </c>
      <c r="G64" s="202">
        <v>4.9761857139999996</v>
      </c>
      <c r="H64" s="203"/>
      <c r="I64" s="204">
        <f t="shared" ref="I64" si="203">G64+H64+K63</f>
        <v>-2.8572000001503284E-5</v>
      </c>
      <c r="J64" s="205"/>
      <c r="K64" s="215">
        <f t="shared" si="1"/>
        <v>-2.8572000001503284E-5</v>
      </c>
      <c r="L64" s="217">
        <f t="shared" si="3"/>
        <v>0</v>
      </c>
      <c r="M64" s="219" t="s">
        <v>32</v>
      </c>
      <c r="N64" s="84"/>
      <c r="O64" s="84"/>
      <c r="P64" s="84"/>
      <c r="Q64" s="84"/>
      <c r="R64" s="84"/>
      <c r="S64" s="758"/>
      <c r="T64" s="1137"/>
    </row>
    <row r="65" spans="1:20" ht="15" customHeight="1">
      <c r="A65" s="57">
        <v>47</v>
      </c>
      <c r="B65" s="182">
        <f t="shared" ref="B65" si="204">+B63+$B$19</f>
        <v>24</v>
      </c>
      <c r="C65" s="176" t="s">
        <v>106</v>
      </c>
      <c r="D65" s="177" t="s">
        <v>38</v>
      </c>
      <c r="E65" s="178" t="s">
        <v>138</v>
      </c>
      <c r="F65" s="178">
        <v>926474</v>
      </c>
      <c r="G65" s="183">
        <v>8.6507857139999995</v>
      </c>
      <c r="H65" s="1123">
        <v>-13.627000000000001</v>
      </c>
      <c r="I65" s="79">
        <f t="shared" ref="I65" si="205">G65+H65</f>
        <v>-4.9762142860000012</v>
      </c>
      <c r="J65" s="80"/>
      <c r="K65" s="214">
        <f t="shared" si="1"/>
        <v>-4.9762142860000012</v>
      </c>
      <c r="L65" s="216">
        <f t="shared" si="3"/>
        <v>0</v>
      </c>
      <c r="M65" s="218" t="s">
        <v>32</v>
      </c>
      <c r="N65" s="81">
        <f t="shared" ref="N65:O65" si="206">G65+G66</f>
        <v>13.626971427999999</v>
      </c>
      <c r="O65" s="82">
        <f t="shared" si="206"/>
        <v>-13.627000000000001</v>
      </c>
      <c r="P65" s="81">
        <f t="shared" ref="P65" si="207">N65+O65</f>
        <v>-2.8572000001503284E-5</v>
      </c>
      <c r="Q65" s="83">
        <f t="shared" ref="Q65" si="208">J65+J66</f>
        <v>0</v>
      </c>
      <c r="R65" s="81">
        <f t="shared" ref="R65" si="209">P65-Q65</f>
        <v>-2.8572000001503284E-5</v>
      </c>
      <c r="S65" s="757">
        <f t="shared" ref="S65" si="210">Q65/P65</f>
        <v>0</v>
      </c>
      <c r="T65" s="1136">
        <f t="shared" si="174"/>
        <v>1.0000020967241439</v>
      </c>
    </row>
    <row r="66" spans="1:20" ht="15" customHeight="1" thickBot="1">
      <c r="A66" s="57">
        <v>48</v>
      </c>
      <c r="B66" s="182">
        <f t="shared" ref="B66" si="211">+B64+$B$20</f>
        <v>24</v>
      </c>
      <c r="C66" s="199" t="s">
        <v>106</v>
      </c>
      <c r="D66" s="200" t="s">
        <v>102</v>
      </c>
      <c r="E66" s="201" t="s">
        <v>138</v>
      </c>
      <c r="F66" s="201">
        <v>926474</v>
      </c>
      <c r="G66" s="202">
        <v>4.9761857139999996</v>
      </c>
      <c r="H66" s="203"/>
      <c r="I66" s="204">
        <f t="shared" ref="I66" si="212">G66+H66+K65</f>
        <v>-2.8572000001503284E-5</v>
      </c>
      <c r="J66" s="205"/>
      <c r="K66" s="215">
        <f t="shared" si="1"/>
        <v>-2.8572000001503284E-5</v>
      </c>
      <c r="L66" s="217">
        <f t="shared" si="3"/>
        <v>0</v>
      </c>
      <c r="M66" s="219" t="s">
        <v>32</v>
      </c>
      <c r="N66" s="84"/>
      <c r="O66" s="84"/>
      <c r="P66" s="84"/>
      <c r="Q66" s="84"/>
      <c r="R66" s="84"/>
      <c r="S66" s="758"/>
      <c r="T66" s="1137"/>
    </row>
    <row r="67" spans="1:20" ht="15" customHeight="1">
      <c r="A67" s="57">
        <v>49</v>
      </c>
      <c r="B67" s="182">
        <f t="shared" ref="B67" si="213">+B65+$B$19</f>
        <v>25</v>
      </c>
      <c r="C67" s="176" t="s">
        <v>106</v>
      </c>
      <c r="D67" s="177" t="s">
        <v>38</v>
      </c>
      <c r="E67" s="178" t="s">
        <v>139</v>
      </c>
      <c r="F67" s="178">
        <v>954388</v>
      </c>
      <c r="G67" s="183">
        <v>8.6507857139999995</v>
      </c>
      <c r="H67" s="1123">
        <v>-13.627000000000001</v>
      </c>
      <c r="I67" s="79">
        <f t="shared" ref="I67" si="214">G67+H67</f>
        <v>-4.9762142860000012</v>
      </c>
      <c r="J67" s="80"/>
      <c r="K67" s="214">
        <f t="shared" si="1"/>
        <v>-4.9762142860000012</v>
      </c>
      <c r="L67" s="216">
        <f t="shared" si="3"/>
        <v>0</v>
      </c>
      <c r="M67" s="218" t="s">
        <v>32</v>
      </c>
      <c r="N67" s="81">
        <f t="shared" ref="N67:O67" si="215">G67+G68</f>
        <v>13.626971427999999</v>
      </c>
      <c r="O67" s="82">
        <f t="shared" si="215"/>
        <v>-13.627000000000001</v>
      </c>
      <c r="P67" s="81">
        <f t="shared" ref="P67" si="216">N67+O67</f>
        <v>-2.8572000001503284E-5</v>
      </c>
      <c r="Q67" s="83">
        <f t="shared" ref="Q67" si="217">J67+J68</f>
        <v>0</v>
      </c>
      <c r="R67" s="81">
        <f t="shared" ref="R67" si="218">P67-Q67</f>
        <v>-2.8572000001503284E-5</v>
      </c>
      <c r="S67" s="757">
        <f t="shared" ref="S67" si="219">Q67/P67</f>
        <v>0</v>
      </c>
      <c r="T67" s="1136">
        <f t="shared" si="174"/>
        <v>1.0000020967241439</v>
      </c>
    </row>
    <row r="68" spans="1:20" ht="15" customHeight="1" thickBot="1">
      <c r="A68" s="57">
        <v>50</v>
      </c>
      <c r="B68" s="182">
        <f t="shared" ref="B68" si="220">+B66+$B$20</f>
        <v>25</v>
      </c>
      <c r="C68" s="199" t="s">
        <v>106</v>
      </c>
      <c r="D68" s="200" t="s">
        <v>102</v>
      </c>
      <c r="E68" s="201" t="s">
        <v>139</v>
      </c>
      <c r="F68" s="201">
        <v>954388</v>
      </c>
      <c r="G68" s="202">
        <v>4.9761857139999996</v>
      </c>
      <c r="H68" s="203"/>
      <c r="I68" s="204">
        <f t="shared" ref="I68" si="221">G68+H68+K67</f>
        <v>-2.8572000001503284E-5</v>
      </c>
      <c r="J68" s="205"/>
      <c r="K68" s="215">
        <f t="shared" si="1"/>
        <v>-2.8572000001503284E-5</v>
      </c>
      <c r="L68" s="217">
        <f t="shared" si="3"/>
        <v>0</v>
      </c>
      <c r="M68" s="219" t="s">
        <v>32</v>
      </c>
      <c r="N68" s="84"/>
      <c r="O68" s="84"/>
      <c r="P68" s="84"/>
      <c r="Q68" s="84"/>
      <c r="R68" s="84"/>
      <c r="S68" s="758"/>
      <c r="T68" s="1137"/>
    </row>
    <row r="69" spans="1:20" ht="15" customHeight="1">
      <c r="A69" s="57">
        <v>51</v>
      </c>
      <c r="B69" s="182">
        <f t="shared" ref="B69" si="222">+B67+$B$19</f>
        <v>26</v>
      </c>
      <c r="C69" s="176" t="s">
        <v>106</v>
      </c>
      <c r="D69" s="177" t="s">
        <v>38</v>
      </c>
      <c r="E69" s="178" t="s">
        <v>140</v>
      </c>
      <c r="F69" s="178">
        <v>15842</v>
      </c>
      <c r="G69" s="183">
        <v>8.6507857139999995</v>
      </c>
      <c r="H69" s="1123">
        <v>-13.627000000000001</v>
      </c>
      <c r="I69" s="79">
        <f t="shared" ref="I69" si="223">G69+H69</f>
        <v>-4.9762142860000012</v>
      </c>
      <c r="J69" s="80"/>
      <c r="K69" s="214">
        <f t="shared" si="1"/>
        <v>-4.9762142860000012</v>
      </c>
      <c r="L69" s="216">
        <f t="shared" si="3"/>
        <v>0</v>
      </c>
      <c r="M69" s="218" t="s">
        <v>32</v>
      </c>
      <c r="N69" s="81">
        <f t="shared" ref="N69:O69" si="224">G69+G70</f>
        <v>13.626971427999999</v>
      </c>
      <c r="O69" s="82">
        <f t="shared" si="224"/>
        <v>-13.627000000000001</v>
      </c>
      <c r="P69" s="81">
        <f t="shared" ref="P69" si="225">N69+O69</f>
        <v>-2.8572000001503284E-5</v>
      </c>
      <c r="Q69" s="83">
        <f t="shared" ref="Q69" si="226">J69+J70</f>
        <v>0</v>
      </c>
      <c r="R69" s="81">
        <f t="shared" ref="R69" si="227">P69-Q69</f>
        <v>-2.8572000001503284E-5</v>
      </c>
      <c r="S69" s="757">
        <f t="shared" ref="S69" si="228">Q69/P69</f>
        <v>0</v>
      </c>
      <c r="T69" s="1136">
        <f t="shared" si="174"/>
        <v>1.0000020967241439</v>
      </c>
    </row>
    <row r="70" spans="1:20" ht="15" customHeight="1" thickBot="1">
      <c r="A70" s="57">
        <v>52</v>
      </c>
      <c r="B70" s="182">
        <f t="shared" ref="B70" si="229">+B68+$B$20</f>
        <v>26</v>
      </c>
      <c r="C70" s="199" t="s">
        <v>106</v>
      </c>
      <c r="D70" s="200" t="s">
        <v>102</v>
      </c>
      <c r="E70" s="201" t="s">
        <v>140</v>
      </c>
      <c r="F70" s="201">
        <v>15842</v>
      </c>
      <c r="G70" s="202">
        <v>4.9761857139999996</v>
      </c>
      <c r="H70" s="203"/>
      <c r="I70" s="204">
        <f t="shared" ref="I70" si="230">G70+H70+K69</f>
        <v>-2.8572000001503284E-5</v>
      </c>
      <c r="J70" s="205"/>
      <c r="K70" s="215">
        <f t="shared" si="1"/>
        <v>-2.8572000001503284E-5</v>
      </c>
      <c r="L70" s="217">
        <f t="shared" si="3"/>
        <v>0</v>
      </c>
      <c r="M70" s="219" t="s">
        <v>32</v>
      </c>
      <c r="N70" s="84"/>
      <c r="O70" s="84"/>
      <c r="P70" s="84"/>
      <c r="Q70" s="84"/>
      <c r="R70" s="84"/>
      <c r="S70" s="758"/>
      <c r="T70" s="1137"/>
    </row>
    <row r="71" spans="1:20" ht="15" customHeight="1">
      <c r="A71" s="57">
        <v>53</v>
      </c>
      <c r="B71" s="182">
        <f t="shared" ref="B71" si="231">+B69+$B$19</f>
        <v>27</v>
      </c>
      <c r="C71" s="176" t="s">
        <v>106</v>
      </c>
      <c r="D71" s="177" t="s">
        <v>38</v>
      </c>
      <c r="E71" s="178" t="s">
        <v>141</v>
      </c>
      <c r="F71" s="178">
        <v>951978</v>
      </c>
      <c r="G71" s="183">
        <v>8.6507857139999995</v>
      </c>
      <c r="H71" s="1123">
        <v>-13.627000000000001</v>
      </c>
      <c r="I71" s="79">
        <f t="shared" ref="I71" si="232">G71+H71</f>
        <v>-4.9762142860000012</v>
      </c>
      <c r="J71" s="80"/>
      <c r="K71" s="214">
        <f t="shared" si="1"/>
        <v>-4.9762142860000012</v>
      </c>
      <c r="L71" s="216">
        <f t="shared" si="3"/>
        <v>0</v>
      </c>
      <c r="M71" s="218" t="s">
        <v>32</v>
      </c>
      <c r="N71" s="81">
        <f t="shared" ref="N71:O71" si="233">G71+G72</f>
        <v>13.626971427999999</v>
      </c>
      <c r="O71" s="82">
        <f t="shared" si="233"/>
        <v>-13.627000000000001</v>
      </c>
      <c r="P71" s="81">
        <f t="shared" ref="P71" si="234">N71+O71</f>
        <v>-2.8572000001503284E-5</v>
      </c>
      <c r="Q71" s="83">
        <f t="shared" ref="Q71" si="235">J71+J72</f>
        <v>0</v>
      </c>
      <c r="R71" s="81">
        <f t="shared" ref="R71" si="236">P71-Q71</f>
        <v>-2.8572000001503284E-5</v>
      </c>
      <c r="S71" s="757">
        <f t="shared" ref="S71" si="237">Q71/P71</f>
        <v>0</v>
      </c>
      <c r="T71" s="1136">
        <f t="shared" si="174"/>
        <v>1.0000020967241439</v>
      </c>
    </row>
    <row r="72" spans="1:20" ht="15" customHeight="1" thickBot="1">
      <c r="A72" s="57">
        <v>54</v>
      </c>
      <c r="B72" s="182">
        <f t="shared" ref="B72" si="238">+B70+$B$20</f>
        <v>27</v>
      </c>
      <c r="C72" s="199" t="s">
        <v>106</v>
      </c>
      <c r="D72" s="200" t="s">
        <v>102</v>
      </c>
      <c r="E72" s="201" t="s">
        <v>141</v>
      </c>
      <c r="F72" s="201">
        <v>951978</v>
      </c>
      <c r="G72" s="202">
        <v>4.9761857139999996</v>
      </c>
      <c r="H72" s="203"/>
      <c r="I72" s="204">
        <f t="shared" ref="I72" si="239">G72+H72+K71</f>
        <v>-2.8572000001503284E-5</v>
      </c>
      <c r="J72" s="205"/>
      <c r="K72" s="215">
        <f t="shared" si="1"/>
        <v>-2.8572000001503284E-5</v>
      </c>
      <c r="L72" s="217">
        <f t="shared" si="3"/>
        <v>0</v>
      </c>
      <c r="M72" s="219" t="s">
        <v>32</v>
      </c>
      <c r="N72" s="84"/>
      <c r="O72" s="84"/>
      <c r="P72" s="84"/>
      <c r="Q72" s="84"/>
      <c r="R72" s="84"/>
      <c r="S72" s="758"/>
      <c r="T72" s="1137"/>
    </row>
    <row r="73" spans="1:20" ht="15" customHeight="1">
      <c r="A73" s="57">
        <v>55</v>
      </c>
      <c r="B73" s="182">
        <f t="shared" ref="B73" si="240">+B71+$B$19</f>
        <v>28</v>
      </c>
      <c r="C73" s="176" t="s">
        <v>106</v>
      </c>
      <c r="D73" s="177" t="s">
        <v>38</v>
      </c>
      <c r="E73" s="178" t="s">
        <v>142</v>
      </c>
      <c r="F73" s="178">
        <v>903672</v>
      </c>
      <c r="G73" s="183">
        <v>8.6507857139999995</v>
      </c>
      <c r="H73" s="1123">
        <v>-13.627000000000001</v>
      </c>
      <c r="I73" s="79">
        <f t="shared" ref="I73" si="241">G73+H73</f>
        <v>-4.9762142860000012</v>
      </c>
      <c r="J73" s="80"/>
      <c r="K73" s="214">
        <f t="shared" si="1"/>
        <v>-4.9762142860000012</v>
      </c>
      <c r="L73" s="216">
        <f t="shared" si="3"/>
        <v>0</v>
      </c>
      <c r="M73" s="218" t="s">
        <v>32</v>
      </c>
      <c r="N73" s="81">
        <f t="shared" ref="N73:O73" si="242">G73+G74</f>
        <v>13.626971427999999</v>
      </c>
      <c r="O73" s="82">
        <f t="shared" si="242"/>
        <v>-13.627000000000001</v>
      </c>
      <c r="P73" s="81">
        <f t="shared" ref="P73" si="243">N73+O73</f>
        <v>-2.8572000001503284E-5</v>
      </c>
      <c r="Q73" s="83">
        <f t="shared" ref="Q73" si="244">J73+J74</f>
        <v>0</v>
      </c>
      <c r="R73" s="81">
        <f t="shared" ref="R73" si="245">P73-Q73</f>
        <v>-2.8572000001503284E-5</v>
      </c>
      <c r="S73" s="757">
        <f t="shared" ref="S73" si="246">Q73/P73</f>
        <v>0</v>
      </c>
      <c r="T73" s="1136">
        <f t="shared" si="174"/>
        <v>1.0000020967241439</v>
      </c>
    </row>
    <row r="74" spans="1:20" ht="15" customHeight="1" thickBot="1">
      <c r="A74" s="57">
        <v>56</v>
      </c>
      <c r="B74" s="182">
        <f t="shared" ref="B74" si="247">+B72+$B$20</f>
        <v>28</v>
      </c>
      <c r="C74" s="199" t="s">
        <v>106</v>
      </c>
      <c r="D74" s="200" t="s">
        <v>102</v>
      </c>
      <c r="E74" s="201" t="s">
        <v>142</v>
      </c>
      <c r="F74" s="201">
        <v>903672</v>
      </c>
      <c r="G74" s="202">
        <v>4.9761857139999996</v>
      </c>
      <c r="H74" s="203"/>
      <c r="I74" s="204">
        <f t="shared" ref="I74" si="248">G74+H74+K73</f>
        <v>-2.8572000001503284E-5</v>
      </c>
      <c r="J74" s="205"/>
      <c r="K74" s="215">
        <f t="shared" si="1"/>
        <v>-2.8572000001503284E-5</v>
      </c>
      <c r="L74" s="217">
        <f t="shared" si="3"/>
        <v>0</v>
      </c>
      <c r="M74" s="219" t="s">
        <v>32</v>
      </c>
      <c r="N74" s="84"/>
      <c r="O74" s="84"/>
      <c r="P74" s="84"/>
      <c r="Q74" s="84"/>
      <c r="R74" s="84"/>
      <c r="S74" s="758"/>
      <c r="T74" s="1137"/>
    </row>
    <row r="75" spans="1:20" ht="15" customHeight="1">
      <c r="A75" s="57">
        <v>57</v>
      </c>
      <c r="B75" s="182">
        <f t="shared" ref="B75" si="249">+B73+$B$19</f>
        <v>29</v>
      </c>
      <c r="C75" s="176" t="s">
        <v>106</v>
      </c>
      <c r="D75" s="177" t="s">
        <v>38</v>
      </c>
      <c r="E75" s="178" t="s">
        <v>143</v>
      </c>
      <c r="F75" s="178">
        <v>920416</v>
      </c>
      <c r="G75" s="183">
        <v>8.6507857139999995</v>
      </c>
      <c r="H75" s="1123">
        <v>-13.627000000000001</v>
      </c>
      <c r="I75" s="79">
        <f t="shared" ref="I75" si="250">G75+H75</f>
        <v>-4.9762142860000012</v>
      </c>
      <c r="J75" s="80"/>
      <c r="K75" s="214">
        <f t="shared" si="1"/>
        <v>-4.9762142860000012</v>
      </c>
      <c r="L75" s="216">
        <f t="shared" si="3"/>
        <v>0</v>
      </c>
      <c r="M75" s="218" t="s">
        <v>32</v>
      </c>
      <c r="N75" s="81">
        <f t="shared" ref="N75:O75" si="251">G75+G76</f>
        <v>13.626971427999999</v>
      </c>
      <c r="O75" s="82">
        <f t="shared" si="251"/>
        <v>-13.627000000000001</v>
      </c>
      <c r="P75" s="81">
        <f t="shared" ref="P75" si="252">N75+O75</f>
        <v>-2.8572000001503284E-5</v>
      </c>
      <c r="Q75" s="83">
        <f t="shared" ref="Q75" si="253">J75+J76</f>
        <v>0</v>
      </c>
      <c r="R75" s="81">
        <f t="shared" ref="R75" si="254">P75-Q75</f>
        <v>-2.8572000001503284E-5</v>
      </c>
      <c r="S75" s="757">
        <f t="shared" ref="S75" si="255">Q75/P75</f>
        <v>0</v>
      </c>
      <c r="T75" s="1136">
        <f t="shared" si="174"/>
        <v>1.0000020967241439</v>
      </c>
    </row>
    <row r="76" spans="1:20" ht="15" customHeight="1" thickBot="1">
      <c r="A76" s="57">
        <v>58</v>
      </c>
      <c r="B76" s="182">
        <f t="shared" ref="B76" si="256">+B74+$B$20</f>
        <v>29</v>
      </c>
      <c r="C76" s="199" t="s">
        <v>106</v>
      </c>
      <c r="D76" s="200" t="s">
        <v>102</v>
      </c>
      <c r="E76" s="201" t="s">
        <v>143</v>
      </c>
      <c r="F76" s="201">
        <v>920416</v>
      </c>
      <c r="G76" s="202">
        <v>4.9761857139999996</v>
      </c>
      <c r="H76" s="203"/>
      <c r="I76" s="204">
        <f t="shared" ref="I76" si="257">G76+H76+K75</f>
        <v>-2.8572000001503284E-5</v>
      </c>
      <c r="J76" s="205"/>
      <c r="K76" s="215">
        <f t="shared" si="1"/>
        <v>-2.8572000001503284E-5</v>
      </c>
      <c r="L76" s="217">
        <f t="shared" si="3"/>
        <v>0</v>
      </c>
      <c r="M76" s="219" t="s">
        <v>32</v>
      </c>
      <c r="N76" s="84"/>
      <c r="O76" s="84"/>
      <c r="P76" s="84"/>
      <c r="Q76" s="84"/>
      <c r="R76" s="84"/>
      <c r="S76" s="758"/>
      <c r="T76" s="1137"/>
    </row>
    <row r="77" spans="1:20" ht="15" customHeight="1">
      <c r="A77" s="57">
        <v>59</v>
      </c>
      <c r="B77" s="182">
        <f t="shared" ref="B77" si="258">+B75+$B$19</f>
        <v>30</v>
      </c>
      <c r="C77" s="176" t="s">
        <v>106</v>
      </c>
      <c r="D77" s="177" t="s">
        <v>38</v>
      </c>
      <c r="E77" s="178" t="s">
        <v>144</v>
      </c>
      <c r="F77" s="178">
        <v>951977</v>
      </c>
      <c r="G77" s="183">
        <v>8.6507857139999995</v>
      </c>
      <c r="H77" s="1123">
        <v>-13.627000000000001</v>
      </c>
      <c r="I77" s="79">
        <f t="shared" ref="I77" si="259">G77+H77</f>
        <v>-4.9762142860000012</v>
      </c>
      <c r="J77" s="80"/>
      <c r="K77" s="214">
        <f t="shared" si="1"/>
        <v>-4.9762142860000012</v>
      </c>
      <c r="L77" s="216">
        <f t="shared" si="3"/>
        <v>0</v>
      </c>
      <c r="M77" s="218" t="s">
        <v>32</v>
      </c>
      <c r="N77" s="81">
        <f t="shared" ref="N77:O77" si="260">G77+G78</f>
        <v>13.626971427999999</v>
      </c>
      <c r="O77" s="82">
        <f t="shared" si="260"/>
        <v>-13.627000000000001</v>
      </c>
      <c r="P77" s="81">
        <f t="shared" ref="P77" si="261">N77+O77</f>
        <v>-2.8572000001503284E-5</v>
      </c>
      <c r="Q77" s="83">
        <f t="shared" ref="Q77" si="262">J77+J78</f>
        <v>0</v>
      </c>
      <c r="R77" s="81">
        <f t="shared" ref="R77" si="263">P77-Q77</f>
        <v>-2.8572000001503284E-5</v>
      </c>
      <c r="S77" s="757">
        <f t="shared" ref="S77" si="264">Q77/P77</f>
        <v>0</v>
      </c>
      <c r="T77" s="1136">
        <f t="shared" si="174"/>
        <v>1.0000020967241439</v>
      </c>
    </row>
    <row r="78" spans="1:20" ht="15" customHeight="1" thickBot="1">
      <c r="A78" s="57">
        <v>60</v>
      </c>
      <c r="B78" s="182">
        <f t="shared" ref="B78" si="265">+B76+$B$20</f>
        <v>30</v>
      </c>
      <c r="C78" s="199" t="s">
        <v>106</v>
      </c>
      <c r="D78" s="200" t="s">
        <v>102</v>
      </c>
      <c r="E78" s="201" t="s">
        <v>144</v>
      </c>
      <c r="F78" s="201">
        <v>951977</v>
      </c>
      <c r="G78" s="202">
        <v>4.9761857139999996</v>
      </c>
      <c r="H78" s="203"/>
      <c r="I78" s="204">
        <f t="shared" ref="I78" si="266">G78+H78+K77</f>
        <v>-2.8572000001503284E-5</v>
      </c>
      <c r="J78" s="205"/>
      <c r="K78" s="215">
        <f t="shared" si="1"/>
        <v>-2.8572000001503284E-5</v>
      </c>
      <c r="L78" s="217">
        <f t="shared" si="3"/>
        <v>0</v>
      </c>
      <c r="M78" s="219" t="s">
        <v>32</v>
      </c>
      <c r="N78" s="84"/>
      <c r="O78" s="84"/>
      <c r="P78" s="84"/>
      <c r="Q78" s="84"/>
      <c r="R78" s="84"/>
      <c r="S78" s="758"/>
      <c r="T78" s="1137"/>
    </row>
    <row r="79" spans="1:20" ht="15" customHeight="1">
      <c r="A79" s="57">
        <v>61</v>
      </c>
      <c r="B79" s="182">
        <f t="shared" ref="B79" si="267">+B77+$B$19</f>
        <v>31</v>
      </c>
      <c r="C79" s="176" t="s">
        <v>106</v>
      </c>
      <c r="D79" s="177" t="s">
        <v>38</v>
      </c>
      <c r="E79" s="178" t="s">
        <v>145</v>
      </c>
      <c r="F79" s="178">
        <v>957467</v>
      </c>
      <c r="G79" s="183">
        <v>8.6507857139999995</v>
      </c>
      <c r="H79" s="1123">
        <v>-13.627000000000001</v>
      </c>
      <c r="I79" s="79">
        <f t="shared" ref="I79" si="268">G79+H79</f>
        <v>-4.9762142860000012</v>
      </c>
      <c r="J79" s="80"/>
      <c r="K79" s="214">
        <f t="shared" si="1"/>
        <v>-4.9762142860000012</v>
      </c>
      <c r="L79" s="216">
        <f t="shared" si="3"/>
        <v>0</v>
      </c>
      <c r="M79" s="218" t="s">
        <v>32</v>
      </c>
      <c r="N79" s="81">
        <f t="shared" ref="N79:O79" si="269">G79+G80</f>
        <v>13.626971427999999</v>
      </c>
      <c r="O79" s="82">
        <f t="shared" si="269"/>
        <v>-13.627000000000001</v>
      </c>
      <c r="P79" s="81">
        <f t="shared" ref="P79" si="270">N79+O79</f>
        <v>-2.8572000001503284E-5</v>
      </c>
      <c r="Q79" s="83">
        <f t="shared" ref="Q79" si="271">J79+J80</f>
        <v>0</v>
      </c>
      <c r="R79" s="81">
        <f t="shared" ref="R79" si="272">P79-Q79</f>
        <v>-2.8572000001503284E-5</v>
      </c>
      <c r="S79" s="757">
        <f t="shared" ref="S79" si="273">Q79/P79</f>
        <v>0</v>
      </c>
      <c r="T79" s="1136">
        <f t="shared" si="174"/>
        <v>1.0000020967241439</v>
      </c>
    </row>
    <row r="80" spans="1:20" ht="15" customHeight="1" thickBot="1">
      <c r="A80" s="57">
        <v>62</v>
      </c>
      <c r="B80" s="182">
        <f t="shared" ref="B80" si="274">+B78+$B$20</f>
        <v>31</v>
      </c>
      <c r="C80" s="199" t="s">
        <v>106</v>
      </c>
      <c r="D80" s="200" t="s">
        <v>102</v>
      </c>
      <c r="E80" s="201" t="s">
        <v>145</v>
      </c>
      <c r="F80" s="201">
        <v>957467</v>
      </c>
      <c r="G80" s="202">
        <v>4.9761857139999996</v>
      </c>
      <c r="H80" s="203"/>
      <c r="I80" s="204">
        <f t="shared" ref="I80" si="275">G80+H80+K79</f>
        <v>-2.8572000001503284E-5</v>
      </c>
      <c r="J80" s="205"/>
      <c r="K80" s="215">
        <f t="shared" si="1"/>
        <v>-2.8572000001503284E-5</v>
      </c>
      <c r="L80" s="217">
        <f t="shared" si="3"/>
        <v>0</v>
      </c>
      <c r="M80" s="219" t="s">
        <v>32</v>
      </c>
      <c r="N80" s="84"/>
      <c r="O80" s="84"/>
      <c r="P80" s="84"/>
      <c r="Q80" s="84"/>
      <c r="R80" s="84"/>
      <c r="S80" s="758"/>
      <c r="T80" s="1137"/>
    </row>
    <row r="81" spans="1:20" ht="15" customHeight="1">
      <c r="A81" s="57">
        <v>63</v>
      </c>
      <c r="B81" s="182">
        <f t="shared" ref="B81" si="276">+B79+$B$19</f>
        <v>32</v>
      </c>
      <c r="C81" s="176" t="s">
        <v>106</v>
      </c>
      <c r="D81" s="177" t="s">
        <v>38</v>
      </c>
      <c r="E81" s="178" t="s">
        <v>146</v>
      </c>
      <c r="F81" s="178">
        <v>913400</v>
      </c>
      <c r="G81" s="183">
        <v>8.6507857139999995</v>
      </c>
      <c r="H81" s="1123">
        <v>-13.627000000000001</v>
      </c>
      <c r="I81" s="79">
        <f t="shared" ref="I81" si="277">G81+H81</f>
        <v>-4.9762142860000012</v>
      </c>
      <c r="J81" s="80"/>
      <c r="K81" s="214">
        <f t="shared" si="1"/>
        <v>-4.9762142860000012</v>
      </c>
      <c r="L81" s="216">
        <f t="shared" si="3"/>
        <v>0</v>
      </c>
      <c r="M81" s="218" t="s">
        <v>32</v>
      </c>
      <c r="N81" s="81">
        <f t="shared" ref="N81:O81" si="278">G81+G82</f>
        <v>13.626971427999999</v>
      </c>
      <c r="O81" s="82">
        <f t="shared" si="278"/>
        <v>-13.627000000000001</v>
      </c>
      <c r="P81" s="81">
        <f t="shared" ref="P81" si="279">N81+O81</f>
        <v>-2.8572000001503284E-5</v>
      </c>
      <c r="Q81" s="83">
        <f t="shared" ref="Q81" si="280">J81+J82</f>
        <v>0</v>
      </c>
      <c r="R81" s="81">
        <f t="shared" ref="R81" si="281">P81-Q81</f>
        <v>-2.8572000001503284E-5</v>
      </c>
      <c r="S81" s="757">
        <f t="shared" ref="S81" si="282">Q81/P81</f>
        <v>0</v>
      </c>
      <c r="T81" s="1136">
        <f t="shared" si="174"/>
        <v>1.0000020967241439</v>
      </c>
    </row>
    <row r="82" spans="1:20" ht="15" customHeight="1" thickBot="1">
      <c r="A82" s="57">
        <v>64</v>
      </c>
      <c r="B82" s="182">
        <f t="shared" ref="B82" si="283">+B80+$B$20</f>
        <v>32</v>
      </c>
      <c r="C82" s="199" t="s">
        <v>106</v>
      </c>
      <c r="D82" s="200" t="s">
        <v>102</v>
      </c>
      <c r="E82" s="201" t="s">
        <v>146</v>
      </c>
      <c r="F82" s="201">
        <v>913400</v>
      </c>
      <c r="G82" s="202">
        <v>4.9761857139999996</v>
      </c>
      <c r="H82" s="203"/>
      <c r="I82" s="204">
        <f t="shared" ref="I82" si="284">G82+H82+K81</f>
        <v>-2.8572000001503284E-5</v>
      </c>
      <c r="J82" s="205"/>
      <c r="K82" s="215">
        <f t="shared" si="1"/>
        <v>-2.8572000001503284E-5</v>
      </c>
      <c r="L82" s="217">
        <f t="shared" si="3"/>
        <v>0</v>
      </c>
      <c r="M82" s="219" t="s">
        <v>32</v>
      </c>
      <c r="N82" s="84"/>
      <c r="O82" s="84"/>
      <c r="P82" s="84"/>
      <c r="Q82" s="84"/>
      <c r="R82" s="84"/>
      <c r="S82" s="758"/>
      <c r="T82" s="1137"/>
    </row>
    <row r="83" spans="1:20" ht="15" customHeight="1">
      <c r="A83" s="57">
        <v>65</v>
      </c>
      <c r="B83" s="182">
        <f t="shared" ref="B83" si="285">+B81+$B$19</f>
        <v>33</v>
      </c>
      <c r="C83" s="176" t="s">
        <v>106</v>
      </c>
      <c r="D83" s="177" t="s">
        <v>38</v>
      </c>
      <c r="E83" s="178" t="s">
        <v>147</v>
      </c>
      <c r="F83" s="178">
        <v>960311</v>
      </c>
      <c r="G83" s="183">
        <v>8.6507857139999995</v>
      </c>
      <c r="H83" s="1123">
        <v>-13.627000000000001</v>
      </c>
      <c r="I83" s="79">
        <f t="shared" ref="I83" si="286">G83+H83</f>
        <v>-4.9762142860000012</v>
      </c>
      <c r="J83" s="80"/>
      <c r="K83" s="214">
        <f t="shared" si="1"/>
        <v>-4.9762142860000012</v>
      </c>
      <c r="L83" s="216">
        <f t="shared" si="3"/>
        <v>0</v>
      </c>
      <c r="M83" s="218" t="s">
        <v>32</v>
      </c>
      <c r="N83" s="81">
        <f t="shared" ref="N83:O83" si="287">G83+G84</f>
        <v>13.626971427999999</v>
      </c>
      <c r="O83" s="82">
        <f t="shared" si="287"/>
        <v>-13.627000000000001</v>
      </c>
      <c r="P83" s="81">
        <f t="shared" ref="P83" si="288">N83+O83</f>
        <v>-2.8572000001503284E-5</v>
      </c>
      <c r="Q83" s="83">
        <f t="shared" ref="Q83" si="289">J83+J84</f>
        <v>0</v>
      </c>
      <c r="R83" s="81">
        <f t="shared" ref="R83" si="290">P83-Q83</f>
        <v>-2.8572000001503284E-5</v>
      </c>
      <c r="S83" s="757">
        <f t="shared" ref="S83" si="291">Q83/P83</f>
        <v>0</v>
      </c>
      <c r="T83" s="1136">
        <f t="shared" si="174"/>
        <v>1.0000020967241439</v>
      </c>
    </row>
    <row r="84" spans="1:20" ht="15" customHeight="1" thickBot="1">
      <c r="A84" s="57">
        <v>66</v>
      </c>
      <c r="B84" s="182">
        <f t="shared" ref="B84" si="292">+B82+$B$20</f>
        <v>33</v>
      </c>
      <c r="C84" s="199" t="s">
        <v>106</v>
      </c>
      <c r="D84" s="200" t="s">
        <v>102</v>
      </c>
      <c r="E84" s="201" t="s">
        <v>147</v>
      </c>
      <c r="F84" s="201">
        <v>960311</v>
      </c>
      <c r="G84" s="202">
        <v>4.9761857139999996</v>
      </c>
      <c r="H84" s="203"/>
      <c r="I84" s="204">
        <f t="shared" ref="I84" si="293">G84+H84+K83</f>
        <v>-2.8572000001503284E-5</v>
      </c>
      <c r="J84" s="205"/>
      <c r="K84" s="215">
        <f t="shared" si="1"/>
        <v>-2.8572000001503284E-5</v>
      </c>
      <c r="L84" s="217">
        <f t="shared" si="3"/>
        <v>0</v>
      </c>
      <c r="M84" s="219" t="s">
        <v>32</v>
      </c>
      <c r="N84" s="84"/>
      <c r="O84" s="84"/>
      <c r="P84" s="84"/>
      <c r="Q84" s="84"/>
      <c r="R84" s="84"/>
      <c r="S84" s="758"/>
      <c r="T84" s="1137"/>
    </row>
    <row r="85" spans="1:20" ht="15" customHeight="1">
      <c r="A85" s="57">
        <v>67</v>
      </c>
      <c r="B85" s="182">
        <f t="shared" ref="B85" si="294">+B83+$B$19</f>
        <v>34</v>
      </c>
      <c r="C85" s="176" t="s">
        <v>106</v>
      </c>
      <c r="D85" s="177" t="s">
        <v>38</v>
      </c>
      <c r="E85" s="178" t="s">
        <v>148</v>
      </c>
      <c r="F85" s="178">
        <v>961110</v>
      </c>
      <c r="G85" s="183">
        <v>8.6507857139999995</v>
      </c>
      <c r="H85" s="1123">
        <v>-13.627000000000001</v>
      </c>
      <c r="I85" s="79">
        <f t="shared" ref="I85" si="295">G85+H85</f>
        <v>-4.9762142860000012</v>
      </c>
      <c r="J85" s="80"/>
      <c r="K85" s="214">
        <f t="shared" si="1"/>
        <v>-4.9762142860000012</v>
      </c>
      <c r="L85" s="216">
        <f t="shared" si="3"/>
        <v>0</v>
      </c>
      <c r="M85" s="218" t="s">
        <v>32</v>
      </c>
      <c r="N85" s="81">
        <f t="shared" ref="N85:O85" si="296">G85+G86</f>
        <v>13.626971427999999</v>
      </c>
      <c r="O85" s="82">
        <f t="shared" si="296"/>
        <v>-13.627000000000001</v>
      </c>
      <c r="P85" s="81">
        <f t="shared" ref="P85" si="297">N85+O85</f>
        <v>-2.8572000001503284E-5</v>
      </c>
      <c r="Q85" s="83">
        <f t="shared" ref="Q85" si="298">J85+J86</f>
        <v>0</v>
      </c>
      <c r="R85" s="81">
        <f t="shared" ref="R85" si="299">P85-Q85</f>
        <v>-2.8572000001503284E-5</v>
      </c>
      <c r="S85" s="757">
        <f t="shared" ref="S85" si="300">Q85/P85</f>
        <v>0</v>
      </c>
      <c r="T85" s="1136">
        <f t="shared" si="174"/>
        <v>1.0000020967241439</v>
      </c>
    </row>
    <row r="86" spans="1:20" ht="15" customHeight="1" thickBot="1">
      <c r="A86" s="57">
        <v>68</v>
      </c>
      <c r="B86" s="182">
        <f t="shared" ref="B86" si="301">+B84+$B$20</f>
        <v>34</v>
      </c>
      <c r="C86" s="199" t="s">
        <v>106</v>
      </c>
      <c r="D86" s="200" t="s">
        <v>102</v>
      </c>
      <c r="E86" s="201" t="s">
        <v>148</v>
      </c>
      <c r="F86" s="201">
        <v>961110</v>
      </c>
      <c r="G86" s="202">
        <v>4.9761857139999996</v>
      </c>
      <c r="H86" s="203"/>
      <c r="I86" s="204">
        <f t="shared" ref="I86" si="302">G86+H86+K85</f>
        <v>-2.8572000001503284E-5</v>
      </c>
      <c r="J86" s="205"/>
      <c r="K86" s="215">
        <f t="shared" ref="K86:K149" si="303">I86-J86</f>
        <v>-2.8572000001503284E-5</v>
      </c>
      <c r="L86" s="217">
        <f t="shared" si="3"/>
        <v>0</v>
      </c>
      <c r="M86" s="219" t="s">
        <v>32</v>
      </c>
      <c r="N86" s="84"/>
      <c r="O86" s="84"/>
      <c r="P86" s="84"/>
      <c r="Q86" s="84"/>
      <c r="R86" s="84"/>
      <c r="S86" s="758"/>
      <c r="T86" s="1137"/>
    </row>
    <row r="87" spans="1:20" ht="15" customHeight="1">
      <c r="A87" s="57">
        <v>69</v>
      </c>
      <c r="B87" s="182">
        <f t="shared" ref="B87" si="304">+B85+$B$19</f>
        <v>35</v>
      </c>
      <c r="C87" s="176" t="s">
        <v>106</v>
      </c>
      <c r="D87" s="177" t="s">
        <v>38</v>
      </c>
      <c r="E87" s="178" t="s">
        <v>149</v>
      </c>
      <c r="F87" s="178">
        <v>15614</v>
      </c>
      <c r="G87" s="183">
        <v>8.6507857139999995</v>
      </c>
      <c r="H87" s="1123">
        <v>-13.627000000000001</v>
      </c>
      <c r="I87" s="79">
        <f t="shared" ref="I87" si="305">G87+H87</f>
        <v>-4.9762142860000012</v>
      </c>
      <c r="J87" s="80"/>
      <c r="K87" s="214">
        <f t="shared" si="303"/>
        <v>-4.9762142860000012</v>
      </c>
      <c r="L87" s="216">
        <f t="shared" ref="L87:L150" si="306">J87/I87</f>
        <v>0</v>
      </c>
      <c r="M87" s="218" t="s">
        <v>32</v>
      </c>
      <c r="N87" s="81">
        <f t="shared" ref="N87:O87" si="307">G87+G88</f>
        <v>13.626971427999999</v>
      </c>
      <c r="O87" s="82">
        <f t="shared" si="307"/>
        <v>-13.627000000000001</v>
      </c>
      <c r="P87" s="81">
        <f t="shared" ref="P87" si="308">N87+O87</f>
        <v>-2.8572000001503284E-5</v>
      </c>
      <c r="Q87" s="83">
        <f t="shared" ref="Q87" si="309">J87+J88</f>
        <v>0</v>
      </c>
      <c r="R87" s="81">
        <f t="shared" ref="R87" si="310">P87-Q87</f>
        <v>-2.8572000001503284E-5</v>
      </c>
      <c r="S87" s="757">
        <f t="shared" ref="S87" si="311">Q87/P87</f>
        <v>0</v>
      </c>
      <c r="T87" s="1136">
        <f t="shared" si="174"/>
        <v>1.0000020967241439</v>
      </c>
    </row>
    <row r="88" spans="1:20" ht="15" customHeight="1" thickBot="1">
      <c r="A88" s="57">
        <v>70</v>
      </c>
      <c r="B88" s="182">
        <f t="shared" ref="B88" si="312">+B86+$B$20</f>
        <v>35</v>
      </c>
      <c r="C88" s="199" t="s">
        <v>106</v>
      </c>
      <c r="D88" s="200" t="s">
        <v>102</v>
      </c>
      <c r="E88" s="201" t="s">
        <v>149</v>
      </c>
      <c r="F88" s="201">
        <v>15614</v>
      </c>
      <c r="G88" s="202">
        <v>4.9761857139999996</v>
      </c>
      <c r="H88" s="203"/>
      <c r="I88" s="204">
        <f t="shared" ref="I88" si="313">G88+H88+K87</f>
        <v>-2.8572000001503284E-5</v>
      </c>
      <c r="J88" s="205"/>
      <c r="K88" s="215">
        <f t="shared" si="303"/>
        <v>-2.8572000001503284E-5</v>
      </c>
      <c r="L88" s="217">
        <f t="shared" si="306"/>
        <v>0</v>
      </c>
      <c r="M88" s="219" t="s">
        <v>32</v>
      </c>
      <c r="N88" s="84"/>
      <c r="O88" s="84"/>
      <c r="P88" s="84"/>
      <c r="Q88" s="84"/>
      <c r="R88" s="84"/>
      <c r="S88" s="758"/>
      <c r="T88" s="1137"/>
    </row>
    <row r="89" spans="1:20" ht="15" customHeight="1">
      <c r="A89" s="57">
        <v>71</v>
      </c>
      <c r="B89" s="182">
        <f t="shared" ref="B89" si="314">+B87+$B$19</f>
        <v>36</v>
      </c>
      <c r="C89" s="176" t="s">
        <v>106</v>
      </c>
      <c r="D89" s="177" t="s">
        <v>38</v>
      </c>
      <c r="E89" s="178" t="s">
        <v>150</v>
      </c>
      <c r="F89" s="178">
        <v>966253</v>
      </c>
      <c r="G89" s="183">
        <v>8.6507857139999995</v>
      </c>
      <c r="H89" s="1123">
        <v>-13.627000000000001</v>
      </c>
      <c r="I89" s="79">
        <f t="shared" ref="I89" si="315">G89+H89</f>
        <v>-4.9762142860000012</v>
      </c>
      <c r="J89" s="80"/>
      <c r="K89" s="214">
        <f t="shared" si="303"/>
        <v>-4.9762142860000012</v>
      </c>
      <c r="L89" s="216">
        <f t="shared" si="306"/>
        <v>0</v>
      </c>
      <c r="M89" s="218" t="s">
        <v>32</v>
      </c>
      <c r="N89" s="81">
        <f t="shared" ref="N89:O89" si="316">G89+G90</f>
        <v>13.626971427999999</v>
      </c>
      <c r="O89" s="82">
        <f t="shared" si="316"/>
        <v>-13.627000000000001</v>
      </c>
      <c r="P89" s="81">
        <f t="shared" ref="P89" si="317">N89+O89</f>
        <v>-2.8572000001503284E-5</v>
      </c>
      <c r="Q89" s="83">
        <f t="shared" ref="Q89" si="318">J89+J90</f>
        <v>0</v>
      </c>
      <c r="R89" s="81">
        <f t="shared" ref="R89" si="319">P89-Q89</f>
        <v>-2.8572000001503284E-5</v>
      </c>
      <c r="S89" s="757">
        <f t="shared" ref="S89" si="320">Q89/P89</f>
        <v>0</v>
      </c>
      <c r="T89" s="1136">
        <f t="shared" si="174"/>
        <v>1.0000020967241439</v>
      </c>
    </row>
    <row r="90" spans="1:20" ht="15" customHeight="1" thickBot="1">
      <c r="A90" s="57">
        <v>72</v>
      </c>
      <c r="B90" s="182">
        <f t="shared" ref="B90" si="321">+B88+$B$20</f>
        <v>36</v>
      </c>
      <c r="C90" s="199" t="s">
        <v>106</v>
      </c>
      <c r="D90" s="200" t="s">
        <v>102</v>
      </c>
      <c r="E90" s="201" t="s">
        <v>150</v>
      </c>
      <c r="F90" s="201">
        <v>966253</v>
      </c>
      <c r="G90" s="202">
        <v>4.9761857139999996</v>
      </c>
      <c r="H90" s="203"/>
      <c r="I90" s="204">
        <f t="shared" ref="I90" si="322">G90+H90+K89</f>
        <v>-2.8572000001503284E-5</v>
      </c>
      <c r="J90" s="205"/>
      <c r="K90" s="215">
        <f t="shared" si="303"/>
        <v>-2.8572000001503284E-5</v>
      </c>
      <c r="L90" s="217">
        <f t="shared" si="306"/>
        <v>0</v>
      </c>
      <c r="M90" s="219" t="s">
        <v>32</v>
      </c>
      <c r="N90" s="84"/>
      <c r="O90" s="84"/>
      <c r="P90" s="84"/>
      <c r="Q90" s="84"/>
      <c r="R90" s="84"/>
      <c r="S90" s="758"/>
      <c r="T90" s="1137"/>
    </row>
    <row r="91" spans="1:20" ht="15" customHeight="1">
      <c r="A91" s="57">
        <v>73</v>
      </c>
      <c r="B91" s="182">
        <f t="shared" ref="B91" si="323">+B89+$B$19</f>
        <v>37</v>
      </c>
      <c r="C91" s="176" t="s">
        <v>106</v>
      </c>
      <c r="D91" s="177" t="s">
        <v>38</v>
      </c>
      <c r="E91" s="178" t="s">
        <v>151</v>
      </c>
      <c r="F91" s="178">
        <v>955409</v>
      </c>
      <c r="G91" s="183">
        <v>8.6507857139999995</v>
      </c>
      <c r="H91" s="1123">
        <v>-13.627000000000001</v>
      </c>
      <c r="I91" s="79">
        <f t="shared" ref="I91" si="324">G91+H91</f>
        <v>-4.9762142860000012</v>
      </c>
      <c r="J91" s="80"/>
      <c r="K91" s="214">
        <f t="shared" si="303"/>
        <v>-4.9762142860000012</v>
      </c>
      <c r="L91" s="216">
        <f t="shared" si="306"/>
        <v>0</v>
      </c>
      <c r="M91" s="218" t="s">
        <v>32</v>
      </c>
      <c r="N91" s="81">
        <f t="shared" ref="N91:O91" si="325">G91+G92</f>
        <v>13.626971427999999</v>
      </c>
      <c r="O91" s="82">
        <f t="shared" si="325"/>
        <v>-13.627000000000001</v>
      </c>
      <c r="P91" s="81">
        <f t="shared" ref="P91" si="326">N91+O91</f>
        <v>-2.8572000001503284E-5</v>
      </c>
      <c r="Q91" s="83">
        <f t="shared" ref="Q91" si="327">J91+J92</f>
        <v>0</v>
      </c>
      <c r="R91" s="81">
        <f t="shared" ref="R91" si="328">P91-Q91</f>
        <v>-2.8572000001503284E-5</v>
      </c>
      <c r="S91" s="757">
        <f t="shared" ref="S91" si="329">Q91/P91</f>
        <v>0</v>
      </c>
      <c r="T91" s="1136">
        <f t="shared" si="174"/>
        <v>1.0000020967241439</v>
      </c>
    </row>
    <row r="92" spans="1:20" ht="15" customHeight="1" thickBot="1">
      <c r="A92" s="57">
        <v>74</v>
      </c>
      <c r="B92" s="182">
        <f t="shared" ref="B92" si="330">+B90+$B$20</f>
        <v>37</v>
      </c>
      <c r="C92" s="199" t="s">
        <v>106</v>
      </c>
      <c r="D92" s="200" t="s">
        <v>102</v>
      </c>
      <c r="E92" s="201" t="s">
        <v>151</v>
      </c>
      <c r="F92" s="201">
        <v>955409</v>
      </c>
      <c r="G92" s="202">
        <v>4.9761857139999996</v>
      </c>
      <c r="H92" s="203"/>
      <c r="I92" s="204">
        <f t="shared" ref="I92" si="331">G92+H92+K91</f>
        <v>-2.8572000001503284E-5</v>
      </c>
      <c r="J92" s="205"/>
      <c r="K92" s="215">
        <f t="shared" si="303"/>
        <v>-2.8572000001503284E-5</v>
      </c>
      <c r="L92" s="217">
        <f t="shared" si="306"/>
        <v>0</v>
      </c>
      <c r="M92" s="219" t="s">
        <v>32</v>
      </c>
      <c r="N92" s="84"/>
      <c r="O92" s="84"/>
      <c r="P92" s="84"/>
      <c r="Q92" s="84"/>
      <c r="R92" s="84"/>
      <c r="S92" s="758"/>
      <c r="T92" s="1137"/>
    </row>
    <row r="93" spans="1:20" ht="15" customHeight="1">
      <c r="A93" s="57">
        <v>75</v>
      </c>
      <c r="B93" s="182">
        <f t="shared" ref="B93" si="332">+B91+$B$19</f>
        <v>38</v>
      </c>
      <c r="C93" s="176" t="s">
        <v>106</v>
      </c>
      <c r="D93" s="177" t="s">
        <v>38</v>
      </c>
      <c r="E93" s="178" t="s">
        <v>152</v>
      </c>
      <c r="F93" s="178">
        <v>963882</v>
      </c>
      <c r="G93" s="183">
        <v>8.6507857139999995</v>
      </c>
      <c r="H93" s="1123">
        <v>-13.627000000000001</v>
      </c>
      <c r="I93" s="79">
        <f t="shared" ref="I93" si="333">G93+H93</f>
        <v>-4.9762142860000012</v>
      </c>
      <c r="J93" s="80"/>
      <c r="K93" s="214">
        <f t="shared" si="303"/>
        <v>-4.9762142860000012</v>
      </c>
      <c r="L93" s="216">
        <f t="shared" si="306"/>
        <v>0</v>
      </c>
      <c r="M93" s="218" t="s">
        <v>32</v>
      </c>
      <c r="N93" s="81">
        <f t="shared" ref="N93:O93" si="334">G93+G94</f>
        <v>13.626971427999999</v>
      </c>
      <c r="O93" s="82">
        <f t="shared" si="334"/>
        <v>-13.627000000000001</v>
      </c>
      <c r="P93" s="81">
        <f t="shared" ref="P93" si="335">N93+O93</f>
        <v>-2.8572000001503284E-5</v>
      </c>
      <c r="Q93" s="83">
        <f t="shared" ref="Q93" si="336">J93+J94</f>
        <v>0</v>
      </c>
      <c r="R93" s="81">
        <f t="shared" ref="R93" si="337">P93-Q93</f>
        <v>-2.8572000001503284E-5</v>
      </c>
      <c r="S93" s="757">
        <f t="shared" ref="S93" si="338">Q93/P93</f>
        <v>0</v>
      </c>
      <c r="T93" s="1136">
        <f t="shared" si="174"/>
        <v>1.0000020967241439</v>
      </c>
    </row>
    <row r="94" spans="1:20" ht="15" customHeight="1" thickBot="1">
      <c r="A94" s="57">
        <v>76</v>
      </c>
      <c r="B94" s="182">
        <f t="shared" ref="B94" si="339">+B92+$B$20</f>
        <v>38</v>
      </c>
      <c r="C94" s="199" t="s">
        <v>106</v>
      </c>
      <c r="D94" s="200" t="s">
        <v>102</v>
      </c>
      <c r="E94" s="201" t="s">
        <v>152</v>
      </c>
      <c r="F94" s="201">
        <v>963882</v>
      </c>
      <c r="G94" s="202">
        <v>4.9761857139999996</v>
      </c>
      <c r="H94" s="203"/>
      <c r="I94" s="204">
        <f t="shared" ref="I94" si="340">G94+H94+K93</f>
        <v>-2.8572000001503284E-5</v>
      </c>
      <c r="J94" s="205"/>
      <c r="K94" s="215">
        <f t="shared" si="303"/>
        <v>-2.8572000001503284E-5</v>
      </c>
      <c r="L94" s="217">
        <f t="shared" si="306"/>
        <v>0</v>
      </c>
      <c r="M94" s="219" t="s">
        <v>32</v>
      </c>
      <c r="N94" s="84"/>
      <c r="O94" s="84"/>
      <c r="P94" s="84"/>
      <c r="Q94" s="84"/>
      <c r="R94" s="84"/>
      <c r="S94" s="758"/>
      <c r="T94" s="1137"/>
    </row>
    <row r="95" spans="1:20" ht="15" customHeight="1">
      <c r="A95" s="57">
        <v>77</v>
      </c>
      <c r="B95" s="182">
        <f t="shared" ref="B95" si="341">+B93+$B$19</f>
        <v>39</v>
      </c>
      <c r="C95" s="176" t="s">
        <v>106</v>
      </c>
      <c r="D95" s="177" t="s">
        <v>38</v>
      </c>
      <c r="E95" s="178" t="s">
        <v>153</v>
      </c>
      <c r="F95" s="178">
        <v>920062</v>
      </c>
      <c r="G95" s="183">
        <v>8.6507857139999995</v>
      </c>
      <c r="H95" s="1123">
        <v>-13.627000000000001</v>
      </c>
      <c r="I95" s="79">
        <f t="shared" ref="I95" si="342">G95+H95</f>
        <v>-4.9762142860000012</v>
      </c>
      <c r="J95" s="80"/>
      <c r="K95" s="214">
        <f t="shared" si="303"/>
        <v>-4.9762142860000012</v>
      </c>
      <c r="L95" s="216">
        <f t="shared" si="306"/>
        <v>0</v>
      </c>
      <c r="M95" s="218" t="s">
        <v>32</v>
      </c>
      <c r="N95" s="81">
        <f t="shared" ref="N95:O95" si="343">G95+G96</f>
        <v>13.626971427999999</v>
      </c>
      <c r="O95" s="82">
        <f t="shared" si="343"/>
        <v>-13.627000000000001</v>
      </c>
      <c r="P95" s="81">
        <f t="shared" ref="P95" si="344">N95+O95</f>
        <v>-2.8572000001503284E-5</v>
      </c>
      <c r="Q95" s="83">
        <f t="shared" ref="Q95" si="345">J95+J96</f>
        <v>0</v>
      </c>
      <c r="R95" s="81">
        <f t="shared" ref="R95" si="346">P95-Q95</f>
        <v>-2.8572000001503284E-5</v>
      </c>
      <c r="S95" s="757">
        <f t="shared" ref="S95" si="347">Q95/P95</f>
        <v>0</v>
      </c>
      <c r="T95" s="1136">
        <f t="shared" si="174"/>
        <v>1.0000020967241439</v>
      </c>
    </row>
    <row r="96" spans="1:20" ht="15" customHeight="1" thickBot="1">
      <c r="A96" s="57">
        <v>78</v>
      </c>
      <c r="B96" s="182">
        <f t="shared" ref="B96" si="348">+B94+$B$20</f>
        <v>39</v>
      </c>
      <c r="C96" s="199" t="s">
        <v>106</v>
      </c>
      <c r="D96" s="200" t="s">
        <v>102</v>
      </c>
      <c r="E96" s="201" t="s">
        <v>153</v>
      </c>
      <c r="F96" s="201">
        <v>920062</v>
      </c>
      <c r="G96" s="202">
        <v>4.9761857139999996</v>
      </c>
      <c r="H96" s="203"/>
      <c r="I96" s="204">
        <f t="shared" ref="I96" si="349">G96+H96+K95</f>
        <v>-2.8572000001503284E-5</v>
      </c>
      <c r="J96" s="205"/>
      <c r="K96" s="215">
        <f t="shared" si="303"/>
        <v>-2.8572000001503284E-5</v>
      </c>
      <c r="L96" s="217">
        <f t="shared" si="306"/>
        <v>0</v>
      </c>
      <c r="M96" s="219" t="s">
        <v>32</v>
      </c>
      <c r="N96" s="84"/>
      <c r="O96" s="84"/>
      <c r="P96" s="84"/>
      <c r="Q96" s="84"/>
      <c r="R96" s="84"/>
      <c r="S96" s="758"/>
      <c r="T96" s="1137"/>
    </row>
    <row r="97" spans="1:20" ht="15" customHeight="1">
      <c r="A97" s="57">
        <v>79</v>
      </c>
      <c r="B97" s="182">
        <f t="shared" ref="B97" si="350">+B95+$B$19</f>
        <v>40</v>
      </c>
      <c r="C97" s="176" t="s">
        <v>106</v>
      </c>
      <c r="D97" s="177" t="s">
        <v>38</v>
      </c>
      <c r="E97" s="178" t="s">
        <v>154</v>
      </c>
      <c r="F97" s="178">
        <v>922418</v>
      </c>
      <c r="G97" s="183">
        <v>8.6507857139999995</v>
      </c>
      <c r="H97" s="1123">
        <v>-13.627000000000001</v>
      </c>
      <c r="I97" s="79">
        <f t="shared" ref="I97" si="351">G97+H97</f>
        <v>-4.9762142860000012</v>
      </c>
      <c r="J97" s="80"/>
      <c r="K97" s="214">
        <f t="shared" si="303"/>
        <v>-4.9762142860000012</v>
      </c>
      <c r="L97" s="216">
        <f t="shared" si="306"/>
        <v>0</v>
      </c>
      <c r="M97" s="218" t="s">
        <v>32</v>
      </c>
      <c r="N97" s="81">
        <f t="shared" ref="N97:O97" si="352">G97+G98</f>
        <v>13.626971427999999</v>
      </c>
      <c r="O97" s="82">
        <f t="shared" si="352"/>
        <v>-13.627000000000001</v>
      </c>
      <c r="P97" s="81">
        <f t="shared" ref="P97" si="353">N97+O97</f>
        <v>-2.8572000001503284E-5</v>
      </c>
      <c r="Q97" s="83">
        <f t="shared" ref="Q97" si="354">J97+J98</f>
        <v>0</v>
      </c>
      <c r="R97" s="81">
        <f t="shared" ref="R97" si="355">P97-Q97</f>
        <v>-2.8572000001503284E-5</v>
      </c>
      <c r="S97" s="757">
        <f t="shared" ref="S97" si="356">Q97/P97</f>
        <v>0</v>
      </c>
      <c r="T97" s="1136">
        <f t="shared" si="174"/>
        <v>1.0000020967241439</v>
      </c>
    </row>
    <row r="98" spans="1:20" ht="15" customHeight="1" thickBot="1">
      <c r="A98" s="57">
        <v>80</v>
      </c>
      <c r="B98" s="182">
        <f t="shared" ref="B98" si="357">+B96+$B$20</f>
        <v>40</v>
      </c>
      <c r="C98" s="199" t="s">
        <v>106</v>
      </c>
      <c r="D98" s="200" t="s">
        <v>102</v>
      </c>
      <c r="E98" s="201" t="s">
        <v>154</v>
      </c>
      <c r="F98" s="201">
        <v>922418</v>
      </c>
      <c r="G98" s="202">
        <v>4.9761857139999996</v>
      </c>
      <c r="H98" s="203"/>
      <c r="I98" s="204">
        <f t="shared" ref="I98" si="358">G98+H98+K97</f>
        <v>-2.8572000001503284E-5</v>
      </c>
      <c r="J98" s="205"/>
      <c r="K98" s="215">
        <f t="shared" si="303"/>
        <v>-2.8572000001503284E-5</v>
      </c>
      <c r="L98" s="217">
        <f t="shared" si="306"/>
        <v>0</v>
      </c>
      <c r="M98" s="219" t="s">
        <v>32</v>
      </c>
      <c r="N98" s="84"/>
      <c r="O98" s="84"/>
      <c r="P98" s="84"/>
      <c r="Q98" s="84"/>
      <c r="R98" s="84"/>
      <c r="S98" s="758"/>
      <c r="T98" s="1137"/>
    </row>
    <row r="99" spans="1:20" ht="15" customHeight="1">
      <c r="A99" s="57">
        <v>81</v>
      </c>
      <c r="B99" s="182">
        <f t="shared" ref="B99" si="359">+B97+$B$19</f>
        <v>41</v>
      </c>
      <c r="C99" s="176" t="s">
        <v>106</v>
      </c>
      <c r="D99" s="177" t="s">
        <v>38</v>
      </c>
      <c r="E99" s="178" t="s">
        <v>155</v>
      </c>
      <c r="F99" s="178">
        <v>964568</v>
      </c>
      <c r="G99" s="183">
        <v>8.6507857139999995</v>
      </c>
      <c r="H99" s="1123">
        <v>-13.627000000000001</v>
      </c>
      <c r="I99" s="79">
        <f t="shared" ref="I99" si="360">G99+H99</f>
        <v>-4.9762142860000012</v>
      </c>
      <c r="J99" s="80"/>
      <c r="K99" s="214">
        <f t="shared" si="303"/>
        <v>-4.9762142860000012</v>
      </c>
      <c r="L99" s="216">
        <f t="shared" si="306"/>
        <v>0</v>
      </c>
      <c r="M99" s="218" t="s">
        <v>32</v>
      </c>
      <c r="N99" s="81">
        <f t="shared" ref="N99:O99" si="361">G99+G100</f>
        <v>13.626971427999999</v>
      </c>
      <c r="O99" s="82">
        <f t="shared" si="361"/>
        <v>-13.627000000000001</v>
      </c>
      <c r="P99" s="81">
        <f t="shared" ref="P99" si="362">N99+O99</f>
        <v>-2.8572000001503284E-5</v>
      </c>
      <c r="Q99" s="83">
        <f t="shared" ref="Q99" si="363">J99+J100</f>
        <v>0</v>
      </c>
      <c r="R99" s="81">
        <f t="shared" ref="R99" si="364">P99-Q99</f>
        <v>-2.8572000001503284E-5</v>
      </c>
      <c r="S99" s="757">
        <f t="shared" ref="S99" si="365">Q99/P99</f>
        <v>0</v>
      </c>
      <c r="T99" s="1136">
        <f t="shared" si="174"/>
        <v>1.0000020967241439</v>
      </c>
    </row>
    <row r="100" spans="1:20" ht="15" customHeight="1" thickBot="1">
      <c r="A100" s="57">
        <v>82</v>
      </c>
      <c r="B100" s="182">
        <f t="shared" ref="B100" si="366">+B98+$B$20</f>
        <v>41</v>
      </c>
      <c r="C100" s="199" t="s">
        <v>106</v>
      </c>
      <c r="D100" s="200" t="s">
        <v>102</v>
      </c>
      <c r="E100" s="201" t="s">
        <v>155</v>
      </c>
      <c r="F100" s="201">
        <v>964568</v>
      </c>
      <c r="G100" s="202">
        <v>4.9761857139999996</v>
      </c>
      <c r="H100" s="203"/>
      <c r="I100" s="204">
        <f t="shared" ref="I100" si="367">G100+H100+K99</f>
        <v>-2.8572000001503284E-5</v>
      </c>
      <c r="J100" s="205"/>
      <c r="K100" s="215">
        <f t="shared" si="303"/>
        <v>-2.8572000001503284E-5</v>
      </c>
      <c r="L100" s="217">
        <f t="shared" si="306"/>
        <v>0</v>
      </c>
      <c r="M100" s="219" t="s">
        <v>32</v>
      </c>
      <c r="N100" s="84"/>
      <c r="O100" s="84"/>
      <c r="P100" s="84"/>
      <c r="Q100" s="84"/>
      <c r="R100" s="84"/>
      <c r="S100" s="758"/>
      <c r="T100" s="1137"/>
    </row>
    <row r="101" spans="1:20" ht="15" customHeight="1">
      <c r="A101" s="57">
        <v>83</v>
      </c>
      <c r="B101" s="182">
        <f t="shared" ref="B101" si="368">+B99+$B$19</f>
        <v>42</v>
      </c>
      <c r="C101" s="176" t="s">
        <v>106</v>
      </c>
      <c r="D101" s="177" t="s">
        <v>38</v>
      </c>
      <c r="E101" s="178" t="s">
        <v>156</v>
      </c>
      <c r="F101" s="178">
        <v>966191</v>
      </c>
      <c r="G101" s="183">
        <v>8.6507857139999995</v>
      </c>
      <c r="H101" s="1123">
        <v>-13.627000000000001</v>
      </c>
      <c r="I101" s="79">
        <f t="shared" ref="I101" si="369">G101+H101</f>
        <v>-4.9762142860000012</v>
      </c>
      <c r="J101" s="80"/>
      <c r="K101" s="214">
        <f t="shared" si="303"/>
        <v>-4.9762142860000012</v>
      </c>
      <c r="L101" s="216">
        <f t="shared" si="306"/>
        <v>0</v>
      </c>
      <c r="M101" s="218" t="s">
        <v>32</v>
      </c>
      <c r="N101" s="81">
        <f t="shared" ref="N101:O101" si="370">G101+G102</f>
        <v>13.626971427999999</v>
      </c>
      <c r="O101" s="82">
        <f t="shared" si="370"/>
        <v>-13.627000000000001</v>
      </c>
      <c r="P101" s="81">
        <f t="shared" ref="P101" si="371">N101+O101</f>
        <v>-2.8572000001503284E-5</v>
      </c>
      <c r="Q101" s="83">
        <f t="shared" ref="Q101" si="372">J101+J102</f>
        <v>0</v>
      </c>
      <c r="R101" s="81">
        <f t="shared" ref="R101" si="373">P101-Q101</f>
        <v>-2.8572000001503284E-5</v>
      </c>
      <c r="S101" s="757">
        <f t="shared" ref="S101" si="374">Q101/P101</f>
        <v>0</v>
      </c>
      <c r="T101" s="1136">
        <f t="shared" si="174"/>
        <v>1.0000020967241439</v>
      </c>
    </row>
    <row r="102" spans="1:20" ht="15" customHeight="1" thickBot="1">
      <c r="A102" s="57">
        <v>84</v>
      </c>
      <c r="B102" s="182">
        <f t="shared" ref="B102" si="375">+B100+$B$20</f>
        <v>42</v>
      </c>
      <c r="C102" s="199" t="s">
        <v>106</v>
      </c>
      <c r="D102" s="200" t="s">
        <v>102</v>
      </c>
      <c r="E102" s="201" t="s">
        <v>156</v>
      </c>
      <c r="F102" s="201">
        <v>966191</v>
      </c>
      <c r="G102" s="202">
        <v>4.9761857139999996</v>
      </c>
      <c r="H102" s="203"/>
      <c r="I102" s="204">
        <f t="shared" ref="I102" si="376">G102+H102+K101</f>
        <v>-2.8572000001503284E-5</v>
      </c>
      <c r="J102" s="205"/>
      <c r="K102" s="215">
        <f t="shared" si="303"/>
        <v>-2.8572000001503284E-5</v>
      </c>
      <c r="L102" s="217">
        <f t="shared" si="306"/>
        <v>0</v>
      </c>
      <c r="M102" s="219" t="s">
        <v>32</v>
      </c>
      <c r="N102" s="84"/>
      <c r="O102" s="84"/>
      <c r="P102" s="84"/>
      <c r="Q102" s="84"/>
      <c r="R102" s="84"/>
      <c r="S102" s="758"/>
      <c r="T102" s="1137"/>
    </row>
    <row r="103" spans="1:20" ht="15" customHeight="1">
      <c r="A103" s="57">
        <v>85</v>
      </c>
      <c r="B103" s="182">
        <f t="shared" ref="B103" si="377">+B101+$B$19</f>
        <v>43</v>
      </c>
      <c r="C103" s="176" t="s">
        <v>106</v>
      </c>
      <c r="D103" s="177" t="s">
        <v>38</v>
      </c>
      <c r="E103" s="178" t="s">
        <v>157</v>
      </c>
      <c r="F103" s="178">
        <v>15641</v>
      </c>
      <c r="G103" s="183">
        <v>8.6507857139999995</v>
      </c>
      <c r="H103" s="1123">
        <v>-13.627000000000001</v>
      </c>
      <c r="I103" s="79">
        <f t="shared" ref="I103" si="378">G103+H103</f>
        <v>-4.9762142860000012</v>
      </c>
      <c r="J103" s="80"/>
      <c r="K103" s="214">
        <f t="shared" si="303"/>
        <v>-4.9762142860000012</v>
      </c>
      <c r="L103" s="216">
        <f t="shared" si="306"/>
        <v>0</v>
      </c>
      <c r="M103" s="218" t="s">
        <v>32</v>
      </c>
      <c r="N103" s="81">
        <f t="shared" ref="N103:O103" si="379">G103+G104</f>
        <v>13.626971427999999</v>
      </c>
      <c r="O103" s="82">
        <f t="shared" si="379"/>
        <v>-13.627000000000001</v>
      </c>
      <c r="P103" s="81">
        <f t="shared" ref="P103" si="380">N103+O103</f>
        <v>-2.8572000001503284E-5</v>
      </c>
      <c r="Q103" s="83">
        <f t="shared" ref="Q103" si="381">J103+J104</f>
        <v>0</v>
      </c>
      <c r="R103" s="81">
        <f t="shared" ref="R103" si="382">P103-Q103</f>
        <v>-2.8572000001503284E-5</v>
      </c>
      <c r="S103" s="757">
        <f t="shared" ref="S103" si="383">Q103/P103</f>
        <v>0</v>
      </c>
      <c r="T103" s="1136">
        <f t="shared" si="174"/>
        <v>1.0000020967241439</v>
      </c>
    </row>
    <row r="104" spans="1:20" ht="15" customHeight="1" thickBot="1">
      <c r="A104" s="57">
        <v>86</v>
      </c>
      <c r="B104" s="182">
        <f t="shared" ref="B104" si="384">+B102+$B$20</f>
        <v>43</v>
      </c>
      <c r="C104" s="199" t="s">
        <v>106</v>
      </c>
      <c r="D104" s="200" t="s">
        <v>102</v>
      </c>
      <c r="E104" s="201" t="s">
        <v>157</v>
      </c>
      <c r="F104" s="201">
        <v>15641</v>
      </c>
      <c r="G104" s="202">
        <v>4.9761857139999996</v>
      </c>
      <c r="H104" s="203"/>
      <c r="I104" s="204">
        <f t="shared" ref="I104" si="385">G104+H104+K103</f>
        <v>-2.8572000001503284E-5</v>
      </c>
      <c r="J104" s="205"/>
      <c r="K104" s="215">
        <f t="shared" si="303"/>
        <v>-2.8572000001503284E-5</v>
      </c>
      <c r="L104" s="217">
        <f t="shared" si="306"/>
        <v>0</v>
      </c>
      <c r="M104" s="219" t="s">
        <v>32</v>
      </c>
      <c r="N104" s="84"/>
      <c r="O104" s="84"/>
      <c r="P104" s="84"/>
      <c r="Q104" s="84"/>
      <c r="R104" s="84"/>
      <c r="S104" s="758"/>
      <c r="T104" s="1137"/>
    </row>
    <row r="105" spans="1:20" ht="15" customHeight="1">
      <c r="A105" s="57">
        <v>87</v>
      </c>
      <c r="B105" s="182">
        <f t="shared" ref="B105" si="386">+B103+$B$19</f>
        <v>44</v>
      </c>
      <c r="C105" s="176" t="s">
        <v>106</v>
      </c>
      <c r="D105" s="177" t="s">
        <v>38</v>
      </c>
      <c r="E105" s="178" t="s">
        <v>158</v>
      </c>
      <c r="F105" s="178">
        <v>950962</v>
      </c>
      <c r="G105" s="183">
        <v>8.6507857139999995</v>
      </c>
      <c r="H105" s="1123">
        <v>-13.627000000000001</v>
      </c>
      <c r="I105" s="79">
        <f t="shared" ref="I105" si="387">G105+H105</f>
        <v>-4.9762142860000012</v>
      </c>
      <c r="J105" s="80"/>
      <c r="K105" s="214">
        <f t="shared" si="303"/>
        <v>-4.9762142860000012</v>
      </c>
      <c r="L105" s="216">
        <f t="shared" si="306"/>
        <v>0</v>
      </c>
      <c r="M105" s="218" t="s">
        <v>32</v>
      </c>
      <c r="N105" s="81">
        <f t="shared" ref="N105:O105" si="388">G105+G106</f>
        <v>13.626971427999999</v>
      </c>
      <c r="O105" s="82">
        <f t="shared" si="388"/>
        <v>-13.627000000000001</v>
      </c>
      <c r="P105" s="81">
        <f t="shared" ref="P105" si="389">N105+O105</f>
        <v>-2.8572000001503284E-5</v>
      </c>
      <c r="Q105" s="83">
        <f t="shared" ref="Q105" si="390">J105+J106</f>
        <v>0</v>
      </c>
      <c r="R105" s="81">
        <f t="shared" ref="R105" si="391">P105-Q105</f>
        <v>-2.8572000001503284E-5</v>
      </c>
      <c r="S105" s="757">
        <f t="shared" ref="S105" si="392">Q105/P105</f>
        <v>0</v>
      </c>
      <c r="T105" s="1136">
        <f t="shared" si="174"/>
        <v>1.0000020967241439</v>
      </c>
    </row>
    <row r="106" spans="1:20" ht="15" customHeight="1" thickBot="1">
      <c r="A106" s="57">
        <v>88</v>
      </c>
      <c r="B106" s="182">
        <f t="shared" ref="B106" si="393">+B104+$B$20</f>
        <v>44</v>
      </c>
      <c r="C106" s="199" t="s">
        <v>106</v>
      </c>
      <c r="D106" s="200" t="s">
        <v>102</v>
      </c>
      <c r="E106" s="201" t="s">
        <v>158</v>
      </c>
      <c r="F106" s="201">
        <v>950962</v>
      </c>
      <c r="G106" s="202">
        <v>4.9761857139999996</v>
      </c>
      <c r="H106" s="203"/>
      <c r="I106" s="204">
        <f t="shared" ref="I106" si="394">G106+H106+K105</f>
        <v>-2.8572000001503284E-5</v>
      </c>
      <c r="J106" s="205"/>
      <c r="K106" s="215">
        <f t="shared" si="303"/>
        <v>-2.8572000001503284E-5</v>
      </c>
      <c r="L106" s="217">
        <f t="shared" si="306"/>
        <v>0</v>
      </c>
      <c r="M106" s="219" t="s">
        <v>32</v>
      </c>
      <c r="N106" s="84"/>
      <c r="O106" s="84"/>
      <c r="P106" s="84"/>
      <c r="Q106" s="84"/>
      <c r="R106" s="84"/>
      <c r="S106" s="758"/>
      <c r="T106" s="1137"/>
    </row>
    <row r="107" spans="1:20" ht="15" customHeight="1">
      <c r="A107" s="57">
        <v>89</v>
      </c>
      <c r="B107" s="182">
        <f t="shared" ref="B107" si="395">+B105+$B$19</f>
        <v>45</v>
      </c>
      <c r="C107" s="176" t="s">
        <v>106</v>
      </c>
      <c r="D107" s="177" t="s">
        <v>38</v>
      </c>
      <c r="E107" s="178" t="s">
        <v>159</v>
      </c>
      <c r="F107" s="178">
        <v>15642</v>
      </c>
      <c r="G107" s="183">
        <v>8.6507857139999995</v>
      </c>
      <c r="H107" s="1123">
        <v>-13.627000000000001</v>
      </c>
      <c r="I107" s="79">
        <f t="shared" ref="I107" si="396">G107+H107</f>
        <v>-4.9762142860000012</v>
      </c>
      <c r="J107" s="80"/>
      <c r="K107" s="214">
        <f t="shared" si="303"/>
        <v>-4.9762142860000012</v>
      </c>
      <c r="L107" s="216">
        <f t="shared" si="306"/>
        <v>0</v>
      </c>
      <c r="M107" s="218" t="s">
        <v>32</v>
      </c>
      <c r="N107" s="81">
        <f t="shared" ref="N107:O107" si="397">G107+G108</f>
        <v>13.626971427999999</v>
      </c>
      <c r="O107" s="82">
        <f t="shared" si="397"/>
        <v>-13.627000000000001</v>
      </c>
      <c r="P107" s="81">
        <f t="shared" ref="P107" si="398">N107+O107</f>
        <v>-2.8572000001503284E-5</v>
      </c>
      <c r="Q107" s="83">
        <f t="shared" ref="Q107" si="399">J107+J108</f>
        <v>0</v>
      </c>
      <c r="R107" s="81">
        <f t="shared" ref="R107" si="400">P107-Q107</f>
        <v>-2.8572000001503284E-5</v>
      </c>
      <c r="S107" s="757">
        <f t="shared" ref="S107" si="401">Q107/P107</f>
        <v>0</v>
      </c>
      <c r="T107" s="1136">
        <f t="shared" si="174"/>
        <v>1.0000020967241439</v>
      </c>
    </row>
    <row r="108" spans="1:20" ht="15" customHeight="1" thickBot="1">
      <c r="A108" s="57">
        <v>90</v>
      </c>
      <c r="B108" s="182">
        <f t="shared" ref="B108" si="402">+B106+$B$20</f>
        <v>45</v>
      </c>
      <c r="C108" s="199" t="s">
        <v>106</v>
      </c>
      <c r="D108" s="200" t="s">
        <v>102</v>
      </c>
      <c r="E108" s="201" t="s">
        <v>159</v>
      </c>
      <c r="F108" s="201">
        <v>15642</v>
      </c>
      <c r="G108" s="202">
        <v>4.9761857139999996</v>
      </c>
      <c r="H108" s="203"/>
      <c r="I108" s="204">
        <f t="shared" ref="I108" si="403">G108+H108+K107</f>
        <v>-2.8572000001503284E-5</v>
      </c>
      <c r="J108" s="205"/>
      <c r="K108" s="215">
        <f t="shared" si="303"/>
        <v>-2.8572000001503284E-5</v>
      </c>
      <c r="L108" s="217">
        <f t="shared" si="306"/>
        <v>0</v>
      </c>
      <c r="M108" s="219" t="s">
        <v>32</v>
      </c>
      <c r="N108" s="84"/>
      <c r="O108" s="84"/>
      <c r="P108" s="84"/>
      <c r="Q108" s="84"/>
      <c r="R108" s="84"/>
      <c r="S108" s="758"/>
      <c r="T108" s="1137"/>
    </row>
    <row r="109" spans="1:20" ht="15" customHeight="1">
      <c r="A109" s="57">
        <v>91</v>
      </c>
      <c r="B109" s="182">
        <f t="shared" ref="B109" si="404">+B107+$B$19</f>
        <v>46</v>
      </c>
      <c r="C109" s="176" t="s">
        <v>106</v>
      </c>
      <c r="D109" s="177" t="s">
        <v>38</v>
      </c>
      <c r="E109" s="178" t="s">
        <v>160</v>
      </c>
      <c r="F109" s="178">
        <v>967065</v>
      </c>
      <c r="G109" s="183">
        <v>8.6507857139999995</v>
      </c>
      <c r="H109" s="1127">
        <v>-11</v>
      </c>
      <c r="I109" s="79">
        <f t="shared" ref="I109" si="405">G109+H109</f>
        <v>-2.3492142860000005</v>
      </c>
      <c r="J109" s="80"/>
      <c r="K109" s="214">
        <f t="shared" si="303"/>
        <v>-2.3492142860000005</v>
      </c>
      <c r="L109" s="216">
        <f t="shared" si="306"/>
        <v>0</v>
      </c>
      <c r="M109" s="218" t="s">
        <v>32</v>
      </c>
      <c r="N109" s="81">
        <f t="shared" ref="N109:O109" si="406">G109+G110</f>
        <v>13.626971427999999</v>
      </c>
      <c r="O109" s="82">
        <f t="shared" si="406"/>
        <v>-11</v>
      </c>
      <c r="P109" s="81">
        <f t="shared" ref="P109" si="407">N109+O109</f>
        <v>2.6269714279999992</v>
      </c>
      <c r="Q109" s="83">
        <f t="shared" ref="Q109" si="408">J109+J110</f>
        <v>0</v>
      </c>
      <c r="R109" s="81">
        <f t="shared" ref="R109" si="409">P109-Q109</f>
        <v>2.6269714279999992</v>
      </c>
      <c r="S109" s="757">
        <f t="shared" ref="S109" si="410">Q109/P109</f>
        <v>0</v>
      </c>
      <c r="T109" s="1136">
        <f t="shared" si="174"/>
        <v>0.80722265091110168</v>
      </c>
    </row>
    <row r="110" spans="1:20" ht="15" customHeight="1" thickBot="1">
      <c r="A110" s="57">
        <v>92</v>
      </c>
      <c r="B110" s="182">
        <f t="shared" ref="B110" si="411">+B108+$B$20</f>
        <v>46</v>
      </c>
      <c r="C110" s="199" t="s">
        <v>106</v>
      </c>
      <c r="D110" s="200" t="s">
        <v>102</v>
      </c>
      <c r="E110" s="201" t="s">
        <v>160</v>
      </c>
      <c r="F110" s="201">
        <v>967065</v>
      </c>
      <c r="G110" s="202">
        <v>4.9761857139999996</v>
      </c>
      <c r="H110" s="203"/>
      <c r="I110" s="204">
        <f t="shared" ref="I110" si="412">G110+H110+K109</f>
        <v>2.6269714279999992</v>
      </c>
      <c r="J110" s="205"/>
      <c r="K110" s="215">
        <f t="shared" si="303"/>
        <v>2.6269714279999992</v>
      </c>
      <c r="L110" s="217">
        <f t="shared" si="306"/>
        <v>0</v>
      </c>
      <c r="M110" s="219" t="s">
        <v>32</v>
      </c>
      <c r="N110" s="84"/>
      <c r="O110" s="84"/>
      <c r="P110" s="84"/>
      <c r="Q110" s="84"/>
      <c r="R110" s="84"/>
      <c r="S110" s="758"/>
      <c r="T110" s="1137"/>
    </row>
    <row r="111" spans="1:20" ht="15" customHeight="1">
      <c r="A111" s="57">
        <v>93</v>
      </c>
      <c r="B111" s="182">
        <f t="shared" ref="B111" si="413">+B109+$B$19</f>
        <v>47</v>
      </c>
      <c r="C111" s="176" t="s">
        <v>106</v>
      </c>
      <c r="D111" s="177" t="s">
        <v>38</v>
      </c>
      <c r="E111" s="178" t="s">
        <v>161</v>
      </c>
      <c r="F111" s="178">
        <v>951023</v>
      </c>
      <c r="G111" s="183">
        <v>8.6507857139999995</v>
      </c>
      <c r="H111" s="1123">
        <v>-13.627000000000001</v>
      </c>
      <c r="I111" s="79">
        <f t="shared" ref="I111" si="414">G111+H111</f>
        <v>-4.9762142860000012</v>
      </c>
      <c r="J111" s="80"/>
      <c r="K111" s="214">
        <f t="shared" si="303"/>
        <v>-4.9762142860000012</v>
      </c>
      <c r="L111" s="216">
        <f t="shared" si="306"/>
        <v>0</v>
      </c>
      <c r="M111" s="218" t="s">
        <v>32</v>
      </c>
      <c r="N111" s="81">
        <f t="shared" ref="N111:O111" si="415">G111+G112</f>
        <v>13.626971427999999</v>
      </c>
      <c r="O111" s="82">
        <f t="shared" si="415"/>
        <v>-13.627000000000001</v>
      </c>
      <c r="P111" s="81">
        <f t="shared" ref="P111" si="416">N111+O111</f>
        <v>-2.8572000001503284E-5</v>
      </c>
      <c r="Q111" s="83">
        <f t="shared" ref="Q111" si="417">J111+J112</f>
        <v>0</v>
      </c>
      <c r="R111" s="81">
        <f t="shared" ref="R111" si="418">P111-Q111</f>
        <v>-2.8572000001503284E-5</v>
      </c>
      <c r="S111" s="757">
        <f t="shared" ref="S111" si="419">Q111/P111</f>
        <v>0</v>
      </c>
      <c r="T111" s="1136">
        <f t="shared" si="174"/>
        <v>1.0000020967241439</v>
      </c>
    </row>
    <row r="112" spans="1:20" ht="15" customHeight="1" thickBot="1">
      <c r="A112" s="57">
        <v>94</v>
      </c>
      <c r="B112" s="182">
        <f t="shared" ref="B112" si="420">+B110+$B$20</f>
        <v>47</v>
      </c>
      <c r="C112" s="199" t="s">
        <v>106</v>
      </c>
      <c r="D112" s="200" t="s">
        <v>102</v>
      </c>
      <c r="E112" s="201" t="s">
        <v>161</v>
      </c>
      <c r="F112" s="201">
        <v>951023</v>
      </c>
      <c r="G112" s="202">
        <v>4.9761857139999996</v>
      </c>
      <c r="H112" s="203"/>
      <c r="I112" s="204">
        <f t="shared" ref="I112" si="421">G112+H112+K111</f>
        <v>-2.8572000001503284E-5</v>
      </c>
      <c r="J112" s="205"/>
      <c r="K112" s="215">
        <f t="shared" si="303"/>
        <v>-2.8572000001503284E-5</v>
      </c>
      <c r="L112" s="217">
        <f t="shared" si="306"/>
        <v>0</v>
      </c>
      <c r="M112" s="219" t="s">
        <v>32</v>
      </c>
      <c r="N112" s="84"/>
      <c r="O112" s="84"/>
      <c r="P112" s="84"/>
      <c r="Q112" s="84"/>
      <c r="R112" s="84"/>
      <c r="S112" s="758"/>
      <c r="T112" s="1137"/>
    </row>
    <row r="113" spans="1:20" ht="15" customHeight="1">
      <c r="A113" s="57">
        <v>95</v>
      </c>
      <c r="B113" s="182">
        <f t="shared" ref="B113" si="422">+B111+$B$19</f>
        <v>48</v>
      </c>
      <c r="C113" s="176" t="s">
        <v>106</v>
      </c>
      <c r="D113" s="177" t="s">
        <v>38</v>
      </c>
      <c r="E113" s="178" t="s">
        <v>162</v>
      </c>
      <c r="F113" s="178">
        <v>913389</v>
      </c>
      <c r="G113" s="183">
        <v>8.6507857139999995</v>
      </c>
      <c r="H113" s="1123">
        <v>-13.627000000000001</v>
      </c>
      <c r="I113" s="79">
        <f t="shared" ref="I113" si="423">G113+H113</f>
        <v>-4.9762142860000012</v>
      </c>
      <c r="J113" s="80"/>
      <c r="K113" s="214">
        <f t="shared" si="303"/>
        <v>-4.9762142860000012</v>
      </c>
      <c r="L113" s="216">
        <f t="shared" si="306"/>
        <v>0</v>
      </c>
      <c r="M113" s="218" t="s">
        <v>32</v>
      </c>
      <c r="N113" s="81">
        <f t="shared" ref="N113:O113" si="424">G113+G114</f>
        <v>13.626971427999999</v>
      </c>
      <c r="O113" s="82">
        <f t="shared" si="424"/>
        <v>-13.627000000000001</v>
      </c>
      <c r="P113" s="81">
        <f t="shared" ref="P113" si="425">N113+O113</f>
        <v>-2.8572000001503284E-5</v>
      </c>
      <c r="Q113" s="83">
        <f t="shared" ref="Q113" si="426">J113+J114</f>
        <v>0</v>
      </c>
      <c r="R113" s="81">
        <f t="shared" ref="R113" si="427">P113-Q113</f>
        <v>-2.8572000001503284E-5</v>
      </c>
      <c r="S113" s="757">
        <f t="shared" ref="S113" si="428">Q113/P113</f>
        <v>0</v>
      </c>
      <c r="T113" s="1136">
        <f t="shared" si="174"/>
        <v>1.0000020967241439</v>
      </c>
    </row>
    <row r="114" spans="1:20" ht="15" customHeight="1" thickBot="1">
      <c r="A114" s="57">
        <v>96</v>
      </c>
      <c r="B114" s="182">
        <f t="shared" ref="B114" si="429">+B112+$B$20</f>
        <v>48</v>
      </c>
      <c r="C114" s="199" t="s">
        <v>106</v>
      </c>
      <c r="D114" s="200" t="s">
        <v>102</v>
      </c>
      <c r="E114" s="201" t="s">
        <v>162</v>
      </c>
      <c r="F114" s="201">
        <v>913389</v>
      </c>
      <c r="G114" s="202">
        <v>4.9761857139999996</v>
      </c>
      <c r="H114" s="203"/>
      <c r="I114" s="204">
        <f t="shared" ref="I114" si="430">G114+H114+K113</f>
        <v>-2.8572000001503284E-5</v>
      </c>
      <c r="J114" s="205"/>
      <c r="K114" s="215">
        <f t="shared" si="303"/>
        <v>-2.8572000001503284E-5</v>
      </c>
      <c r="L114" s="217">
        <f t="shared" si="306"/>
        <v>0</v>
      </c>
      <c r="M114" s="219" t="s">
        <v>32</v>
      </c>
      <c r="N114" s="84"/>
      <c r="O114" s="84"/>
      <c r="P114" s="84"/>
      <c r="Q114" s="84"/>
      <c r="R114" s="84"/>
      <c r="S114" s="758"/>
      <c r="T114" s="1137"/>
    </row>
    <row r="115" spans="1:20" ht="15" customHeight="1">
      <c r="A115" s="57">
        <v>97</v>
      </c>
      <c r="B115" s="182">
        <f t="shared" ref="B115" si="431">+B113+$B$19</f>
        <v>49</v>
      </c>
      <c r="C115" s="176" t="s">
        <v>106</v>
      </c>
      <c r="D115" s="177" t="s">
        <v>38</v>
      </c>
      <c r="E115" s="178" t="s">
        <v>163</v>
      </c>
      <c r="F115" s="178">
        <v>920447</v>
      </c>
      <c r="G115" s="183">
        <v>8.6507857139999995</v>
      </c>
      <c r="H115" s="1123">
        <v>-13.627000000000001</v>
      </c>
      <c r="I115" s="79">
        <f t="shared" ref="I115" si="432">G115+H115</f>
        <v>-4.9762142860000012</v>
      </c>
      <c r="J115" s="80"/>
      <c r="K115" s="214">
        <f t="shared" si="303"/>
        <v>-4.9762142860000012</v>
      </c>
      <c r="L115" s="216">
        <f t="shared" si="306"/>
        <v>0</v>
      </c>
      <c r="M115" s="218" t="s">
        <v>32</v>
      </c>
      <c r="N115" s="81">
        <f t="shared" ref="N115:O115" si="433">G115+G116</f>
        <v>13.626971427999999</v>
      </c>
      <c r="O115" s="82">
        <f t="shared" si="433"/>
        <v>-13.627000000000001</v>
      </c>
      <c r="P115" s="81">
        <f t="shared" ref="P115" si="434">N115+O115</f>
        <v>-2.8572000001503284E-5</v>
      </c>
      <c r="Q115" s="83">
        <f t="shared" ref="Q115" si="435">J115+J116</f>
        <v>0</v>
      </c>
      <c r="R115" s="81">
        <f t="shared" ref="R115" si="436">P115-Q115</f>
        <v>-2.8572000001503284E-5</v>
      </c>
      <c r="S115" s="757">
        <f t="shared" ref="S115" si="437">Q115/P115</f>
        <v>0</v>
      </c>
      <c r="T115" s="1136">
        <f t="shared" si="174"/>
        <v>1.0000020967241439</v>
      </c>
    </row>
    <row r="116" spans="1:20" ht="15" customHeight="1" thickBot="1">
      <c r="A116" s="57">
        <v>98</v>
      </c>
      <c r="B116" s="182">
        <f t="shared" ref="B116" si="438">+B114+$B$20</f>
        <v>49</v>
      </c>
      <c r="C116" s="199" t="s">
        <v>106</v>
      </c>
      <c r="D116" s="200" t="s">
        <v>102</v>
      </c>
      <c r="E116" s="201" t="s">
        <v>163</v>
      </c>
      <c r="F116" s="201">
        <v>920447</v>
      </c>
      <c r="G116" s="202">
        <v>4.9761857139999996</v>
      </c>
      <c r="H116" s="203"/>
      <c r="I116" s="204">
        <f t="shared" ref="I116" si="439">G116+H116+K115</f>
        <v>-2.8572000001503284E-5</v>
      </c>
      <c r="J116" s="205"/>
      <c r="K116" s="215">
        <f t="shared" si="303"/>
        <v>-2.8572000001503284E-5</v>
      </c>
      <c r="L116" s="217">
        <f t="shared" si="306"/>
        <v>0</v>
      </c>
      <c r="M116" s="219" t="s">
        <v>32</v>
      </c>
      <c r="N116" s="84"/>
      <c r="O116" s="84"/>
      <c r="P116" s="84"/>
      <c r="Q116" s="84"/>
      <c r="R116" s="84"/>
      <c r="S116" s="758"/>
      <c r="T116" s="1137"/>
    </row>
    <row r="117" spans="1:20" ht="15" customHeight="1">
      <c r="A117" s="57">
        <v>99</v>
      </c>
      <c r="B117" s="182">
        <f t="shared" ref="B117" si="440">+B115+$B$19</f>
        <v>50</v>
      </c>
      <c r="C117" s="176" t="s">
        <v>106</v>
      </c>
      <c r="D117" s="177" t="s">
        <v>38</v>
      </c>
      <c r="E117" s="178" t="s">
        <v>164</v>
      </c>
      <c r="F117" s="178">
        <v>28725</v>
      </c>
      <c r="G117" s="183">
        <v>8.6507857139999995</v>
      </c>
      <c r="H117" s="1123">
        <v>-13.627000000000001</v>
      </c>
      <c r="I117" s="79">
        <f t="shared" ref="I117" si="441">G117+H117</f>
        <v>-4.9762142860000012</v>
      </c>
      <c r="J117" s="80"/>
      <c r="K117" s="214">
        <f t="shared" si="303"/>
        <v>-4.9762142860000012</v>
      </c>
      <c r="L117" s="216">
        <f t="shared" si="306"/>
        <v>0</v>
      </c>
      <c r="M117" s="218" t="s">
        <v>32</v>
      </c>
      <c r="N117" s="81">
        <f t="shared" ref="N117:O117" si="442">G117+G118</f>
        <v>13.626971427999999</v>
      </c>
      <c r="O117" s="82">
        <f t="shared" si="442"/>
        <v>-13.627000000000001</v>
      </c>
      <c r="P117" s="81">
        <f t="shared" ref="P117" si="443">N117+O117</f>
        <v>-2.8572000001503284E-5</v>
      </c>
      <c r="Q117" s="83">
        <f t="shared" ref="Q117" si="444">J117+J118</f>
        <v>0</v>
      </c>
      <c r="R117" s="81">
        <f t="shared" ref="R117" si="445">P117-Q117</f>
        <v>-2.8572000001503284E-5</v>
      </c>
      <c r="S117" s="757">
        <f t="shared" ref="S117" si="446">Q117/P117</f>
        <v>0</v>
      </c>
      <c r="T117" s="1136">
        <f t="shared" si="174"/>
        <v>1.0000020967241439</v>
      </c>
    </row>
    <row r="118" spans="1:20" ht="15" customHeight="1" thickBot="1">
      <c r="A118" s="57">
        <v>100</v>
      </c>
      <c r="B118" s="182">
        <f t="shared" ref="B118" si="447">+B116+$B$20</f>
        <v>50</v>
      </c>
      <c r="C118" s="199" t="s">
        <v>106</v>
      </c>
      <c r="D118" s="200" t="s">
        <v>102</v>
      </c>
      <c r="E118" s="201" t="s">
        <v>164</v>
      </c>
      <c r="F118" s="201">
        <v>28725</v>
      </c>
      <c r="G118" s="202">
        <v>4.9761857139999996</v>
      </c>
      <c r="H118" s="203"/>
      <c r="I118" s="204">
        <f t="shared" ref="I118" si="448">G118+H118+K117</f>
        <v>-2.8572000001503284E-5</v>
      </c>
      <c r="J118" s="205"/>
      <c r="K118" s="215">
        <f t="shared" si="303"/>
        <v>-2.8572000001503284E-5</v>
      </c>
      <c r="L118" s="217">
        <f t="shared" si="306"/>
        <v>0</v>
      </c>
      <c r="M118" s="219" t="s">
        <v>32</v>
      </c>
      <c r="N118" s="84"/>
      <c r="O118" s="84"/>
      <c r="P118" s="84"/>
      <c r="Q118" s="84"/>
      <c r="R118" s="84"/>
      <c r="S118" s="758"/>
      <c r="T118" s="1137"/>
    </row>
    <row r="119" spans="1:20" ht="15" customHeight="1">
      <c r="A119" s="57">
        <v>101</v>
      </c>
      <c r="B119" s="182">
        <f t="shared" ref="B119" si="449">+B117+$B$19</f>
        <v>51</v>
      </c>
      <c r="C119" s="176" t="s">
        <v>106</v>
      </c>
      <c r="D119" s="177" t="s">
        <v>38</v>
      </c>
      <c r="E119" s="178" t="s">
        <v>165</v>
      </c>
      <c r="F119" s="178">
        <v>961499</v>
      </c>
      <c r="G119" s="183">
        <v>8.6507857139999995</v>
      </c>
      <c r="H119" s="1123">
        <v>-13.627000000000001</v>
      </c>
      <c r="I119" s="79">
        <f t="shared" ref="I119" si="450">G119+H119</f>
        <v>-4.9762142860000012</v>
      </c>
      <c r="J119" s="80"/>
      <c r="K119" s="214">
        <f t="shared" si="303"/>
        <v>-4.9762142860000012</v>
      </c>
      <c r="L119" s="216">
        <f t="shared" si="306"/>
        <v>0</v>
      </c>
      <c r="M119" s="218" t="s">
        <v>32</v>
      </c>
      <c r="N119" s="81">
        <f t="shared" ref="N119:O119" si="451">G119+G120</f>
        <v>13.626971427999999</v>
      </c>
      <c r="O119" s="82">
        <f t="shared" si="451"/>
        <v>-13.627000000000001</v>
      </c>
      <c r="P119" s="81">
        <f t="shared" ref="P119" si="452">N119+O119</f>
        <v>-2.8572000001503284E-5</v>
      </c>
      <c r="Q119" s="83">
        <f t="shared" ref="Q119" si="453">J119+J120</f>
        <v>0</v>
      </c>
      <c r="R119" s="81">
        <f t="shared" ref="R119" si="454">P119-Q119</f>
        <v>-2.8572000001503284E-5</v>
      </c>
      <c r="S119" s="757">
        <f t="shared" ref="S119" si="455">Q119/P119</f>
        <v>0</v>
      </c>
      <c r="T119" s="1136">
        <f t="shared" si="174"/>
        <v>1.0000020967241439</v>
      </c>
    </row>
    <row r="120" spans="1:20" ht="15" customHeight="1" thickBot="1">
      <c r="A120" s="57">
        <v>102</v>
      </c>
      <c r="B120" s="182">
        <f t="shared" ref="B120" si="456">+B118+$B$20</f>
        <v>51</v>
      </c>
      <c r="C120" s="199" t="s">
        <v>106</v>
      </c>
      <c r="D120" s="200" t="s">
        <v>102</v>
      </c>
      <c r="E120" s="201" t="s">
        <v>165</v>
      </c>
      <c r="F120" s="201">
        <v>961499</v>
      </c>
      <c r="G120" s="202">
        <v>4.9761857139999996</v>
      </c>
      <c r="H120" s="203"/>
      <c r="I120" s="204">
        <f t="shared" ref="I120" si="457">G120+H120+K119</f>
        <v>-2.8572000001503284E-5</v>
      </c>
      <c r="J120" s="205"/>
      <c r="K120" s="215">
        <f t="shared" si="303"/>
        <v>-2.8572000001503284E-5</v>
      </c>
      <c r="L120" s="217">
        <f t="shared" si="306"/>
        <v>0</v>
      </c>
      <c r="M120" s="219" t="s">
        <v>32</v>
      </c>
      <c r="N120" s="84"/>
      <c r="O120" s="84"/>
      <c r="P120" s="84"/>
      <c r="Q120" s="84"/>
      <c r="R120" s="84"/>
      <c r="S120" s="758"/>
      <c r="T120" s="1137"/>
    </row>
    <row r="121" spans="1:20" ht="15" customHeight="1">
      <c r="A121" s="57">
        <v>103</v>
      </c>
      <c r="B121" s="182">
        <f t="shared" ref="B121" si="458">+B119+$B$19</f>
        <v>52</v>
      </c>
      <c r="C121" s="176" t="s">
        <v>106</v>
      </c>
      <c r="D121" s="177" t="s">
        <v>38</v>
      </c>
      <c r="E121" s="178" t="s">
        <v>166</v>
      </c>
      <c r="F121" s="178">
        <v>33886</v>
      </c>
      <c r="G121" s="183">
        <v>8.6507857139999995</v>
      </c>
      <c r="H121" s="1123">
        <v>-13.627000000000001</v>
      </c>
      <c r="I121" s="79">
        <f t="shared" ref="I121" si="459">G121+H121</f>
        <v>-4.9762142860000012</v>
      </c>
      <c r="J121" s="80"/>
      <c r="K121" s="214">
        <f t="shared" si="303"/>
        <v>-4.9762142860000012</v>
      </c>
      <c r="L121" s="216">
        <f t="shared" si="306"/>
        <v>0</v>
      </c>
      <c r="M121" s="218" t="s">
        <v>32</v>
      </c>
      <c r="N121" s="81">
        <f t="shared" ref="N121:O121" si="460">G121+G122</f>
        <v>13.626971427999999</v>
      </c>
      <c r="O121" s="82">
        <f t="shared" si="460"/>
        <v>-13.627000000000001</v>
      </c>
      <c r="P121" s="81">
        <f t="shared" ref="P121" si="461">N121+O121</f>
        <v>-2.8572000001503284E-5</v>
      </c>
      <c r="Q121" s="83">
        <f t="shared" ref="Q121" si="462">J121+J122</f>
        <v>0</v>
      </c>
      <c r="R121" s="81">
        <f t="shared" ref="R121" si="463">P121-Q121</f>
        <v>-2.8572000001503284E-5</v>
      </c>
      <c r="S121" s="757">
        <f t="shared" ref="S121" si="464">Q121/P121</f>
        <v>0</v>
      </c>
      <c r="T121" s="1136">
        <f t="shared" ref="T121:T184" si="465">100%-(R121/N121)</f>
        <v>1.0000020967241439</v>
      </c>
    </row>
    <row r="122" spans="1:20" ht="15" customHeight="1" thickBot="1">
      <c r="A122" s="57">
        <v>104</v>
      </c>
      <c r="B122" s="182">
        <f t="shared" ref="B122" si="466">+B120+$B$20</f>
        <v>52</v>
      </c>
      <c r="C122" s="199" t="s">
        <v>106</v>
      </c>
      <c r="D122" s="200" t="s">
        <v>102</v>
      </c>
      <c r="E122" s="201" t="s">
        <v>166</v>
      </c>
      <c r="F122" s="201">
        <v>33886</v>
      </c>
      <c r="G122" s="202">
        <v>4.9761857139999996</v>
      </c>
      <c r="H122" s="203"/>
      <c r="I122" s="204">
        <f t="shared" ref="I122" si="467">G122+H122+K121</f>
        <v>-2.8572000001503284E-5</v>
      </c>
      <c r="J122" s="205"/>
      <c r="K122" s="215">
        <f t="shared" si="303"/>
        <v>-2.8572000001503284E-5</v>
      </c>
      <c r="L122" s="217">
        <f t="shared" si="306"/>
        <v>0</v>
      </c>
      <c r="M122" s="219" t="s">
        <v>32</v>
      </c>
      <c r="N122" s="84"/>
      <c r="O122" s="84"/>
      <c r="P122" s="84"/>
      <c r="Q122" s="84"/>
      <c r="R122" s="84"/>
      <c r="S122" s="758"/>
      <c r="T122" s="1137"/>
    </row>
    <row r="123" spans="1:20" ht="15" customHeight="1">
      <c r="A123" s="57">
        <v>105</v>
      </c>
      <c r="B123" s="182">
        <f t="shared" ref="B123" si="468">+B121+$B$19</f>
        <v>53</v>
      </c>
      <c r="C123" s="176" t="s">
        <v>106</v>
      </c>
      <c r="D123" s="177" t="s">
        <v>38</v>
      </c>
      <c r="E123" s="178" t="s">
        <v>167</v>
      </c>
      <c r="F123" s="178">
        <v>956000</v>
      </c>
      <c r="G123" s="183">
        <v>8.6507857139999995</v>
      </c>
      <c r="H123" s="1123">
        <v>-13.627000000000001</v>
      </c>
      <c r="I123" s="79">
        <f t="shared" ref="I123" si="469">G123+H123</f>
        <v>-4.9762142860000012</v>
      </c>
      <c r="J123" s="80"/>
      <c r="K123" s="214">
        <f t="shared" si="303"/>
        <v>-4.9762142860000012</v>
      </c>
      <c r="L123" s="216">
        <f t="shared" si="306"/>
        <v>0</v>
      </c>
      <c r="M123" s="218" t="s">
        <v>32</v>
      </c>
      <c r="N123" s="81">
        <f t="shared" ref="N123:O123" si="470">G123+G124</f>
        <v>13.626971427999999</v>
      </c>
      <c r="O123" s="82">
        <f t="shared" si="470"/>
        <v>-13.627000000000001</v>
      </c>
      <c r="P123" s="81">
        <f t="shared" ref="P123" si="471">N123+O123</f>
        <v>-2.8572000001503284E-5</v>
      </c>
      <c r="Q123" s="83">
        <f t="shared" ref="Q123" si="472">J123+J124</f>
        <v>0</v>
      </c>
      <c r="R123" s="81">
        <f t="shared" ref="R123" si="473">P123-Q123</f>
        <v>-2.8572000001503284E-5</v>
      </c>
      <c r="S123" s="757">
        <f t="shared" ref="S123" si="474">Q123/P123</f>
        <v>0</v>
      </c>
      <c r="T123" s="1136">
        <f t="shared" si="465"/>
        <v>1.0000020967241439</v>
      </c>
    </row>
    <row r="124" spans="1:20" ht="15" customHeight="1" thickBot="1">
      <c r="A124" s="57">
        <v>106</v>
      </c>
      <c r="B124" s="182">
        <f t="shared" ref="B124" si="475">+B122+$B$20</f>
        <v>53</v>
      </c>
      <c r="C124" s="199" t="s">
        <v>106</v>
      </c>
      <c r="D124" s="200" t="s">
        <v>102</v>
      </c>
      <c r="E124" s="201" t="s">
        <v>167</v>
      </c>
      <c r="F124" s="201">
        <v>956000</v>
      </c>
      <c r="G124" s="202">
        <v>4.9761857139999996</v>
      </c>
      <c r="H124" s="203"/>
      <c r="I124" s="204">
        <f t="shared" ref="I124" si="476">G124+H124+K123</f>
        <v>-2.8572000001503284E-5</v>
      </c>
      <c r="J124" s="205"/>
      <c r="K124" s="215">
        <f t="shared" si="303"/>
        <v>-2.8572000001503284E-5</v>
      </c>
      <c r="L124" s="217">
        <f t="shared" si="306"/>
        <v>0</v>
      </c>
      <c r="M124" s="219" t="s">
        <v>32</v>
      </c>
      <c r="N124" s="84"/>
      <c r="O124" s="84"/>
      <c r="P124" s="84"/>
      <c r="Q124" s="84"/>
      <c r="R124" s="84"/>
      <c r="S124" s="758"/>
      <c r="T124" s="1137"/>
    </row>
    <row r="125" spans="1:20" ht="15" customHeight="1">
      <c r="A125" s="57">
        <v>107</v>
      </c>
      <c r="B125" s="182">
        <f t="shared" ref="B125" si="477">+B123+$B$19</f>
        <v>54</v>
      </c>
      <c r="C125" s="176" t="s">
        <v>106</v>
      </c>
      <c r="D125" s="177" t="s">
        <v>38</v>
      </c>
      <c r="E125" s="178" t="s">
        <v>168</v>
      </c>
      <c r="F125" s="178">
        <v>964009</v>
      </c>
      <c r="G125" s="183">
        <v>8.6507857139999995</v>
      </c>
      <c r="H125" s="1127">
        <v>-12.5</v>
      </c>
      <c r="I125" s="79">
        <f t="shared" ref="I125" si="478">G125+H125</f>
        <v>-3.8492142860000005</v>
      </c>
      <c r="J125" s="80"/>
      <c r="K125" s="214">
        <f t="shared" si="303"/>
        <v>-3.8492142860000005</v>
      </c>
      <c r="L125" s="216">
        <f t="shared" si="306"/>
        <v>0</v>
      </c>
      <c r="M125" s="218" t="s">
        <v>32</v>
      </c>
      <c r="N125" s="81">
        <f t="shared" ref="N125:O125" si="479">G125+G126</f>
        <v>13.626971427999999</v>
      </c>
      <c r="O125" s="82">
        <f t="shared" si="479"/>
        <v>-12.5</v>
      </c>
      <c r="P125" s="81">
        <f t="shared" ref="P125" si="480">N125+O125</f>
        <v>1.1269714279999992</v>
      </c>
      <c r="Q125" s="83">
        <f t="shared" ref="Q125" si="481">J125+J126</f>
        <v>0</v>
      </c>
      <c r="R125" s="81">
        <f t="shared" ref="R125" si="482">P125-Q125</f>
        <v>1.1269714279999992</v>
      </c>
      <c r="S125" s="757">
        <f t="shared" ref="S125" si="483">Q125/P125</f>
        <v>0</v>
      </c>
      <c r="T125" s="1136">
        <f t="shared" si="465"/>
        <v>0.91729846694443373</v>
      </c>
    </row>
    <row r="126" spans="1:20" ht="15" customHeight="1" thickBot="1">
      <c r="A126" s="57">
        <v>108</v>
      </c>
      <c r="B126" s="182">
        <f t="shared" ref="B126" si="484">+B124+$B$20</f>
        <v>54</v>
      </c>
      <c r="C126" s="199" t="s">
        <v>106</v>
      </c>
      <c r="D126" s="200" t="s">
        <v>102</v>
      </c>
      <c r="E126" s="201" t="s">
        <v>168</v>
      </c>
      <c r="F126" s="201">
        <v>964009</v>
      </c>
      <c r="G126" s="202">
        <v>4.9761857139999996</v>
      </c>
      <c r="H126" s="203"/>
      <c r="I126" s="204">
        <f t="shared" ref="I126" si="485">G126+H126+K125</f>
        <v>1.1269714279999992</v>
      </c>
      <c r="J126" s="205"/>
      <c r="K126" s="215">
        <f t="shared" si="303"/>
        <v>1.1269714279999992</v>
      </c>
      <c r="L126" s="217">
        <f t="shared" si="306"/>
        <v>0</v>
      </c>
      <c r="M126" s="219" t="s">
        <v>32</v>
      </c>
      <c r="N126" s="84"/>
      <c r="O126" s="84"/>
      <c r="P126" s="84"/>
      <c r="Q126" s="84"/>
      <c r="R126" s="84"/>
      <c r="S126" s="758"/>
      <c r="T126" s="1137"/>
    </row>
    <row r="127" spans="1:20" ht="15" customHeight="1">
      <c r="A127" s="57">
        <v>109</v>
      </c>
      <c r="B127" s="182">
        <f t="shared" ref="B127" si="486">+B125+$B$19</f>
        <v>55</v>
      </c>
      <c r="C127" s="176" t="s">
        <v>106</v>
      </c>
      <c r="D127" s="177" t="s">
        <v>38</v>
      </c>
      <c r="E127" s="178" t="s">
        <v>169</v>
      </c>
      <c r="F127" s="178">
        <v>964168</v>
      </c>
      <c r="G127" s="183">
        <v>8.6507857139999995</v>
      </c>
      <c r="H127" s="1123">
        <v>-13.627000000000001</v>
      </c>
      <c r="I127" s="79">
        <f t="shared" ref="I127" si="487">G127+H127</f>
        <v>-4.9762142860000012</v>
      </c>
      <c r="J127" s="80"/>
      <c r="K127" s="214">
        <f t="shared" si="303"/>
        <v>-4.9762142860000012</v>
      </c>
      <c r="L127" s="216">
        <f t="shared" si="306"/>
        <v>0</v>
      </c>
      <c r="M127" s="218" t="s">
        <v>32</v>
      </c>
      <c r="N127" s="81">
        <f t="shared" ref="N127:O127" si="488">G127+G128</f>
        <v>13.626971427999999</v>
      </c>
      <c r="O127" s="82">
        <f t="shared" si="488"/>
        <v>-13.627000000000001</v>
      </c>
      <c r="P127" s="81">
        <f t="shared" ref="P127" si="489">N127+O127</f>
        <v>-2.8572000001503284E-5</v>
      </c>
      <c r="Q127" s="83">
        <f t="shared" ref="Q127" si="490">J127+J128</f>
        <v>0</v>
      </c>
      <c r="R127" s="81">
        <f t="shared" ref="R127" si="491">P127-Q127</f>
        <v>-2.8572000001503284E-5</v>
      </c>
      <c r="S127" s="757">
        <f t="shared" ref="S127" si="492">Q127/P127</f>
        <v>0</v>
      </c>
      <c r="T127" s="1136">
        <f t="shared" si="465"/>
        <v>1.0000020967241439</v>
      </c>
    </row>
    <row r="128" spans="1:20" ht="15" customHeight="1" thickBot="1">
      <c r="A128" s="57">
        <v>110</v>
      </c>
      <c r="B128" s="182">
        <f t="shared" ref="B128" si="493">+B126+$B$20</f>
        <v>55</v>
      </c>
      <c r="C128" s="199" t="s">
        <v>106</v>
      </c>
      <c r="D128" s="200" t="s">
        <v>102</v>
      </c>
      <c r="E128" s="201" t="s">
        <v>169</v>
      </c>
      <c r="F128" s="201">
        <v>964168</v>
      </c>
      <c r="G128" s="202">
        <v>4.9761857139999996</v>
      </c>
      <c r="H128" s="203"/>
      <c r="I128" s="204">
        <f t="shared" ref="I128" si="494">G128+H128+K127</f>
        <v>-2.8572000001503284E-5</v>
      </c>
      <c r="J128" s="205"/>
      <c r="K128" s="215">
        <f t="shared" si="303"/>
        <v>-2.8572000001503284E-5</v>
      </c>
      <c r="L128" s="217">
        <f t="shared" si="306"/>
        <v>0</v>
      </c>
      <c r="M128" s="219" t="s">
        <v>32</v>
      </c>
      <c r="N128" s="84"/>
      <c r="O128" s="84"/>
      <c r="P128" s="84"/>
      <c r="Q128" s="84"/>
      <c r="R128" s="84"/>
      <c r="S128" s="758"/>
      <c r="T128" s="1137"/>
    </row>
    <row r="129" spans="1:20" ht="15" customHeight="1">
      <c r="A129" s="57">
        <v>111</v>
      </c>
      <c r="B129" s="182">
        <f t="shared" ref="B129" si="495">+B127+$B$19</f>
        <v>56</v>
      </c>
      <c r="C129" s="176" t="s">
        <v>106</v>
      </c>
      <c r="D129" s="177" t="s">
        <v>38</v>
      </c>
      <c r="E129" s="178" t="s">
        <v>170</v>
      </c>
      <c r="F129" s="178">
        <v>960834</v>
      </c>
      <c r="G129" s="183">
        <v>8.6507857139999995</v>
      </c>
      <c r="H129" s="1123">
        <v>-13.627000000000001</v>
      </c>
      <c r="I129" s="79">
        <f t="shared" ref="I129" si="496">G129+H129</f>
        <v>-4.9762142860000012</v>
      </c>
      <c r="J129" s="80"/>
      <c r="K129" s="214">
        <f t="shared" si="303"/>
        <v>-4.9762142860000012</v>
      </c>
      <c r="L129" s="216">
        <f t="shared" si="306"/>
        <v>0</v>
      </c>
      <c r="M129" s="218" t="s">
        <v>32</v>
      </c>
      <c r="N129" s="81">
        <f t="shared" ref="N129:O129" si="497">G129+G130</f>
        <v>13.626971427999999</v>
      </c>
      <c r="O129" s="82">
        <f t="shared" si="497"/>
        <v>-13.627000000000001</v>
      </c>
      <c r="P129" s="81">
        <f t="shared" ref="P129" si="498">N129+O129</f>
        <v>-2.8572000001503284E-5</v>
      </c>
      <c r="Q129" s="83">
        <f t="shared" ref="Q129" si="499">J129+J130</f>
        <v>0</v>
      </c>
      <c r="R129" s="81">
        <f t="shared" ref="R129" si="500">P129-Q129</f>
        <v>-2.8572000001503284E-5</v>
      </c>
      <c r="S129" s="757">
        <f t="shared" ref="S129" si="501">Q129/P129</f>
        <v>0</v>
      </c>
      <c r="T129" s="1136">
        <f t="shared" si="465"/>
        <v>1.0000020967241439</v>
      </c>
    </row>
    <row r="130" spans="1:20" ht="15" customHeight="1" thickBot="1">
      <c r="A130" s="57">
        <v>112</v>
      </c>
      <c r="B130" s="182">
        <f t="shared" ref="B130" si="502">+B128+$B$20</f>
        <v>56</v>
      </c>
      <c r="C130" s="199" t="s">
        <v>106</v>
      </c>
      <c r="D130" s="200" t="s">
        <v>102</v>
      </c>
      <c r="E130" s="201" t="s">
        <v>170</v>
      </c>
      <c r="F130" s="201">
        <v>960834</v>
      </c>
      <c r="G130" s="202">
        <v>4.9761857139999996</v>
      </c>
      <c r="H130" s="203"/>
      <c r="I130" s="204">
        <f t="shared" ref="I130" si="503">G130+H130+K129</f>
        <v>-2.8572000001503284E-5</v>
      </c>
      <c r="J130" s="205"/>
      <c r="K130" s="215">
        <f t="shared" si="303"/>
        <v>-2.8572000001503284E-5</v>
      </c>
      <c r="L130" s="217">
        <f t="shared" si="306"/>
        <v>0</v>
      </c>
      <c r="M130" s="219" t="s">
        <v>32</v>
      </c>
      <c r="N130" s="84"/>
      <c r="O130" s="84"/>
      <c r="P130" s="84"/>
      <c r="Q130" s="84"/>
      <c r="R130" s="84"/>
      <c r="S130" s="758"/>
      <c r="T130" s="1137"/>
    </row>
    <row r="131" spans="1:20" ht="15" customHeight="1">
      <c r="A131" s="57">
        <v>113</v>
      </c>
      <c r="B131" s="182">
        <f t="shared" ref="B131" si="504">+B129+$B$19</f>
        <v>57</v>
      </c>
      <c r="C131" s="176" t="s">
        <v>106</v>
      </c>
      <c r="D131" s="177" t="s">
        <v>38</v>
      </c>
      <c r="E131" s="178" t="s">
        <v>171</v>
      </c>
      <c r="F131" s="178">
        <v>920083</v>
      </c>
      <c r="G131" s="183">
        <v>8.6507857139999995</v>
      </c>
      <c r="H131" s="1127">
        <v>-12</v>
      </c>
      <c r="I131" s="79">
        <f t="shared" ref="I131" si="505">G131+H131</f>
        <v>-3.3492142860000005</v>
      </c>
      <c r="J131" s="80"/>
      <c r="K131" s="214">
        <f t="shared" si="303"/>
        <v>-3.3492142860000005</v>
      </c>
      <c r="L131" s="216">
        <f t="shared" si="306"/>
        <v>0</v>
      </c>
      <c r="M131" s="218" t="s">
        <v>32</v>
      </c>
      <c r="N131" s="81">
        <f t="shared" ref="N131:O131" si="506">G131+G132</f>
        <v>13.626971427999999</v>
      </c>
      <c r="O131" s="82">
        <f t="shared" si="506"/>
        <v>-12</v>
      </c>
      <c r="P131" s="81">
        <f t="shared" ref="P131" si="507">N131+O131</f>
        <v>1.6269714279999992</v>
      </c>
      <c r="Q131" s="83">
        <f t="shared" ref="Q131" si="508">J131+J132</f>
        <v>0</v>
      </c>
      <c r="R131" s="81">
        <f t="shared" ref="R131" si="509">P131-Q131</f>
        <v>1.6269714279999992</v>
      </c>
      <c r="S131" s="757">
        <f t="shared" ref="S131" si="510">Q131/P131</f>
        <v>0</v>
      </c>
      <c r="T131" s="1136">
        <f t="shared" si="465"/>
        <v>0.88060652826665642</v>
      </c>
    </row>
    <row r="132" spans="1:20" ht="15" customHeight="1" thickBot="1">
      <c r="A132" s="57">
        <v>114</v>
      </c>
      <c r="B132" s="182">
        <f t="shared" ref="B132" si="511">+B130+$B$20</f>
        <v>57</v>
      </c>
      <c r="C132" s="199" t="s">
        <v>106</v>
      </c>
      <c r="D132" s="200" t="s">
        <v>102</v>
      </c>
      <c r="E132" s="201" t="s">
        <v>171</v>
      </c>
      <c r="F132" s="201">
        <v>920083</v>
      </c>
      <c r="G132" s="202">
        <v>4.9761857139999996</v>
      </c>
      <c r="H132" s="203"/>
      <c r="I132" s="204">
        <f t="shared" ref="I132" si="512">G132+H132+K131</f>
        <v>1.6269714279999992</v>
      </c>
      <c r="J132" s="205"/>
      <c r="K132" s="215">
        <f t="shared" si="303"/>
        <v>1.6269714279999992</v>
      </c>
      <c r="L132" s="217">
        <f t="shared" si="306"/>
        <v>0</v>
      </c>
      <c r="M132" s="219" t="s">
        <v>32</v>
      </c>
      <c r="N132" s="84"/>
      <c r="O132" s="84"/>
      <c r="P132" s="84"/>
      <c r="Q132" s="84"/>
      <c r="R132" s="84"/>
      <c r="S132" s="758"/>
      <c r="T132" s="1137"/>
    </row>
    <row r="133" spans="1:20" ht="15" customHeight="1">
      <c r="A133" s="57">
        <v>115</v>
      </c>
      <c r="B133" s="182">
        <f t="shared" ref="B133" si="513">+B131+$B$19</f>
        <v>58</v>
      </c>
      <c r="C133" s="176" t="s">
        <v>106</v>
      </c>
      <c r="D133" s="177" t="s">
        <v>38</v>
      </c>
      <c r="E133" s="178" t="s">
        <v>172</v>
      </c>
      <c r="F133" s="178">
        <v>961492</v>
      </c>
      <c r="G133" s="183">
        <v>8.6507857139999995</v>
      </c>
      <c r="H133" s="1127">
        <v>-12</v>
      </c>
      <c r="I133" s="79">
        <f t="shared" ref="I133" si="514">G133+H133</f>
        <v>-3.3492142860000005</v>
      </c>
      <c r="J133" s="80"/>
      <c r="K133" s="214">
        <f t="shared" si="303"/>
        <v>-3.3492142860000005</v>
      </c>
      <c r="L133" s="216">
        <f t="shared" si="306"/>
        <v>0</v>
      </c>
      <c r="M133" s="218" t="s">
        <v>32</v>
      </c>
      <c r="N133" s="81">
        <f t="shared" ref="N133:O133" si="515">G133+G134</f>
        <v>13.626971427999999</v>
      </c>
      <c r="O133" s="82">
        <f t="shared" si="515"/>
        <v>-12</v>
      </c>
      <c r="P133" s="81">
        <f t="shared" ref="P133" si="516">N133+O133</f>
        <v>1.6269714279999992</v>
      </c>
      <c r="Q133" s="83">
        <f t="shared" ref="Q133" si="517">J133+J134</f>
        <v>0</v>
      </c>
      <c r="R133" s="81">
        <f t="shared" ref="R133" si="518">P133-Q133</f>
        <v>1.6269714279999992</v>
      </c>
      <c r="S133" s="757">
        <f t="shared" ref="S133" si="519">Q133/P133</f>
        <v>0</v>
      </c>
      <c r="T133" s="1136">
        <f t="shared" si="465"/>
        <v>0.88060652826665642</v>
      </c>
    </row>
    <row r="134" spans="1:20" ht="15" customHeight="1" thickBot="1">
      <c r="A134" s="57">
        <v>116</v>
      </c>
      <c r="B134" s="182">
        <f t="shared" ref="B134" si="520">+B132+$B$20</f>
        <v>58</v>
      </c>
      <c r="C134" s="199" t="s">
        <v>106</v>
      </c>
      <c r="D134" s="200" t="s">
        <v>102</v>
      </c>
      <c r="E134" s="201" t="s">
        <v>172</v>
      </c>
      <c r="F134" s="201">
        <v>961492</v>
      </c>
      <c r="G134" s="202">
        <v>4.9761857139999996</v>
      </c>
      <c r="H134" s="203"/>
      <c r="I134" s="204">
        <f t="shared" ref="I134" si="521">G134+H134+K133</f>
        <v>1.6269714279999992</v>
      </c>
      <c r="J134" s="205"/>
      <c r="K134" s="215">
        <f t="shared" si="303"/>
        <v>1.6269714279999992</v>
      </c>
      <c r="L134" s="217">
        <f t="shared" si="306"/>
        <v>0</v>
      </c>
      <c r="M134" s="219" t="s">
        <v>32</v>
      </c>
      <c r="N134" s="84"/>
      <c r="O134" s="84"/>
      <c r="P134" s="84"/>
      <c r="Q134" s="84"/>
      <c r="R134" s="84"/>
      <c r="S134" s="758"/>
      <c r="T134" s="1137"/>
    </row>
    <row r="135" spans="1:20" ht="15" customHeight="1">
      <c r="A135" s="57">
        <v>117</v>
      </c>
      <c r="B135" s="182">
        <f t="shared" ref="B135" si="522">+B133+$B$19</f>
        <v>59</v>
      </c>
      <c r="C135" s="176" t="s">
        <v>106</v>
      </c>
      <c r="D135" s="177" t="s">
        <v>38</v>
      </c>
      <c r="E135" s="178" t="s">
        <v>173</v>
      </c>
      <c r="F135" s="178">
        <v>965473</v>
      </c>
      <c r="G135" s="183">
        <v>8.6507857139999995</v>
      </c>
      <c r="H135" s="1123">
        <v>-13.627000000000001</v>
      </c>
      <c r="I135" s="79">
        <f t="shared" ref="I135" si="523">G135+H135</f>
        <v>-4.9762142860000012</v>
      </c>
      <c r="J135" s="80"/>
      <c r="K135" s="214">
        <f t="shared" si="303"/>
        <v>-4.9762142860000012</v>
      </c>
      <c r="L135" s="216">
        <f t="shared" si="306"/>
        <v>0</v>
      </c>
      <c r="M135" s="218" t="s">
        <v>32</v>
      </c>
      <c r="N135" s="81">
        <f t="shared" ref="N135:O135" si="524">G135+G136</f>
        <v>13.626971427999999</v>
      </c>
      <c r="O135" s="82">
        <f t="shared" si="524"/>
        <v>-13.627000000000001</v>
      </c>
      <c r="P135" s="81">
        <f t="shared" ref="P135" si="525">N135+O135</f>
        <v>-2.8572000001503284E-5</v>
      </c>
      <c r="Q135" s="83">
        <f t="shared" ref="Q135" si="526">J135+J136</f>
        <v>0</v>
      </c>
      <c r="R135" s="81">
        <f t="shared" ref="R135" si="527">P135-Q135</f>
        <v>-2.8572000001503284E-5</v>
      </c>
      <c r="S135" s="757">
        <f t="shared" ref="S135" si="528">Q135/P135</f>
        <v>0</v>
      </c>
      <c r="T135" s="1136">
        <f t="shared" si="465"/>
        <v>1.0000020967241439</v>
      </c>
    </row>
    <row r="136" spans="1:20" ht="15" customHeight="1" thickBot="1">
      <c r="A136" s="57">
        <v>118</v>
      </c>
      <c r="B136" s="182">
        <f t="shared" ref="B136" si="529">+B134+$B$20</f>
        <v>59</v>
      </c>
      <c r="C136" s="199" t="s">
        <v>106</v>
      </c>
      <c r="D136" s="200" t="s">
        <v>102</v>
      </c>
      <c r="E136" s="201" t="s">
        <v>173</v>
      </c>
      <c r="F136" s="201">
        <v>965473</v>
      </c>
      <c r="G136" s="202">
        <v>4.9761857139999996</v>
      </c>
      <c r="H136" s="203"/>
      <c r="I136" s="204">
        <f t="shared" ref="I136" si="530">G136+H136+K135</f>
        <v>-2.8572000001503284E-5</v>
      </c>
      <c r="J136" s="205"/>
      <c r="K136" s="215">
        <f t="shared" si="303"/>
        <v>-2.8572000001503284E-5</v>
      </c>
      <c r="L136" s="217">
        <f t="shared" si="306"/>
        <v>0</v>
      </c>
      <c r="M136" s="219" t="s">
        <v>32</v>
      </c>
      <c r="N136" s="84"/>
      <c r="O136" s="84"/>
      <c r="P136" s="84"/>
      <c r="Q136" s="84"/>
      <c r="R136" s="84"/>
      <c r="S136" s="758"/>
      <c r="T136" s="1137"/>
    </row>
    <row r="137" spans="1:20" ht="15" customHeight="1">
      <c r="A137" s="57">
        <v>119</v>
      </c>
      <c r="B137" s="182">
        <f t="shared" ref="B137" si="531">+B135+$B$19</f>
        <v>60</v>
      </c>
      <c r="C137" s="176" t="s">
        <v>106</v>
      </c>
      <c r="D137" s="177" t="s">
        <v>38</v>
      </c>
      <c r="E137" s="178" t="s">
        <v>174</v>
      </c>
      <c r="F137" s="178">
        <v>37446</v>
      </c>
      <c r="G137" s="183">
        <v>8.6507857139999995</v>
      </c>
      <c r="H137" s="1124">
        <v>-13.627000000000001</v>
      </c>
      <c r="I137" s="79">
        <f t="shared" ref="I137" si="532">G137+H137</f>
        <v>-4.9762142860000012</v>
      </c>
      <c r="J137" s="80"/>
      <c r="K137" s="214">
        <f t="shared" si="303"/>
        <v>-4.9762142860000012</v>
      </c>
      <c r="L137" s="216">
        <f t="shared" si="306"/>
        <v>0</v>
      </c>
      <c r="M137" s="218" t="s">
        <v>32</v>
      </c>
      <c r="N137" s="81">
        <f t="shared" ref="N137:O137" si="533">G137+G138</f>
        <v>13.626971427999999</v>
      </c>
      <c r="O137" s="82">
        <f t="shared" si="533"/>
        <v>-13.627000000000001</v>
      </c>
      <c r="P137" s="81">
        <f t="shared" ref="P137" si="534">N137+O137</f>
        <v>-2.8572000001503284E-5</v>
      </c>
      <c r="Q137" s="83">
        <f t="shared" ref="Q137" si="535">J137+J138</f>
        <v>0</v>
      </c>
      <c r="R137" s="81">
        <f t="shared" ref="R137" si="536">P137-Q137</f>
        <v>-2.8572000001503284E-5</v>
      </c>
      <c r="S137" s="757">
        <f t="shared" ref="S137" si="537">Q137/P137</f>
        <v>0</v>
      </c>
      <c r="T137" s="1136">
        <f t="shared" si="465"/>
        <v>1.0000020967241439</v>
      </c>
    </row>
    <row r="138" spans="1:20" ht="15" customHeight="1" thickBot="1">
      <c r="A138" s="57">
        <v>120</v>
      </c>
      <c r="B138" s="182">
        <f t="shared" ref="B138" si="538">+B136+$B$20</f>
        <v>60</v>
      </c>
      <c r="C138" s="199" t="s">
        <v>106</v>
      </c>
      <c r="D138" s="200" t="s">
        <v>102</v>
      </c>
      <c r="E138" s="201" t="s">
        <v>174</v>
      </c>
      <c r="F138" s="201">
        <v>37446</v>
      </c>
      <c r="G138" s="202">
        <v>4.9761857139999996</v>
      </c>
      <c r="H138" s="203"/>
      <c r="I138" s="204">
        <f t="shared" ref="I138" si="539">G138+H138+K137</f>
        <v>-2.8572000001503284E-5</v>
      </c>
      <c r="J138" s="205"/>
      <c r="K138" s="215">
        <f t="shared" si="303"/>
        <v>-2.8572000001503284E-5</v>
      </c>
      <c r="L138" s="217">
        <f t="shared" si="306"/>
        <v>0</v>
      </c>
      <c r="M138" s="219" t="s">
        <v>32</v>
      </c>
      <c r="N138" s="84"/>
      <c r="O138" s="84"/>
      <c r="P138" s="84"/>
      <c r="Q138" s="84"/>
      <c r="R138" s="84"/>
      <c r="S138" s="758"/>
      <c r="T138" s="1137"/>
    </row>
    <row r="139" spans="1:20" ht="15" customHeight="1">
      <c r="A139" s="57">
        <v>121</v>
      </c>
      <c r="B139" s="182">
        <f t="shared" ref="B139" si="540">+B137+$B$19</f>
        <v>61</v>
      </c>
      <c r="C139" s="176" t="s">
        <v>106</v>
      </c>
      <c r="D139" s="177" t="s">
        <v>38</v>
      </c>
      <c r="E139" s="178" t="s">
        <v>175</v>
      </c>
      <c r="F139" s="178">
        <v>964007</v>
      </c>
      <c r="G139" s="183">
        <v>8.6507857139999995</v>
      </c>
      <c r="H139" s="1123">
        <v>-13.627000000000001</v>
      </c>
      <c r="I139" s="79">
        <f t="shared" ref="I139" si="541">G139+H139</f>
        <v>-4.9762142860000012</v>
      </c>
      <c r="J139" s="80"/>
      <c r="K139" s="214">
        <f t="shared" si="303"/>
        <v>-4.9762142860000012</v>
      </c>
      <c r="L139" s="216">
        <f t="shared" si="306"/>
        <v>0</v>
      </c>
      <c r="M139" s="218" t="s">
        <v>32</v>
      </c>
      <c r="N139" s="81">
        <f t="shared" ref="N139:O139" si="542">G139+G140</f>
        <v>13.626971427999999</v>
      </c>
      <c r="O139" s="82">
        <f t="shared" si="542"/>
        <v>-13.627000000000001</v>
      </c>
      <c r="P139" s="81">
        <f t="shared" ref="P139" si="543">N139+O139</f>
        <v>-2.8572000001503284E-5</v>
      </c>
      <c r="Q139" s="83">
        <f t="shared" ref="Q139" si="544">J139+J140</f>
        <v>0</v>
      </c>
      <c r="R139" s="81">
        <f t="shared" ref="R139" si="545">P139-Q139</f>
        <v>-2.8572000001503284E-5</v>
      </c>
      <c r="S139" s="757">
        <f t="shared" ref="S139" si="546">Q139/P139</f>
        <v>0</v>
      </c>
      <c r="T139" s="1136">
        <f t="shared" si="465"/>
        <v>1.0000020967241439</v>
      </c>
    </row>
    <row r="140" spans="1:20" ht="15" customHeight="1" thickBot="1">
      <c r="A140" s="57">
        <v>122</v>
      </c>
      <c r="B140" s="182">
        <f t="shared" ref="B140" si="547">+B138+$B$20</f>
        <v>61</v>
      </c>
      <c r="C140" s="199" t="s">
        <v>106</v>
      </c>
      <c r="D140" s="200" t="s">
        <v>102</v>
      </c>
      <c r="E140" s="201" t="s">
        <v>175</v>
      </c>
      <c r="F140" s="201">
        <v>964007</v>
      </c>
      <c r="G140" s="202">
        <v>4.9761857139999996</v>
      </c>
      <c r="H140" s="203"/>
      <c r="I140" s="204">
        <f t="shared" ref="I140" si="548">G140+H140+K139</f>
        <v>-2.8572000001503284E-5</v>
      </c>
      <c r="J140" s="205"/>
      <c r="K140" s="215">
        <f t="shared" si="303"/>
        <v>-2.8572000001503284E-5</v>
      </c>
      <c r="L140" s="217">
        <f t="shared" si="306"/>
        <v>0</v>
      </c>
      <c r="M140" s="219" t="s">
        <v>32</v>
      </c>
      <c r="N140" s="84"/>
      <c r="O140" s="84"/>
      <c r="P140" s="84"/>
      <c r="Q140" s="84"/>
      <c r="R140" s="84"/>
      <c r="S140" s="758"/>
      <c r="T140" s="1137"/>
    </row>
    <row r="141" spans="1:20" ht="15" customHeight="1">
      <c r="A141" s="57">
        <v>123</v>
      </c>
      <c r="B141" s="182">
        <f t="shared" ref="B141" si="549">+B139+$B$19</f>
        <v>62</v>
      </c>
      <c r="C141" s="176" t="s">
        <v>106</v>
      </c>
      <c r="D141" s="177" t="s">
        <v>38</v>
      </c>
      <c r="E141" s="178" t="s">
        <v>176</v>
      </c>
      <c r="F141" s="178">
        <v>963406</v>
      </c>
      <c r="G141" s="183">
        <v>8.6507857139999995</v>
      </c>
      <c r="H141" s="1123">
        <v>-13.627000000000001</v>
      </c>
      <c r="I141" s="79">
        <f t="shared" ref="I141" si="550">G141+H141</f>
        <v>-4.9762142860000012</v>
      </c>
      <c r="J141" s="80"/>
      <c r="K141" s="214">
        <f t="shared" si="303"/>
        <v>-4.9762142860000012</v>
      </c>
      <c r="L141" s="216">
        <f t="shared" si="306"/>
        <v>0</v>
      </c>
      <c r="M141" s="218" t="s">
        <v>32</v>
      </c>
      <c r="N141" s="81">
        <f t="shared" ref="N141:O141" si="551">G141+G142</f>
        <v>13.626971427999999</v>
      </c>
      <c r="O141" s="82">
        <f t="shared" si="551"/>
        <v>-13.627000000000001</v>
      </c>
      <c r="P141" s="81">
        <f t="shared" ref="P141" si="552">N141+O141</f>
        <v>-2.8572000001503284E-5</v>
      </c>
      <c r="Q141" s="83">
        <f t="shared" ref="Q141" si="553">J141+J142</f>
        <v>0</v>
      </c>
      <c r="R141" s="81">
        <f t="shared" ref="R141" si="554">P141-Q141</f>
        <v>-2.8572000001503284E-5</v>
      </c>
      <c r="S141" s="757">
        <f t="shared" ref="S141" si="555">Q141/P141</f>
        <v>0</v>
      </c>
      <c r="T141" s="1136">
        <f t="shared" si="465"/>
        <v>1.0000020967241439</v>
      </c>
    </row>
    <row r="142" spans="1:20" ht="15" customHeight="1" thickBot="1">
      <c r="A142" s="57">
        <v>124</v>
      </c>
      <c r="B142" s="182">
        <f t="shared" ref="B142" si="556">+B140+$B$20</f>
        <v>62</v>
      </c>
      <c r="C142" s="199" t="s">
        <v>106</v>
      </c>
      <c r="D142" s="200" t="s">
        <v>102</v>
      </c>
      <c r="E142" s="201" t="s">
        <v>176</v>
      </c>
      <c r="F142" s="201">
        <v>963406</v>
      </c>
      <c r="G142" s="202">
        <v>4.9761857139999996</v>
      </c>
      <c r="H142" s="203"/>
      <c r="I142" s="204">
        <f t="shared" ref="I142" si="557">G142+H142+K141</f>
        <v>-2.8572000001503284E-5</v>
      </c>
      <c r="J142" s="205"/>
      <c r="K142" s="215">
        <f t="shared" si="303"/>
        <v>-2.8572000001503284E-5</v>
      </c>
      <c r="L142" s="217">
        <f t="shared" si="306"/>
        <v>0</v>
      </c>
      <c r="M142" s="219" t="s">
        <v>32</v>
      </c>
      <c r="N142" s="84"/>
      <c r="O142" s="84"/>
      <c r="P142" s="84"/>
      <c r="Q142" s="84"/>
      <c r="R142" s="84"/>
      <c r="S142" s="758"/>
      <c r="T142" s="1137"/>
    </row>
    <row r="143" spans="1:20" ht="15" customHeight="1">
      <c r="A143" s="57">
        <v>125</v>
      </c>
      <c r="B143" s="182">
        <f t="shared" ref="B143" si="558">+B141+$B$19</f>
        <v>63</v>
      </c>
      <c r="C143" s="176" t="s">
        <v>106</v>
      </c>
      <c r="D143" s="177" t="s">
        <v>38</v>
      </c>
      <c r="E143" s="178" t="s">
        <v>177</v>
      </c>
      <c r="F143" s="178">
        <v>918726</v>
      </c>
      <c r="G143" s="183">
        <v>8.6507857139999995</v>
      </c>
      <c r="H143" s="78"/>
      <c r="I143" s="79">
        <f t="shared" ref="I143" si="559">G143+H143</f>
        <v>8.6507857139999995</v>
      </c>
      <c r="J143" s="80"/>
      <c r="K143" s="214">
        <f t="shared" si="303"/>
        <v>8.6507857139999995</v>
      </c>
      <c r="L143" s="216">
        <f t="shared" si="306"/>
        <v>0</v>
      </c>
      <c r="M143" s="218" t="s">
        <v>32</v>
      </c>
      <c r="N143" s="81">
        <f t="shared" ref="N143:O143" si="560">G143+G144</f>
        <v>13.626971427999999</v>
      </c>
      <c r="O143" s="82">
        <f t="shared" si="560"/>
        <v>0</v>
      </c>
      <c r="P143" s="81">
        <f t="shared" ref="P143" si="561">N143+O143</f>
        <v>13.626971427999999</v>
      </c>
      <c r="Q143" s="83">
        <f t="shared" ref="Q143" si="562">J143+J144</f>
        <v>0</v>
      </c>
      <c r="R143" s="81">
        <f t="shared" ref="R143" si="563">P143-Q143</f>
        <v>13.626971427999999</v>
      </c>
      <c r="S143" s="757">
        <f t="shared" ref="S143" si="564">Q143/P143</f>
        <v>0</v>
      </c>
      <c r="T143" s="1136">
        <f t="shared" si="465"/>
        <v>0</v>
      </c>
    </row>
    <row r="144" spans="1:20" ht="15" customHeight="1" thickBot="1">
      <c r="A144" s="57">
        <v>126</v>
      </c>
      <c r="B144" s="182">
        <f t="shared" ref="B144" si="565">+B142+$B$20</f>
        <v>63</v>
      </c>
      <c r="C144" s="199" t="s">
        <v>106</v>
      </c>
      <c r="D144" s="200" t="s">
        <v>102</v>
      </c>
      <c r="E144" s="201" t="s">
        <v>177</v>
      </c>
      <c r="F144" s="201">
        <v>918726</v>
      </c>
      <c r="G144" s="202">
        <v>4.9761857139999996</v>
      </c>
      <c r="H144" s="203"/>
      <c r="I144" s="204">
        <f t="shared" ref="I144" si="566">G144+H144+K143</f>
        <v>13.626971427999999</v>
      </c>
      <c r="J144" s="205"/>
      <c r="K144" s="215">
        <f t="shared" si="303"/>
        <v>13.626971427999999</v>
      </c>
      <c r="L144" s="217">
        <f t="shared" si="306"/>
        <v>0</v>
      </c>
      <c r="M144" s="219" t="s">
        <v>32</v>
      </c>
      <c r="N144" s="84"/>
      <c r="O144" s="84"/>
      <c r="P144" s="84"/>
      <c r="Q144" s="84"/>
      <c r="R144" s="84"/>
      <c r="S144" s="758"/>
      <c r="T144" s="1137"/>
    </row>
    <row r="145" spans="1:20" ht="15" customHeight="1">
      <c r="A145" s="57">
        <v>127</v>
      </c>
      <c r="B145" s="182">
        <f t="shared" ref="B145" si="567">+B143+$B$19</f>
        <v>64</v>
      </c>
      <c r="C145" s="176" t="s">
        <v>106</v>
      </c>
      <c r="D145" s="177" t="s">
        <v>38</v>
      </c>
      <c r="E145" s="178" t="s">
        <v>178</v>
      </c>
      <c r="F145" s="178">
        <v>913408</v>
      </c>
      <c r="G145" s="183">
        <v>8.6507857139999995</v>
      </c>
      <c r="H145" s="1123">
        <v>-13.627000000000001</v>
      </c>
      <c r="I145" s="79">
        <f t="shared" ref="I145" si="568">G145+H145</f>
        <v>-4.9762142860000012</v>
      </c>
      <c r="J145" s="80"/>
      <c r="K145" s="214">
        <f t="shared" si="303"/>
        <v>-4.9762142860000012</v>
      </c>
      <c r="L145" s="216">
        <f t="shared" si="306"/>
        <v>0</v>
      </c>
      <c r="M145" s="218" t="s">
        <v>32</v>
      </c>
      <c r="N145" s="81">
        <f t="shared" ref="N145:O145" si="569">G145+G146</f>
        <v>13.626971427999999</v>
      </c>
      <c r="O145" s="82">
        <f t="shared" si="569"/>
        <v>-13.627000000000001</v>
      </c>
      <c r="P145" s="81">
        <f t="shared" ref="P145" si="570">N145+O145</f>
        <v>-2.8572000001503284E-5</v>
      </c>
      <c r="Q145" s="83">
        <f t="shared" ref="Q145" si="571">J145+J146</f>
        <v>0</v>
      </c>
      <c r="R145" s="81">
        <f t="shared" ref="R145" si="572">P145-Q145</f>
        <v>-2.8572000001503284E-5</v>
      </c>
      <c r="S145" s="757">
        <f t="shared" ref="S145" si="573">Q145/P145</f>
        <v>0</v>
      </c>
      <c r="T145" s="1136">
        <f t="shared" si="465"/>
        <v>1.0000020967241439</v>
      </c>
    </row>
    <row r="146" spans="1:20" ht="15" customHeight="1" thickBot="1">
      <c r="A146" s="57">
        <v>128</v>
      </c>
      <c r="B146" s="182">
        <f t="shared" ref="B146" si="574">+B144+$B$20</f>
        <v>64</v>
      </c>
      <c r="C146" s="199" t="s">
        <v>106</v>
      </c>
      <c r="D146" s="200" t="s">
        <v>102</v>
      </c>
      <c r="E146" s="201" t="s">
        <v>178</v>
      </c>
      <c r="F146" s="201">
        <v>913408</v>
      </c>
      <c r="G146" s="202">
        <v>4.9761857139999996</v>
      </c>
      <c r="H146" s="203"/>
      <c r="I146" s="204">
        <f t="shared" ref="I146" si="575">G146+H146+K145</f>
        <v>-2.8572000001503284E-5</v>
      </c>
      <c r="J146" s="205"/>
      <c r="K146" s="215">
        <f t="shared" si="303"/>
        <v>-2.8572000001503284E-5</v>
      </c>
      <c r="L146" s="217">
        <f t="shared" si="306"/>
        <v>0</v>
      </c>
      <c r="M146" s="219" t="s">
        <v>32</v>
      </c>
      <c r="N146" s="84"/>
      <c r="O146" s="84"/>
      <c r="P146" s="84"/>
      <c r="Q146" s="84"/>
      <c r="R146" s="84"/>
      <c r="S146" s="758"/>
      <c r="T146" s="1137"/>
    </row>
    <row r="147" spans="1:20" ht="15" customHeight="1">
      <c r="A147" s="57">
        <v>129</v>
      </c>
      <c r="B147" s="182">
        <f t="shared" ref="B147" si="576">+B145+$B$19</f>
        <v>65</v>
      </c>
      <c r="C147" s="176" t="s">
        <v>106</v>
      </c>
      <c r="D147" s="177" t="s">
        <v>38</v>
      </c>
      <c r="E147" s="178" t="s">
        <v>179</v>
      </c>
      <c r="F147" s="178">
        <v>964169</v>
      </c>
      <c r="G147" s="183">
        <v>8.6507857139999995</v>
      </c>
      <c r="H147" s="1123">
        <v>-13.627000000000001</v>
      </c>
      <c r="I147" s="79">
        <f t="shared" ref="I147" si="577">G147+H147</f>
        <v>-4.9762142860000012</v>
      </c>
      <c r="J147" s="80"/>
      <c r="K147" s="214">
        <f t="shared" si="303"/>
        <v>-4.9762142860000012</v>
      </c>
      <c r="L147" s="216">
        <f t="shared" si="306"/>
        <v>0</v>
      </c>
      <c r="M147" s="218" t="s">
        <v>32</v>
      </c>
      <c r="N147" s="81">
        <f t="shared" ref="N147:O147" si="578">G147+G148</f>
        <v>13.626971427999999</v>
      </c>
      <c r="O147" s="82">
        <f t="shared" si="578"/>
        <v>-13.627000000000001</v>
      </c>
      <c r="P147" s="81">
        <f t="shared" ref="P147" si="579">N147+O147</f>
        <v>-2.8572000001503284E-5</v>
      </c>
      <c r="Q147" s="83">
        <f t="shared" ref="Q147" si="580">J147+J148</f>
        <v>0</v>
      </c>
      <c r="R147" s="81">
        <f t="shared" ref="R147" si="581">P147-Q147</f>
        <v>-2.8572000001503284E-5</v>
      </c>
      <c r="S147" s="757">
        <f t="shared" ref="S147" si="582">Q147/P147</f>
        <v>0</v>
      </c>
      <c r="T147" s="1136">
        <f t="shared" si="465"/>
        <v>1.0000020967241439</v>
      </c>
    </row>
    <row r="148" spans="1:20" ht="15" customHeight="1" thickBot="1">
      <c r="A148" s="57">
        <v>130</v>
      </c>
      <c r="B148" s="182">
        <f t="shared" ref="B148" si="583">+B146+$B$20</f>
        <v>65</v>
      </c>
      <c r="C148" s="199" t="s">
        <v>106</v>
      </c>
      <c r="D148" s="200" t="s">
        <v>102</v>
      </c>
      <c r="E148" s="201" t="s">
        <v>179</v>
      </c>
      <c r="F148" s="201">
        <v>964169</v>
      </c>
      <c r="G148" s="202">
        <v>4.9761857139999996</v>
      </c>
      <c r="H148" s="203"/>
      <c r="I148" s="204">
        <f t="shared" ref="I148" si="584">G148+H148+K147</f>
        <v>-2.8572000001503284E-5</v>
      </c>
      <c r="J148" s="205"/>
      <c r="K148" s="215">
        <f t="shared" si="303"/>
        <v>-2.8572000001503284E-5</v>
      </c>
      <c r="L148" s="217">
        <f t="shared" si="306"/>
        <v>0</v>
      </c>
      <c r="M148" s="219" t="s">
        <v>32</v>
      </c>
      <c r="N148" s="84"/>
      <c r="O148" s="84"/>
      <c r="P148" s="84"/>
      <c r="Q148" s="84"/>
      <c r="R148" s="84"/>
      <c r="S148" s="758"/>
      <c r="T148" s="1137"/>
    </row>
    <row r="149" spans="1:20" ht="15" customHeight="1">
      <c r="A149" s="57">
        <v>131</v>
      </c>
      <c r="B149" s="182">
        <f t="shared" ref="B149" si="585">+B147+$B$19</f>
        <v>66</v>
      </c>
      <c r="C149" s="176" t="s">
        <v>106</v>
      </c>
      <c r="D149" s="177" t="s">
        <v>38</v>
      </c>
      <c r="E149" s="178" t="s">
        <v>180</v>
      </c>
      <c r="F149" s="178">
        <v>961964</v>
      </c>
      <c r="G149" s="183">
        <v>8.6507857139999995</v>
      </c>
      <c r="H149" s="1123">
        <v>-13.627000000000001</v>
      </c>
      <c r="I149" s="79">
        <f t="shared" ref="I149" si="586">G149+H149</f>
        <v>-4.9762142860000012</v>
      </c>
      <c r="J149" s="80"/>
      <c r="K149" s="214">
        <f t="shared" si="303"/>
        <v>-4.9762142860000012</v>
      </c>
      <c r="L149" s="216">
        <f t="shared" si="306"/>
        <v>0</v>
      </c>
      <c r="M149" s="218" t="s">
        <v>32</v>
      </c>
      <c r="N149" s="81">
        <f t="shared" ref="N149:O149" si="587">G149+G150</f>
        <v>13.626971427999999</v>
      </c>
      <c r="O149" s="82">
        <f t="shared" si="587"/>
        <v>-13.627000000000001</v>
      </c>
      <c r="P149" s="81">
        <f t="shared" ref="P149" si="588">N149+O149</f>
        <v>-2.8572000001503284E-5</v>
      </c>
      <c r="Q149" s="83">
        <f t="shared" ref="Q149" si="589">J149+J150</f>
        <v>0</v>
      </c>
      <c r="R149" s="81">
        <f t="shared" ref="R149" si="590">P149-Q149</f>
        <v>-2.8572000001503284E-5</v>
      </c>
      <c r="S149" s="757">
        <f t="shared" ref="S149" si="591">Q149/P149</f>
        <v>0</v>
      </c>
      <c r="T149" s="1136">
        <f t="shared" si="465"/>
        <v>1.0000020967241439</v>
      </c>
    </row>
    <row r="150" spans="1:20" ht="15" customHeight="1" thickBot="1">
      <c r="A150" s="57">
        <v>132</v>
      </c>
      <c r="B150" s="182">
        <f t="shared" ref="B150" si="592">+B148+$B$20</f>
        <v>66</v>
      </c>
      <c r="C150" s="199" t="s">
        <v>106</v>
      </c>
      <c r="D150" s="200" t="s">
        <v>102</v>
      </c>
      <c r="E150" s="201" t="s">
        <v>180</v>
      </c>
      <c r="F150" s="201">
        <v>961964</v>
      </c>
      <c r="G150" s="202">
        <v>4.9761857139999996</v>
      </c>
      <c r="H150" s="203"/>
      <c r="I150" s="204">
        <f t="shared" ref="I150" si="593">G150+H150+K149</f>
        <v>-2.8572000001503284E-5</v>
      </c>
      <c r="J150" s="205"/>
      <c r="K150" s="215">
        <f t="shared" ref="K150:K213" si="594">I150-J150</f>
        <v>-2.8572000001503284E-5</v>
      </c>
      <c r="L150" s="217">
        <f t="shared" si="306"/>
        <v>0</v>
      </c>
      <c r="M150" s="219" t="s">
        <v>32</v>
      </c>
      <c r="N150" s="84"/>
      <c r="O150" s="84"/>
      <c r="P150" s="84"/>
      <c r="Q150" s="84"/>
      <c r="R150" s="84"/>
      <c r="S150" s="758"/>
      <c r="T150" s="1137"/>
    </row>
    <row r="151" spans="1:20" ht="15" customHeight="1">
      <c r="A151" s="57">
        <v>133</v>
      </c>
      <c r="B151" s="182">
        <f t="shared" ref="B151" si="595">+B149+$B$19</f>
        <v>67</v>
      </c>
      <c r="C151" s="176" t="s">
        <v>106</v>
      </c>
      <c r="D151" s="177" t="s">
        <v>38</v>
      </c>
      <c r="E151" s="178" t="s">
        <v>181</v>
      </c>
      <c r="F151" s="178">
        <v>920100</v>
      </c>
      <c r="G151" s="183">
        <v>8.6507857139999995</v>
      </c>
      <c r="H151" s="1123">
        <v>-13.627000000000001</v>
      </c>
      <c r="I151" s="79">
        <f t="shared" ref="I151" si="596">G151+H151</f>
        <v>-4.9762142860000012</v>
      </c>
      <c r="J151" s="80"/>
      <c r="K151" s="214">
        <f t="shared" si="594"/>
        <v>-4.9762142860000012</v>
      </c>
      <c r="L151" s="216">
        <f t="shared" ref="L151:L214" si="597">J151/I151</f>
        <v>0</v>
      </c>
      <c r="M151" s="218" t="s">
        <v>32</v>
      </c>
      <c r="N151" s="81">
        <f t="shared" ref="N151:O151" si="598">G151+G152</f>
        <v>13.626971427999999</v>
      </c>
      <c r="O151" s="82">
        <f t="shared" si="598"/>
        <v>-13.627000000000001</v>
      </c>
      <c r="P151" s="81">
        <f t="shared" ref="P151" si="599">N151+O151</f>
        <v>-2.8572000001503284E-5</v>
      </c>
      <c r="Q151" s="83">
        <f t="shared" ref="Q151" si="600">J151+J152</f>
        <v>0</v>
      </c>
      <c r="R151" s="81">
        <f t="shared" ref="R151" si="601">P151-Q151</f>
        <v>-2.8572000001503284E-5</v>
      </c>
      <c r="S151" s="757">
        <f t="shared" ref="S151" si="602">Q151/P151</f>
        <v>0</v>
      </c>
      <c r="T151" s="1136">
        <f t="shared" si="465"/>
        <v>1.0000020967241439</v>
      </c>
    </row>
    <row r="152" spans="1:20" ht="15" customHeight="1" thickBot="1">
      <c r="A152" s="57">
        <v>134</v>
      </c>
      <c r="B152" s="182">
        <f t="shared" ref="B152" si="603">+B150+$B$20</f>
        <v>67</v>
      </c>
      <c r="C152" s="199" t="s">
        <v>106</v>
      </c>
      <c r="D152" s="200" t="s">
        <v>102</v>
      </c>
      <c r="E152" s="201" t="s">
        <v>181</v>
      </c>
      <c r="F152" s="201">
        <v>920100</v>
      </c>
      <c r="G152" s="202">
        <v>4.9761857139999996</v>
      </c>
      <c r="H152" s="203"/>
      <c r="I152" s="204">
        <f t="shared" ref="I152" si="604">G152+H152+K151</f>
        <v>-2.8572000001503284E-5</v>
      </c>
      <c r="J152" s="205"/>
      <c r="K152" s="215">
        <f t="shared" si="594"/>
        <v>-2.8572000001503284E-5</v>
      </c>
      <c r="L152" s="217">
        <f t="shared" si="597"/>
        <v>0</v>
      </c>
      <c r="M152" s="219" t="s">
        <v>32</v>
      </c>
      <c r="N152" s="84"/>
      <c r="O152" s="84"/>
      <c r="P152" s="84"/>
      <c r="Q152" s="84"/>
      <c r="R152" s="84"/>
      <c r="S152" s="758"/>
      <c r="T152" s="1137"/>
    </row>
    <row r="153" spans="1:20" ht="15" customHeight="1">
      <c r="A153" s="57">
        <v>135</v>
      </c>
      <c r="B153" s="182">
        <f t="shared" ref="B153" si="605">+B151+$B$19</f>
        <v>68</v>
      </c>
      <c r="C153" s="176" t="s">
        <v>106</v>
      </c>
      <c r="D153" s="177" t="s">
        <v>38</v>
      </c>
      <c r="E153" s="178" t="s">
        <v>182</v>
      </c>
      <c r="F153" s="178">
        <v>923210</v>
      </c>
      <c r="G153" s="183">
        <v>8.6507857139999995</v>
      </c>
      <c r="H153" s="1123">
        <v>-13.627000000000001</v>
      </c>
      <c r="I153" s="79">
        <f t="shared" ref="I153" si="606">G153+H153</f>
        <v>-4.9762142860000012</v>
      </c>
      <c r="J153" s="80"/>
      <c r="K153" s="214">
        <f t="shared" si="594"/>
        <v>-4.9762142860000012</v>
      </c>
      <c r="L153" s="216">
        <f t="shared" si="597"/>
        <v>0</v>
      </c>
      <c r="M153" s="218" t="s">
        <v>32</v>
      </c>
      <c r="N153" s="81">
        <f t="shared" ref="N153:O153" si="607">G153+G154</f>
        <v>13.626971427999999</v>
      </c>
      <c r="O153" s="82">
        <f t="shared" si="607"/>
        <v>-13.627000000000001</v>
      </c>
      <c r="P153" s="81">
        <f t="shared" ref="P153" si="608">N153+O153</f>
        <v>-2.8572000001503284E-5</v>
      </c>
      <c r="Q153" s="83">
        <f t="shared" ref="Q153" si="609">J153+J154</f>
        <v>0</v>
      </c>
      <c r="R153" s="81">
        <f t="shared" ref="R153" si="610">P153-Q153</f>
        <v>-2.8572000001503284E-5</v>
      </c>
      <c r="S153" s="757">
        <f t="shared" ref="S153" si="611">Q153/P153</f>
        <v>0</v>
      </c>
      <c r="T153" s="1136">
        <f t="shared" si="465"/>
        <v>1.0000020967241439</v>
      </c>
    </row>
    <row r="154" spans="1:20" ht="15" customHeight="1" thickBot="1">
      <c r="A154" s="57">
        <v>136</v>
      </c>
      <c r="B154" s="182">
        <f t="shared" ref="B154" si="612">+B152+$B$20</f>
        <v>68</v>
      </c>
      <c r="C154" s="199" t="s">
        <v>106</v>
      </c>
      <c r="D154" s="200" t="s">
        <v>102</v>
      </c>
      <c r="E154" s="201" t="s">
        <v>182</v>
      </c>
      <c r="F154" s="201">
        <v>923210</v>
      </c>
      <c r="G154" s="202">
        <v>4.9761857139999996</v>
      </c>
      <c r="H154" s="203"/>
      <c r="I154" s="204">
        <f t="shared" ref="I154" si="613">G154+H154+K153</f>
        <v>-2.8572000001503284E-5</v>
      </c>
      <c r="J154" s="205"/>
      <c r="K154" s="215">
        <f t="shared" si="594"/>
        <v>-2.8572000001503284E-5</v>
      </c>
      <c r="L154" s="217">
        <f t="shared" si="597"/>
        <v>0</v>
      </c>
      <c r="M154" s="219" t="s">
        <v>32</v>
      </c>
      <c r="N154" s="84"/>
      <c r="O154" s="84"/>
      <c r="P154" s="84"/>
      <c r="Q154" s="84"/>
      <c r="R154" s="84"/>
      <c r="S154" s="758"/>
      <c r="T154" s="1137"/>
    </row>
    <row r="155" spans="1:20" ht="15" customHeight="1">
      <c r="A155" s="57">
        <v>137</v>
      </c>
      <c r="B155" s="182">
        <f t="shared" ref="B155" si="614">+B153+$B$19</f>
        <v>69</v>
      </c>
      <c r="C155" s="176" t="s">
        <v>106</v>
      </c>
      <c r="D155" s="177" t="s">
        <v>38</v>
      </c>
      <c r="E155" s="178" t="s">
        <v>183</v>
      </c>
      <c r="F155" s="178">
        <v>920409</v>
      </c>
      <c r="G155" s="183">
        <v>8.6507857139999995</v>
      </c>
      <c r="H155" s="1123">
        <v>-13.627000000000001</v>
      </c>
      <c r="I155" s="79">
        <f t="shared" ref="I155" si="615">G155+H155</f>
        <v>-4.9762142860000012</v>
      </c>
      <c r="J155" s="80"/>
      <c r="K155" s="214">
        <f t="shared" si="594"/>
        <v>-4.9762142860000012</v>
      </c>
      <c r="L155" s="216">
        <f t="shared" si="597"/>
        <v>0</v>
      </c>
      <c r="M155" s="218" t="s">
        <v>32</v>
      </c>
      <c r="N155" s="81">
        <f t="shared" ref="N155:O155" si="616">G155+G156</f>
        <v>13.626971427999999</v>
      </c>
      <c r="O155" s="82">
        <f t="shared" si="616"/>
        <v>-13.627000000000001</v>
      </c>
      <c r="P155" s="81">
        <f t="shared" ref="P155" si="617">N155+O155</f>
        <v>-2.8572000001503284E-5</v>
      </c>
      <c r="Q155" s="83">
        <f t="shared" ref="Q155" si="618">J155+J156</f>
        <v>0</v>
      </c>
      <c r="R155" s="81">
        <f t="shared" ref="R155" si="619">P155-Q155</f>
        <v>-2.8572000001503284E-5</v>
      </c>
      <c r="S155" s="757">
        <f t="shared" ref="S155" si="620">Q155/P155</f>
        <v>0</v>
      </c>
      <c r="T155" s="1136">
        <f t="shared" si="465"/>
        <v>1.0000020967241439</v>
      </c>
    </row>
    <row r="156" spans="1:20" ht="15" customHeight="1" thickBot="1">
      <c r="A156" s="57">
        <v>138</v>
      </c>
      <c r="B156" s="182">
        <f t="shared" ref="B156" si="621">+B154+$B$20</f>
        <v>69</v>
      </c>
      <c r="C156" s="199" t="s">
        <v>106</v>
      </c>
      <c r="D156" s="200" t="s">
        <v>102</v>
      </c>
      <c r="E156" s="201" t="s">
        <v>183</v>
      </c>
      <c r="F156" s="201">
        <v>920409</v>
      </c>
      <c r="G156" s="202">
        <v>4.9761857139999996</v>
      </c>
      <c r="H156" s="203"/>
      <c r="I156" s="204">
        <f t="shared" ref="I156" si="622">G156+H156+K155</f>
        <v>-2.8572000001503284E-5</v>
      </c>
      <c r="J156" s="205"/>
      <c r="K156" s="215">
        <f t="shared" si="594"/>
        <v>-2.8572000001503284E-5</v>
      </c>
      <c r="L156" s="217">
        <f t="shared" si="597"/>
        <v>0</v>
      </c>
      <c r="M156" s="219" t="s">
        <v>32</v>
      </c>
      <c r="N156" s="84"/>
      <c r="O156" s="84"/>
      <c r="P156" s="84"/>
      <c r="Q156" s="84"/>
      <c r="R156" s="84"/>
      <c r="S156" s="758"/>
      <c r="T156" s="1137"/>
    </row>
    <row r="157" spans="1:20" ht="15" customHeight="1">
      <c r="A157" s="57">
        <v>139</v>
      </c>
      <c r="B157" s="182">
        <f t="shared" ref="B157" si="623">+B155+$B$19</f>
        <v>70</v>
      </c>
      <c r="C157" s="176" t="s">
        <v>106</v>
      </c>
      <c r="D157" s="177" t="s">
        <v>38</v>
      </c>
      <c r="E157" s="178" t="s">
        <v>184</v>
      </c>
      <c r="F157" s="178">
        <v>954070</v>
      </c>
      <c r="G157" s="183">
        <v>8.6507857139999995</v>
      </c>
      <c r="H157" s="1123">
        <v>-13.627000000000001</v>
      </c>
      <c r="I157" s="79">
        <f t="shared" ref="I157" si="624">G157+H157</f>
        <v>-4.9762142860000012</v>
      </c>
      <c r="J157" s="80"/>
      <c r="K157" s="214">
        <f t="shared" si="594"/>
        <v>-4.9762142860000012</v>
      </c>
      <c r="L157" s="216">
        <f t="shared" si="597"/>
        <v>0</v>
      </c>
      <c r="M157" s="218" t="s">
        <v>32</v>
      </c>
      <c r="N157" s="81">
        <f t="shared" ref="N157:O157" si="625">G157+G158</f>
        <v>13.626971427999999</v>
      </c>
      <c r="O157" s="82">
        <f t="shared" si="625"/>
        <v>-13.627000000000001</v>
      </c>
      <c r="P157" s="81">
        <f t="shared" ref="P157" si="626">N157+O157</f>
        <v>-2.8572000001503284E-5</v>
      </c>
      <c r="Q157" s="83">
        <f t="shared" ref="Q157" si="627">J157+J158</f>
        <v>0</v>
      </c>
      <c r="R157" s="81">
        <f t="shared" ref="R157" si="628">P157-Q157</f>
        <v>-2.8572000001503284E-5</v>
      </c>
      <c r="S157" s="757">
        <f t="shared" ref="S157" si="629">Q157/P157</f>
        <v>0</v>
      </c>
      <c r="T157" s="1136">
        <f t="shared" si="465"/>
        <v>1.0000020967241439</v>
      </c>
    </row>
    <row r="158" spans="1:20" ht="15" customHeight="1" thickBot="1">
      <c r="A158" s="57">
        <v>140</v>
      </c>
      <c r="B158" s="182">
        <f t="shared" ref="B158" si="630">+B156+$B$20</f>
        <v>70</v>
      </c>
      <c r="C158" s="199" t="s">
        <v>106</v>
      </c>
      <c r="D158" s="200" t="s">
        <v>102</v>
      </c>
      <c r="E158" s="201" t="s">
        <v>184</v>
      </c>
      <c r="F158" s="201">
        <v>954070</v>
      </c>
      <c r="G158" s="202">
        <v>4.9761857139999996</v>
      </c>
      <c r="H158" s="203"/>
      <c r="I158" s="204">
        <f t="shared" ref="I158" si="631">G158+H158+K157</f>
        <v>-2.8572000001503284E-5</v>
      </c>
      <c r="J158" s="205"/>
      <c r="K158" s="215">
        <f t="shared" si="594"/>
        <v>-2.8572000001503284E-5</v>
      </c>
      <c r="L158" s="217">
        <f t="shared" si="597"/>
        <v>0</v>
      </c>
      <c r="M158" s="219" t="s">
        <v>32</v>
      </c>
      <c r="N158" s="84"/>
      <c r="O158" s="84"/>
      <c r="P158" s="84"/>
      <c r="Q158" s="84"/>
      <c r="R158" s="84"/>
      <c r="S158" s="758"/>
      <c r="T158" s="1137"/>
    </row>
    <row r="159" spans="1:20" ht="15" customHeight="1">
      <c r="A159" s="169">
        <v>141</v>
      </c>
      <c r="B159" s="169">
        <f t="shared" ref="B159" si="632">+B157+$B$19</f>
        <v>71</v>
      </c>
      <c r="C159" s="176" t="s">
        <v>108</v>
      </c>
      <c r="D159" s="177" t="s">
        <v>38</v>
      </c>
      <c r="E159" s="178" t="s">
        <v>185</v>
      </c>
      <c r="F159" s="178">
        <v>34087</v>
      </c>
      <c r="G159" s="183">
        <v>8.6507857139999995</v>
      </c>
      <c r="H159" s="1123">
        <v>-13.627000000000001</v>
      </c>
      <c r="I159" s="79">
        <f t="shared" ref="I159" si="633">G159+H159</f>
        <v>-4.9762142860000012</v>
      </c>
      <c r="J159" s="80"/>
      <c r="K159" s="214">
        <f t="shared" si="594"/>
        <v>-4.9762142860000012</v>
      </c>
      <c r="L159" s="216">
        <f t="shared" si="597"/>
        <v>0</v>
      </c>
      <c r="M159" s="218" t="s">
        <v>32</v>
      </c>
      <c r="N159" s="81">
        <f t="shared" ref="N159:O159" si="634">G159+G160</f>
        <v>13.626971427999999</v>
      </c>
      <c r="O159" s="82">
        <f t="shared" si="634"/>
        <v>-13.627000000000001</v>
      </c>
      <c r="P159" s="81">
        <f t="shared" ref="P159" si="635">N159+O159</f>
        <v>-2.8572000001503284E-5</v>
      </c>
      <c r="Q159" s="83">
        <f t="shared" ref="Q159" si="636">J159+J160</f>
        <v>0</v>
      </c>
      <c r="R159" s="81">
        <f t="shared" ref="R159" si="637">P159-Q159</f>
        <v>-2.8572000001503284E-5</v>
      </c>
      <c r="S159" s="757">
        <f t="shared" ref="S159" si="638">Q159/P159</f>
        <v>0</v>
      </c>
      <c r="T159" s="1136">
        <f t="shared" si="465"/>
        <v>1.0000020967241439</v>
      </c>
    </row>
    <row r="160" spans="1:20" ht="15" customHeight="1" thickBot="1">
      <c r="A160" s="57">
        <v>142</v>
      </c>
      <c r="B160" s="169">
        <f t="shared" ref="B160" si="639">+B158+$B$20</f>
        <v>71</v>
      </c>
      <c r="C160" s="199" t="s">
        <v>108</v>
      </c>
      <c r="D160" s="200" t="s">
        <v>102</v>
      </c>
      <c r="E160" s="201" t="s">
        <v>185</v>
      </c>
      <c r="F160" s="201">
        <v>34087</v>
      </c>
      <c r="G160" s="202">
        <v>4.9761857139999996</v>
      </c>
      <c r="H160" s="203"/>
      <c r="I160" s="204">
        <f t="shared" ref="I160" si="640">G160+H160+K159</f>
        <v>-2.8572000001503284E-5</v>
      </c>
      <c r="J160" s="205"/>
      <c r="K160" s="215">
        <f t="shared" si="594"/>
        <v>-2.8572000001503284E-5</v>
      </c>
      <c r="L160" s="217">
        <f t="shared" si="597"/>
        <v>0</v>
      </c>
      <c r="M160" s="219" t="s">
        <v>32</v>
      </c>
      <c r="N160" s="84"/>
      <c r="O160" s="84"/>
      <c r="P160" s="84"/>
      <c r="Q160" s="84"/>
      <c r="R160" s="84"/>
      <c r="S160" s="758"/>
      <c r="T160" s="1137"/>
    </row>
    <row r="161" spans="1:20" ht="15" customHeight="1">
      <c r="A161" s="57">
        <v>143</v>
      </c>
      <c r="B161" s="169">
        <f t="shared" ref="B161" si="641">+B159+$B$19</f>
        <v>72</v>
      </c>
      <c r="C161" s="176" t="s">
        <v>108</v>
      </c>
      <c r="D161" s="177" t="s">
        <v>38</v>
      </c>
      <c r="E161" s="178" t="s">
        <v>186</v>
      </c>
      <c r="F161" s="178">
        <v>16115</v>
      </c>
      <c r="G161" s="183">
        <v>8.6507857139999995</v>
      </c>
      <c r="H161" s="1123">
        <v>-13.627000000000001</v>
      </c>
      <c r="I161" s="79">
        <f t="shared" ref="I161" si="642">G161+H161</f>
        <v>-4.9762142860000012</v>
      </c>
      <c r="J161" s="80"/>
      <c r="K161" s="214">
        <f t="shared" si="594"/>
        <v>-4.9762142860000012</v>
      </c>
      <c r="L161" s="216">
        <f t="shared" si="597"/>
        <v>0</v>
      </c>
      <c r="M161" s="218" t="s">
        <v>32</v>
      </c>
      <c r="N161" s="81">
        <f t="shared" ref="N161:O161" si="643">G161+G162</f>
        <v>13.626971427999999</v>
      </c>
      <c r="O161" s="82">
        <f t="shared" si="643"/>
        <v>-13.627000000000001</v>
      </c>
      <c r="P161" s="81">
        <f t="shared" ref="P161" si="644">N161+O161</f>
        <v>-2.8572000001503284E-5</v>
      </c>
      <c r="Q161" s="83">
        <f t="shared" ref="Q161" si="645">J161+J162</f>
        <v>0</v>
      </c>
      <c r="R161" s="81">
        <f t="shared" ref="R161" si="646">P161-Q161</f>
        <v>-2.8572000001503284E-5</v>
      </c>
      <c r="S161" s="757">
        <f t="shared" ref="S161" si="647">Q161/P161</f>
        <v>0</v>
      </c>
      <c r="T161" s="1136">
        <f t="shared" si="465"/>
        <v>1.0000020967241439</v>
      </c>
    </row>
    <row r="162" spans="1:20" ht="15" customHeight="1" thickBot="1">
      <c r="A162" s="57">
        <v>144</v>
      </c>
      <c r="B162" s="169">
        <f t="shared" ref="B162" si="648">+B160+$B$20</f>
        <v>72</v>
      </c>
      <c r="C162" s="199" t="s">
        <v>108</v>
      </c>
      <c r="D162" s="200" t="s">
        <v>102</v>
      </c>
      <c r="E162" s="201" t="s">
        <v>186</v>
      </c>
      <c r="F162" s="201">
        <v>16115</v>
      </c>
      <c r="G162" s="202">
        <v>4.9761857139999996</v>
      </c>
      <c r="H162" s="203"/>
      <c r="I162" s="204">
        <f t="shared" ref="I162" si="649">G162+H162+K161</f>
        <v>-2.8572000001503284E-5</v>
      </c>
      <c r="J162" s="205"/>
      <c r="K162" s="215">
        <f t="shared" si="594"/>
        <v>-2.8572000001503284E-5</v>
      </c>
      <c r="L162" s="217">
        <f t="shared" si="597"/>
        <v>0</v>
      </c>
      <c r="M162" s="219" t="s">
        <v>32</v>
      </c>
      <c r="N162" s="84"/>
      <c r="O162" s="84"/>
      <c r="P162" s="84"/>
      <c r="Q162" s="84"/>
      <c r="R162" s="84"/>
      <c r="S162" s="758"/>
      <c r="T162" s="1137"/>
    </row>
    <row r="163" spans="1:20" ht="15" customHeight="1">
      <c r="A163" s="57">
        <v>145</v>
      </c>
      <c r="B163" s="169">
        <f t="shared" ref="B163" si="650">+B161+$B$19</f>
        <v>73</v>
      </c>
      <c r="C163" s="176" t="s">
        <v>108</v>
      </c>
      <c r="D163" s="177" t="s">
        <v>38</v>
      </c>
      <c r="E163" s="178" t="s">
        <v>187</v>
      </c>
      <c r="F163" s="178">
        <v>15868</v>
      </c>
      <c r="G163" s="183">
        <v>8.6507857139999995</v>
      </c>
      <c r="H163" s="1123">
        <v>-13.627000000000001</v>
      </c>
      <c r="I163" s="79">
        <f t="shared" ref="I163" si="651">G163+H163</f>
        <v>-4.9762142860000012</v>
      </c>
      <c r="J163" s="80"/>
      <c r="K163" s="214">
        <f t="shared" si="594"/>
        <v>-4.9762142860000012</v>
      </c>
      <c r="L163" s="216">
        <f t="shared" si="597"/>
        <v>0</v>
      </c>
      <c r="M163" s="218" t="s">
        <v>32</v>
      </c>
      <c r="N163" s="81">
        <f t="shared" ref="N163:O163" si="652">G163+G164</f>
        <v>13.626971427999999</v>
      </c>
      <c r="O163" s="82">
        <f t="shared" si="652"/>
        <v>-13.627000000000001</v>
      </c>
      <c r="P163" s="81">
        <f t="shared" ref="P163" si="653">N163+O163</f>
        <v>-2.8572000001503284E-5</v>
      </c>
      <c r="Q163" s="83">
        <f t="shared" ref="Q163" si="654">J163+J164</f>
        <v>0</v>
      </c>
      <c r="R163" s="81">
        <f t="shared" ref="R163" si="655">P163-Q163</f>
        <v>-2.8572000001503284E-5</v>
      </c>
      <c r="S163" s="757">
        <f t="shared" ref="S163" si="656">Q163/P163</f>
        <v>0</v>
      </c>
      <c r="T163" s="1136">
        <f t="shared" si="465"/>
        <v>1.0000020967241439</v>
      </c>
    </row>
    <row r="164" spans="1:20" ht="15" customHeight="1" thickBot="1">
      <c r="A164" s="57">
        <v>146</v>
      </c>
      <c r="B164" s="169">
        <f t="shared" ref="B164" si="657">+B162+$B$20</f>
        <v>73</v>
      </c>
      <c r="C164" s="199" t="s">
        <v>108</v>
      </c>
      <c r="D164" s="200" t="s">
        <v>102</v>
      </c>
      <c r="E164" s="201" t="s">
        <v>187</v>
      </c>
      <c r="F164" s="201">
        <v>15868</v>
      </c>
      <c r="G164" s="202">
        <v>4.9761857139999996</v>
      </c>
      <c r="H164" s="203"/>
      <c r="I164" s="204">
        <f t="shared" ref="I164" si="658">G164+H164+K163</f>
        <v>-2.8572000001503284E-5</v>
      </c>
      <c r="J164" s="205"/>
      <c r="K164" s="215">
        <f t="shared" si="594"/>
        <v>-2.8572000001503284E-5</v>
      </c>
      <c r="L164" s="217">
        <f t="shared" si="597"/>
        <v>0</v>
      </c>
      <c r="M164" s="219" t="s">
        <v>32</v>
      </c>
      <c r="N164" s="84"/>
      <c r="O164" s="84"/>
      <c r="P164" s="84"/>
      <c r="Q164" s="84"/>
      <c r="R164" s="84"/>
      <c r="S164" s="758"/>
      <c r="T164" s="1137"/>
    </row>
    <row r="165" spans="1:20" ht="15" customHeight="1">
      <c r="A165" s="57">
        <v>147</v>
      </c>
      <c r="B165" s="169">
        <f t="shared" ref="B165" si="659">+B163+$B$19</f>
        <v>74</v>
      </c>
      <c r="C165" s="176" t="s">
        <v>108</v>
      </c>
      <c r="D165" s="177" t="s">
        <v>38</v>
      </c>
      <c r="E165" s="178" t="s">
        <v>188</v>
      </c>
      <c r="F165" s="178">
        <v>15932</v>
      </c>
      <c r="G165" s="183">
        <v>8.6507857139999995</v>
      </c>
      <c r="H165" s="1123">
        <v>-13.627000000000001</v>
      </c>
      <c r="I165" s="79">
        <f t="shared" ref="I165" si="660">G165+H165</f>
        <v>-4.9762142860000012</v>
      </c>
      <c r="J165" s="80"/>
      <c r="K165" s="214">
        <f t="shared" si="594"/>
        <v>-4.9762142860000012</v>
      </c>
      <c r="L165" s="216">
        <f t="shared" si="597"/>
        <v>0</v>
      </c>
      <c r="M165" s="218" t="s">
        <v>32</v>
      </c>
      <c r="N165" s="81">
        <f t="shared" ref="N165:O165" si="661">G165+G166</f>
        <v>13.626971427999999</v>
      </c>
      <c r="O165" s="82">
        <f t="shared" si="661"/>
        <v>-13.627000000000001</v>
      </c>
      <c r="P165" s="81">
        <f t="shared" ref="P165" si="662">N165+O165</f>
        <v>-2.8572000001503284E-5</v>
      </c>
      <c r="Q165" s="83">
        <f t="shared" ref="Q165" si="663">J165+J166</f>
        <v>0</v>
      </c>
      <c r="R165" s="81">
        <f t="shared" ref="R165" si="664">P165-Q165</f>
        <v>-2.8572000001503284E-5</v>
      </c>
      <c r="S165" s="757">
        <f t="shared" ref="S165" si="665">Q165/P165</f>
        <v>0</v>
      </c>
      <c r="T165" s="1136">
        <f t="shared" si="465"/>
        <v>1.0000020967241439</v>
      </c>
    </row>
    <row r="166" spans="1:20" ht="15" customHeight="1" thickBot="1">
      <c r="A166" s="57">
        <v>148</v>
      </c>
      <c r="B166" s="169">
        <f t="shared" ref="B166" si="666">+B164+$B$20</f>
        <v>74</v>
      </c>
      <c r="C166" s="199" t="s">
        <v>108</v>
      </c>
      <c r="D166" s="200" t="s">
        <v>102</v>
      </c>
      <c r="E166" s="201" t="s">
        <v>188</v>
      </c>
      <c r="F166" s="201">
        <v>15932</v>
      </c>
      <c r="G166" s="202">
        <v>4.9761857139999996</v>
      </c>
      <c r="H166" s="203"/>
      <c r="I166" s="204">
        <f t="shared" ref="I166" si="667">G166+H166+K165</f>
        <v>-2.8572000001503284E-5</v>
      </c>
      <c r="J166" s="205"/>
      <c r="K166" s="215">
        <f t="shared" si="594"/>
        <v>-2.8572000001503284E-5</v>
      </c>
      <c r="L166" s="217">
        <f t="shared" si="597"/>
        <v>0</v>
      </c>
      <c r="M166" s="219" t="s">
        <v>32</v>
      </c>
      <c r="N166" s="84"/>
      <c r="O166" s="84"/>
      <c r="P166" s="84"/>
      <c r="Q166" s="84"/>
      <c r="R166" s="84"/>
      <c r="S166" s="758"/>
      <c r="T166" s="1137"/>
    </row>
    <row r="167" spans="1:20" ht="15" customHeight="1">
      <c r="A167" s="57">
        <v>149</v>
      </c>
      <c r="B167" s="169">
        <f t="shared" ref="B167" si="668">+B165+$B$19</f>
        <v>75</v>
      </c>
      <c r="C167" s="176" t="s">
        <v>108</v>
      </c>
      <c r="D167" s="177" t="s">
        <v>38</v>
      </c>
      <c r="E167" s="178" t="s">
        <v>189</v>
      </c>
      <c r="F167" s="178">
        <v>15862</v>
      </c>
      <c r="G167" s="183">
        <v>8.6507857139999995</v>
      </c>
      <c r="H167" s="1123">
        <v>-13.627000000000001</v>
      </c>
      <c r="I167" s="79">
        <f t="shared" ref="I167" si="669">G167+H167</f>
        <v>-4.9762142860000012</v>
      </c>
      <c r="J167" s="80"/>
      <c r="K167" s="214">
        <f t="shared" si="594"/>
        <v>-4.9762142860000012</v>
      </c>
      <c r="L167" s="216">
        <f t="shared" si="597"/>
        <v>0</v>
      </c>
      <c r="M167" s="218" t="s">
        <v>32</v>
      </c>
      <c r="N167" s="81">
        <f t="shared" ref="N167:O167" si="670">G167+G168</f>
        <v>13.626971427999999</v>
      </c>
      <c r="O167" s="82">
        <f t="shared" si="670"/>
        <v>-13.627000000000001</v>
      </c>
      <c r="P167" s="81">
        <f t="shared" ref="P167" si="671">N167+O167</f>
        <v>-2.8572000001503284E-5</v>
      </c>
      <c r="Q167" s="83">
        <f t="shared" ref="Q167" si="672">J167+J168</f>
        <v>0</v>
      </c>
      <c r="R167" s="81">
        <f t="shared" ref="R167" si="673">P167-Q167</f>
        <v>-2.8572000001503284E-5</v>
      </c>
      <c r="S167" s="757">
        <f t="shared" ref="S167" si="674">Q167/P167</f>
        <v>0</v>
      </c>
      <c r="T167" s="1136">
        <f t="shared" si="465"/>
        <v>1.0000020967241439</v>
      </c>
    </row>
    <row r="168" spans="1:20" ht="15" customHeight="1" thickBot="1">
      <c r="A168" s="57">
        <v>150</v>
      </c>
      <c r="B168" s="169">
        <f t="shared" ref="B168" si="675">+B166+$B$20</f>
        <v>75</v>
      </c>
      <c r="C168" s="199" t="s">
        <v>108</v>
      </c>
      <c r="D168" s="200" t="s">
        <v>102</v>
      </c>
      <c r="E168" s="201" t="s">
        <v>189</v>
      </c>
      <c r="F168" s="201">
        <v>15862</v>
      </c>
      <c r="G168" s="202">
        <v>4.9761857139999996</v>
      </c>
      <c r="H168" s="203"/>
      <c r="I168" s="204">
        <f t="shared" ref="I168" si="676">G168+H168+K167</f>
        <v>-2.8572000001503284E-5</v>
      </c>
      <c r="J168" s="205"/>
      <c r="K168" s="215">
        <f t="shared" si="594"/>
        <v>-2.8572000001503284E-5</v>
      </c>
      <c r="L168" s="217">
        <f t="shared" si="597"/>
        <v>0</v>
      </c>
      <c r="M168" s="219" t="s">
        <v>32</v>
      </c>
      <c r="N168" s="84"/>
      <c r="O168" s="84"/>
      <c r="P168" s="84"/>
      <c r="Q168" s="84"/>
      <c r="R168" s="84"/>
      <c r="S168" s="758"/>
      <c r="T168" s="1137"/>
    </row>
    <row r="169" spans="1:20" ht="15" customHeight="1">
      <c r="A169" s="57">
        <v>151</v>
      </c>
      <c r="B169" s="169">
        <f t="shared" ref="B169" si="677">+B167+$B$19</f>
        <v>76</v>
      </c>
      <c r="C169" s="176" t="s">
        <v>108</v>
      </c>
      <c r="D169" s="177" t="s">
        <v>38</v>
      </c>
      <c r="E169" s="178" t="s">
        <v>190</v>
      </c>
      <c r="F169" s="178">
        <v>962667</v>
      </c>
      <c r="G169" s="183">
        <v>8.6507857139999995</v>
      </c>
      <c r="H169" s="1123">
        <v>-13.627000000000001</v>
      </c>
      <c r="I169" s="79">
        <f t="shared" ref="I169" si="678">G169+H169</f>
        <v>-4.9762142860000012</v>
      </c>
      <c r="J169" s="80"/>
      <c r="K169" s="214">
        <f t="shared" si="594"/>
        <v>-4.9762142860000012</v>
      </c>
      <c r="L169" s="216">
        <f t="shared" si="597"/>
        <v>0</v>
      </c>
      <c r="M169" s="218" t="s">
        <v>32</v>
      </c>
      <c r="N169" s="81">
        <f t="shared" ref="N169:O169" si="679">G169+G170</f>
        <v>13.626971427999999</v>
      </c>
      <c r="O169" s="82">
        <f t="shared" si="679"/>
        <v>-13.627000000000001</v>
      </c>
      <c r="P169" s="81">
        <f t="shared" ref="P169" si="680">N169+O169</f>
        <v>-2.8572000001503284E-5</v>
      </c>
      <c r="Q169" s="83">
        <f t="shared" ref="Q169" si="681">J169+J170</f>
        <v>0</v>
      </c>
      <c r="R169" s="81">
        <f t="shared" ref="R169" si="682">P169-Q169</f>
        <v>-2.8572000001503284E-5</v>
      </c>
      <c r="S169" s="757">
        <f t="shared" ref="S169" si="683">Q169/P169</f>
        <v>0</v>
      </c>
      <c r="T169" s="1136">
        <f t="shared" si="465"/>
        <v>1.0000020967241439</v>
      </c>
    </row>
    <row r="170" spans="1:20" ht="15" customHeight="1" thickBot="1">
      <c r="A170" s="57">
        <v>152</v>
      </c>
      <c r="B170" s="169">
        <f t="shared" ref="B170" si="684">+B168+$B$20</f>
        <v>76</v>
      </c>
      <c r="C170" s="199" t="s">
        <v>108</v>
      </c>
      <c r="D170" s="200" t="s">
        <v>102</v>
      </c>
      <c r="E170" s="201" t="s">
        <v>190</v>
      </c>
      <c r="F170" s="201">
        <v>962667</v>
      </c>
      <c r="G170" s="202">
        <v>4.9761857139999996</v>
      </c>
      <c r="H170" s="203"/>
      <c r="I170" s="204">
        <f t="shared" ref="I170" si="685">G170+H170+K169</f>
        <v>-2.8572000001503284E-5</v>
      </c>
      <c r="J170" s="205"/>
      <c r="K170" s="215">
        <f t="shared" si="594"/>
        <v>-2.8572000001503284E-5</v>
      </c>
      <c r="L170" s="217">
        <f t="shared" si="597"/>
        <v>0</v>
      </c>
      <c r="M170" s="219" t="s">
        <v>32</v>
      </c>
      <c r="N170" s="84"/>
      <c r="O170" s="84"/>
      <c r="P170" s="84"/>
      <c r="Q170" s="84"/>
      <c r="R170" s="84"/>
      <c r="S170" s="758"/>
      <c r="T170" s="1137"/>
    </row>
    <row r="171" spans="1:20" ht="15" customHeight="1">
      <c r="A171" s="57">
        <v>153</v>
      </c>
      <c r="B171" s="169">
        <f t="shared" ref="B171" si="686">+B169+$B$19</f>
        <v>77</v>
      </c>
      <c r="C171" s="176" t="s">
        <v>108</v>
      </c>
      <c r="D171" s="177" t="s">
        <v>38</v>
      </c>
      <c r="E171" s="178" t="s">
        <v>191</v>
      </c>
      <c r="F171" s="178">
        <v>963489</v>
      </c>
      <c r="G171" s="183">
        <v>8.6507857139999995</v>
      </c>
      <c r="H171" s="1123">
        <v>-13.627000000000001</v>
      </c>
      <c r="I171" s="79">
        <f t="shared" ref="I171" si="687">G171+H171</f>
        <v>-4.9762142860000012</v>
      </c>
      <c r="J171" s="80"/>
      <c r="K171" s="214">
        <f t="shared" si="594"/>
        <v>-4.9762142860000012</v>
      </c>
      <c r="L171" s="216">
        <f t="shared" si="597"/>
        <v>0</v>
      </c>
      <c r="M171" s="218" t="s">
        <v>32</v>
      </c>
      <c r="N171" s="81">
        <f t="shared" ref="N171:O171" si="688">G171+G172</f>
        <v>13.626971427999999</v>
      </c>
      <c r="O171" s="82">
        <f t="shared" si="688"/>
        <v>-13.627000000000001</v>
      </c>
      <c r="P171" s="81">
        <f t="shared" ref="P171" si="689">N171+O171</f>
        <v>-2.8572000001503284E-5</v>
      </c>
      <c r="Q171" s="83">
        <f t="shared" ref="Q171" si="690">J171+J172</f>
        <v>0</v>
      </c>
      <c r="R171" s="81">
        <f t="shared" ref="R171" si="691">P171-Q171</f>
        <v>-2.8572000001503284E-5</v>
      </c>
      <c r="S171" s="757">
        <f t="shared" ref="S171" si="692">Q171/P171</f>
        <v>0</v>
      </c>
      <c r="T171" s="1136">
        <f t="shared" si="465"/>
        <v>1.0000020967241439</v>
      </c>
    </row>
    <row r="172" spans="1:20" ht="15" customHeight="1" thickBot="1">
      <c r="A172" s="57">
        <v>154</v>
      </c>
      <c r="B172" s="169">
        <f t="shared" ref="B172" si="693">+B170+$B$20</f>
        <v>77</v>
      </c>
      <c r="C172" s="199" t="s">
        <v>108</v>
      </c>
      <c r="D172" s="200" t="s">
        <v>102</v>
      </c>
      <c r="E172" s="201" t="s">
        <v>191</v>
      </c>
      <c r="F172" s="201">
        <v>963489</v>
      </c>
      <c r="G172" s="202">
        <v>4.9761857139999996</v>
      </c>
      <c r="H172" s="203"/>
      <c r="I172" s="204">
        <f t="shared" ref="I172" si="694">G172+H172+K171</f>
        <v>-2.8572000001503284E-5</v>
      </c>
      <c r="J172" s="205"/>
      <c r="K172" s="215">
        <f t="shared" si="594"/>
        <v>-2.8572000001503284E-5</v>
      </c>
      <c r="L172" s="217">
        <f t="shared" si="597"/>
        <v>0</v>
      </c>
      <c r="M172" s="219" t="s">
        <v>32</v>
      </c>
      <c r="N172" s="84"/>
      <c r="O172" s="84"/>
      <c r="P172" s="84"/>
      <c r="Q172" s="84"/>
      <c r="R172" s="84"/>
      <c r="S172" s="758"/>
      <c r="T172" s="1137"/>
    </row>
    <row r="173" spans="1:20" ht="15" customHeight="1">
      <c r="A173" s="57">
        <v>155</v>
      </c>
      <c r="B173" s="169">
        <f t="shared" ref="B173" si="695">+B171+$B$19</f>
        <v>78</v>
      </c>
      <c r="C173" s="176" t="s">
        <v>108</v>
      </c>
      <c r="D173" s="177" t="s">
        <v>38</v>
      </c>
      <c r="E173" s="178" t="s">
        <v>192</v>
      </c>
      <c r="F173" s="178">
        <v>964164</v>
      </c>
      <c r="G173" s="183">
        <v>8.6507857139999995</v>
      </c>
      <c r="H173" s="1123">
        <v>-13.627000000000001</v>
      </c>
      <c r="I173" s="79">
        <f t="shared" ref="I173" si="696">G173+H173</f>
        <v>-4.9762142860000012</v>
      </c>
      <c r="J173" s="80"/>
      <c r="K173" s="214">
        <f t="shared" si="594"/>
        <v>-4.9762142860000012</v>
      </c>
      <c r="L173" s="216">
        <f t="shared" si="597"/>
        <v>0</v>
      </c>
      <c r="M173" s="218" t="s">
        <v>32</v>
      </c>
      <c r="N173" s="81">
        <f t="shared" ref="N173:O173" si="697">G173+G174</f>
        <v>13.626971427999999</v>
      </c>
      <c r="O173" s="82">
        <f t="shared" si="697"/>
        <v>-13.627000000000001</v>
      </c>
      <c r="P173" s="81">
        <f t="shared" ref="P173" si="698">N173+O173</f>
        <v>-2.8572000001503284E-5</v>
      </c>
      <c r="Q173" s="83">
        <f t="shared" ref="Q173" si="699">J173+J174</f>
        <v>0</v>
      </c>
      <c r="R173" s="81">
        <f t="shared" ref="R173" si="700">P173-Q173</f>
        <v>-2.8572000001503284E-5</v>
      </c>
      <c r="S173" s="757">
        <f t="shared" ref="S173" si="701">Q173/P173</f>
        <v>0</v>
      </c>
      <c r="T173" s="1136">
        <f t="shared" si="465"/>
        <v>1.0000020967241439</v>
      </c>
    </row>
    <row r="174" spans="1:20" ht="15" customHeight="1" thickBot="1">
      <c r="A174" s="57">
        <v>156</v>
      </c>
      <c r="B174" s="169">
        <f t="shared" ref="B174" si="702">+B172+$B$20</f>
        <v>78</v>
      </c>
      <c r="C174" s="199" t="s">
        <v>108</v>
      </c>
      <c r="D174" s="200" t="s">
        <v>102</v>
      </c>
      <c r="E174" s="201" t="s">
        <v>192</v>
      </c>
      <c r="F174" s="201">
        <v>964164</v>
      </c>
      <c r="G174" s="202">
        <v>4.9761857139999996</v>
      </c>
      <c r="H174" s="203"/>
      <c r="I174" s="204">
        <f t="shared" ref="I174" si="703">G174+H174+K173</f>
        <v>-2.8572000001503284E-5</v>
      </c>
      <c r="J174" s="205"/>
      <c r="K174" s="215">
        <f t="shared" si="594"/>
        <v>-2.8572000001503284E-5</v>
      </c>
      <c r="L174" s="217">
        <f t="shared" si="597"/>
        <v>0</v>
      </c>
      <c r="M174" s="219" t="s">
        <v>32</v>
      </c>
      <c r="N174" s="84"/>
      <c r="O174" s="84"/>
      <c r="P174" s="84"/>
      <c r="Q174" s="84"/>
      <c r="R174" s="84"/>
      <c r="S174" s="758"/>
      <c r="T174" s="1137"/>
    </row>
    <row r="175" spans="1:20" ht="15" customHeight="1">
      <c r="A175" s="57">
        <v>157</v>
      </c>
      <c r="B175" s="169">
        <f t="shared" ref="B175" si="704">+B173+$B$19</f>
        <v>79</v>
      </c>
      <c r="C175" s="176" t="s">
        <v>108</v>
      </c>
      <c r="D175" s="177" t="s">
        <v>38</v>
      </c>
      <c r="E175" s="178" t="s">
        <v>193</v>
      </c>
      <c r="F175" s="178">
        <v>964165</v>
      </c>
      <c r="G175" s="183">
        <v>8.6507857139999995</v>
      </c>
      <c r="H175" s="1123">
        <v>-13.627000000000001</v>
      </c>
      <c r="I175" s="79">
        <f t="shared" ref="I175" si="705">G175+H175</f>
        <v>-4.9762142860000012</v>
      </c>
      <c r="J175" s="80"/>
      <c r="K175" s="214">
        <f t="shared" si="594"/>
        <v>-4.9762142860000012</v>
      </c>
      <c r="L175" s="216">
        <f t="shared" si="597"/>
        <v>0</v>
      </c>
      <c r="M175" s="218" t="s">
        <v>32</v>
      </c>
      <c r="N175" s="81">
        <f t="shared" ref="N175:O175" si="706">G175+G176</f>
        <v>13.626971427999999</v>
      </c>
      <c r="O175" s="82">
        <f t="shared" si="706"/>
        <v>-13.627000000000001</v>
      </c>
      <c r="P175" s="81">
        <f t="shared" ref="P175" si="707">N175+O175</f>
        <v>-2.8572000001503284E-5</v>
      </c>
      <c r="Q175" s="83">
        <f t="shared" ref="Q175" si="708">J175+J176</f>
        <v>0</v>
      </c>
      <c r="R175" s="81">
        <f t="shared" ref="R175" si="709">P175-Q175</f>
        <v>-2.8572000001503284E-5</v>
      </c>
      <c r="S175" s="757">
        <f t="shared" ref="S175" si="710">Q175/P175</f>
        <v>0</v>
      </c>
      <c r="T175" s="1136">
        <f t="shared" si="465"/>
        <v>1.0000020967241439</v>
      </c>
    </row>
    <row r="176" spans="1:20" ht="15" customHeight="1" thickBot="1">
      <c r="A176" s="57">
        <v>158</v>
      </c>
      <c r="B176" s="169">
        <f t="shared" ref="B176" si="711">+B174+$B$20</f>
        <v>79</v>
      </c>
      <c r="C176" s="199" t="s">
        <v>108</v>
      </c>
      <c r="D176" s="200" t="s">
        <v>102</v>
      </c>
      <c r="E176" s="201" t="s">
        <v>193</v>
      </c>
      <c r="F176" s="201">
        <v>964165</v>
      </c>
      <c r="G176" s="202">
        <v>4.9761857139999996</v>
      </c>
      <c r="H176" s="203"/>
      <c r="I176" s="204">
        <f t="shared" ref="I176" si="712">G176+H176+K175</f>
        <v>-2.8572000001503284E-5</v>
      </c>
      <c r="J176" s="205"/>
      <c r="K176" s="215">
        <f t="shared" si="594"/>
        <v>-2.8572000001503284E-5</v>
      </c>
      <c r="L176" s="217">
        <f t="shared" si="597"/>
        <v>0</v>
      </c>
      <c r="M176" s="219" t="s">
        <v>32</v>
      </c>
      <c r="N176" s="84"/>
      <c r="O176" s="84"/>
      <c r="P176" s="84"/>
      <c r="Q176" s="84"/>
      <c r="R176" s="84"/>
      <c r="S176" s="758"/>
      <c r="T176" s="1137"/>
    </row>
    <row r="177" spans="1:20" ht="15" customHeight="1">
      <c r="A177" s="57">
        <v>159</v>
      </c>
      <c r="B177" s="169">
        <f t="shared" ref="B177" si="713">+B175+$B$19</f>
        <v>80</v>
      </c>
      <c r="C177" s="176" t="s">
        <v>108</v>
      </c>
      <c r="D177" s="177" t="s">
        <v>38</v>
      </c>
      <c r="E177" s="178" t="s">
        <v>194</v>
      </c>
      <c r="F177" s="178">
        <v>16158</v>
      </c>
      <c r="G177" s="183">
        <v>8.6507857139999995</v>
      </c>
      <c r="H177" s="1123">
        <v>-13.627000000000001</v>
      </c>
      <c r="I177" s="79">
        <f t="shared" ref="I177" si="714">G177+H177</f>
        <v>-4.9762142860000012</v>
      </c>
      <c r="J177" s="80"/>
      <c r="K177" s="214">
        <f t="shared" si="594"/>
        <v>-4.9762142860000012</v>
      </c>
      <c r="L177" s="216">
        <f t="shared" si="597"/>
        <v>0</v>
      </c>
      <c r="M177" s="218" t="s">
        <v>32</v>
      </c>
      <c r="N177" s="81">
        <f t="shared" ref="N177:O177" si="715">G177+G178</f>
        <v>13.626971427999999</v>
      </c>
      <c r="O177" s="82">
        <f t="shared" si="715"/>
        <v>-13.627000000000001</v>
      </c>
      <c r="P177" s="81">
        <f t="shared" ref="P177" si="716">N177+O177</f>
        <v>-2.8572000001503284E-5</v>
      </c>
      <c r="Q177" s="83">
        <f t="shared" ref="Q177" si="717">J177+J178</f>
        <v>0</v>
      </c>
      <c r="R177" s="81">
        <f t="shared" ref="R177" si="718">P177-Q177</f>
        <v>-2.8572000001503284E-5</v>
      </c>
      <c r="S177" s="757">
        <f t="shared" ref="S177" si="719">Q177/P177</f>
        <v>0</v>
      </c>
      <c r="T177" s="1136">
        <f t="shared" si="465"/>
        <v>1.0000020967241439</v>
      </c>
    </row>
    <row r="178" spans="1:20" ht="15" customHeight="1" thickBot="1">
      <c r="A178" s="57">
        <v>160</v>
      </c>
      <c r="B178" s="169">
        <f t="shared" ref="B178" si="720">+B176+$B$20</f>
        <v>80</v>
      </c>
      <c r="C178" s="199" t="s">
        <v>108</v>
      </c>
      <c r="D178" s="200" t="s">
        <v>102</v>
      </c>
      <c r="E178" s="201" t="s">
        <v>194</v>
      </c>
      <c r="F178" s="201">
        <v>16158</v>
      </c>
      <c r="G178" s="202">
        <v>4.9761857139999996</v>
      </c>
      <c r="H178" s="203"/>
      <c r="I178" s="204">
        <f t="shared" ref="I178" si="721">G178+H178+K177</f>
        <v>-2.8572000001503284E-5</v>
      </c>
      <c r="J178" s="205"/>
      <c r="K178" s="215">
        <f t="shared" si="594"/>
        <v>-2.8572000001503284E-5</v>
      </c>
      <c r="L178" s="217">
        <f t="shared" si="597"/>
        <v>0</v>
      </c>
      <c r="M178" s="219" t="s">
        <v>32</v>
      </c>
      <c r="N178" s="84"/>
      <c r="O178" s="84"/>
      <c r="P178" s="84"/>
      <c r="Q178" s="84"/>
      <c r="R178" s="84"/>
      <c r="S178" s="758"/>
      <c r="T178" s="1137"/>
    </row>
    <row r="179" spans="1:20" ht="15" customHeight="1">
      <c r="A179" s="57">
        <v>161</v>
      </c>
      <c r="B179" s="169">
        <f t="shared" ref="B179" si="722">+B177+$B$19</f>
        <v>81</v>
      </c>
      <c r="C179" s="176" t="s">
        <v>108</v>
      </c>
      <c r="D179" s="177" t="s">
        <v>38</v>
      </c>
      <c r="E179" s="178" t="s">
        <v>195</v>
      </c>
      <c r="F179" s="178">
        <v>964675</v>
      </c>
      <c r="G179" s="183">
        <v>8.6507857139999995</v>
      </c>
      <c r="H179" s="1123">
        <v>-13.627000000000001</v>
      </c>
      <c r="I179" s="79">
        <f t="shared" ref="I179" si="723">G179+H179</f>
        <v>-4.9762142860000012</v>
      </c>
      <c r="J179" s="80"/>
      <c r="K179" s="214">
        <f t="shared" si="594"/>
        <v>-4.9762142860000012</v>
      </c>
      <c r="L179" s="216">
        <f t="shared" si="597"/>
        <v>0</v>
      </c>
      <c r="M179" s="218" t="s">
        <v>32</v>
      </c>
      <c r="N179" s="81">
        <f t="shared" ref="N179:O179" si="724">G179+G180</f>
        <v>13.626971427999999</v>
      </c>
      <c r="O179" s="82">
        <f t="shared" si="724"/>
        <v>-13.627000000000001</v>
      </c>
      <c r="P179" s="81">
        <f t="shared" ref="P179" si="725">N179+O179</f>
        <v>-2.8572000001503284E-5</v>
      </c>
      <c r="Q179" s="83">
        <f t="shared" ref="Q179" si="726">J179+J180</f>
        <v>0</v>
      </c>
      <c r="R179" s="81">
        <f t="shared" ref="R179" si="727">P179-Q179</f>
        <v>-2.8572000001503284E-5</v>
      </c>
      <c r="S179" s="757">
        <f t="shared" ref="S179" si="728">Q179/P179</f>
        <v>0</v>
      </c>
      <c r="T179" s="1136">
        <f t="shared" si="465"/>
        <v>1.0000020967241439</v>
      </c>
    </row>
    <row r="180" spans="1:20" ht="15" customHeight="1" thickBot="1">
      <c r="A180" s="57">
        <v>162</v>
      </c>
      <c r="B180" s="169">
        <f t="shared" ref="B180" si="729">+B178+$B$20</f>
        <v>81</v>
      </c>
      <c r="C180" s="199" t="s">
        <v>108</v>
      </c>
      <c r="D180" s="200" t="s">
        <v>102</v>
      </c>
      <c r="E180" s="201" t="s">
        <v>195</v>
      </c>
      <c r="F180" s="201">
        <v>964675</v>
      </c>
      <c r="G180" s="202">
        <v>4.9761857139999996</v>
      </c>
      <c r="H180" s="203"/>
      <c r="I180" s="204">
        <f t="shared" ref="I180" si="730">G180+H180+K179</f>
        <v>-2.8572000001503284E-5</v>
      </c>
      <c r="J180" s="205"/>
      <c r="K180" s="215">
        <f t="shared" si="594"/>
        <v>-2.8572000001503284E-5</v>
      </c>
      <c r="L180" s="217">
        <f t="shared" si="597"/>
        <v>0</v>
      </c>
      <c r="M180" s="219" t="s">
        <v>32</v>
      </c>
      <c r="N180" s="84"/>
      <c r="O180" s="84"/>
      <c r="P180" s="84"/>
      <c r="Q180" s="84"/>
      <c r="R180" s="84"/>
      <c r="S180" s="758"/>
      <c r="T180" s="1137"/>
    </row>
    <row r="181" spans="1:20" ht="15" customHeight="1">
      <c r="A181" s="57">
        <v>163</v>
      </c>
      <c r="B181" s="169">
        <f t="shared" ref="B181" si="731">+B179+$B$19</f>
        <v>82</v>
      </c>
      <c r="C181" s="176" t="s">
        <v>108</v>
      </c>
      <c r="D181" s="177" t="s">
        <v>38</v>
      </c>
      <c r="E181" s="178" t="s">
        <v>196</v>
      </c>
      <c r="F181" s="178">
        <v>967048</v>
      </c>
      <c r="G181" s="183">
        <v>8.6507857139999995</v>
      </c>
      <c r="H181" s="1123">
        <v>-13.627000000000001</v>
      </c>
      <c r="I181" s="79">
        <f t="shared" ref="I181" si="732">G181+H181</f>
        <v>-4.9762142860000012</v>
      </c>
      <c r="J181" s="80"/>
      <c r="K181" s="214">
        <f t="shared" si="594"/>
        <v>-4.9762142860000012</v>
      </c>
      <c r="L181" s="216">
        <f t="shared" si="597"/>
        <v>0</v>
      </c>
      <c r="M181" s="218" t="s">
        <v>32</v>
      </c>
      <c r="N181" s="81">
        <f t="shared" ref="N181:O181" si="733">G181+G182</f>
        <v>13.626971427999999</v>
      </c>
      <c r="O181" s="82">
        <f t="shared" si="733"/>
        <v>-13.627000000000001</v>
      </c>
      <c r="P181" s="81">
        <f t="shared" ref="P181" si="734">N181+O181</f>
        <v>-2.8572000001503284E-5</v>
      </c>
      <c r="Q181" s="83">
        <f t="shared" ref="Q181" si="735">J181+J182</f>
        <v>0</v>
      </c>
      <c r="R181" s="81">
        <f t="shared" ref="R181" si="736">P181-Q181</f>
        <v>-2.8572000001503284E-5</v>
      </c>
      <c r="S181" s="757">
        <f t="shared" ref="S181" si="737">Q181/P181</f>
        <v>0</v>
      </c>
      <c r="T181" s="1136">
        <f t="shared" si="465"/>
        <v>1.0000020967241439</v>
      </c>
    </row>
    <row r="182" spans="1:20" ht="15" customHeight="1" thickBot="1">
      <c r="A182" s="57">
        <v>164</v>
      </c>
      <c r="B182" s="169">
        <f t="shared" ref="B182" si="738">+B180+$B$20</f>
        <v>82</v>
      </c>
      <c r="C182" s="199" t="s">
        <v>108</v>
      </c>
      <c r="D182" s="200" t="s">
        <v>102</v>
      </c>
      <c r="E182" s="201" t="s">
        <v>196</v>
      </c>
      <c r="F182" s="201">
        <v>967048</v>
      </c>
      <c r="G182" s="202">
        <v>4.9761857139999996</v>
      </c>
      <c r="H182" s="203"/>
      <c r="I182" s="204">
        <f t="shared" ref="I182" si="739">G182+H182+K181</f>
        <v>-2.8572000001503284E-5</v>
      </c>
      <c r="J182" s="205"/>
      <c r="K182" s="215">
        <f t="shared" si="594"/>
        <v>-2.8572000001503284E-5</v>
      </c>
      <c r="L182" s="217">
        <f t="shared" si="597"/>
        <v>0</v>
      </c>
      <c r="M182" s="219" t="s">
        <v>32</v>
      </c>
      <c r="N182" s="84"/>
      <c r="O182" s="84"/>
      <c r="P182" s="84"/>
      <c r="Q182" s="84"/>
      <c r="R182" s="84"/>
      <c r="S182" s="758"/>
      <c r="T182" s="1137"/>
    </row>
    <row r="183" spans="1:20" ht="15" customHeight="1">
      <c r="A183" s="57">
        <v>165</v>
      </c>
      <c r="B183" s="169">
        <f t="shared" ref="B183" si="740">+B181+$B$19</f>
        <v>83</v>
      </c>
      <c r="C183" s="176" t="s">
        <v>108</v>
      </c>
      <c r="D183" s="177" t="s">
        <v>38</v>
      </c>
      <c r="E183" s="178" t="s">
        <v>197</v>
      </c>
      <c r="F183" s="178">
        <v>963693</v>
      </c>
      <c r="G183" s="183">
        <v>8.6507857139999995</v>
      </c>
      <c r="H183" s="1123">
        <v>-13.627000000000001</v>
      </c>
      <c r="I183" s="79">
        <f t="shared" ref="I183" si="741">G183+H183</f>
        <v>-4.9762142860000012</v>
      </c>
      <c r="J183" s="80"/>
      <c r="K183" s="214">
        <f t="shared" si="594"/>
        <v>-4.9762142860000012</v>
      </c>
      <c r="L183" s="216">
        <f t="shared" si="597"/>
        <v>0</v>
      </c>
      <c r="M183" s="218" t="s">
        <v>32</v>
      </c>
      <c r="N183" s="81">
        <f t="shared" ref="N183:O183" si="742">G183+G184</f>
        <v>13.626971427999999</v>
      </c>
      <c r="O183" s="82">
        <f t="shared" si="742"/>
        <v>-13.627000000000001</v>
      </c>
      <c r="P183" s="81">
        <f t="shared" ref="P183" si="743">N183+O183</f>
        <v>-2.8572000001503284E-5</v>
      </c>
      <c r="Q183" s="83">
        <f t="shared" ref="Q183" si="744">J183+J184</f>
        <v>0</v>
      </c>
      <c r="R183" s="81">
        <f t="shared" ref="R183" si="745">P183-Q183</f>
        <v>-2.8572000001503284E-5</v>
      </c>
      <c r="S183" s="757">
        <f t="shared" ref="S183" si="746">Q183/P183</f>
        <v>0</v>
      </c>
      <c r="T183" s="1136">
        <f t="shared" si="465"/>
        <v>1.0000020967241439</v>
      </c>
    </row>
    <row r="184" spans="1:20" ht="15" customHeight="1" thickBot="1">
      <c r="A184" s="57">
        <v>166</v>
      </c>
      <c r="B184" s="169">
        <f t="shared" ref="B184" si="747">+B182+$B$20</f>
        <v>83</v>
      </c>
      <c r="C184" s="199" t="s">
        <v>108</v>
      </c>
      <c r="D184" s="200" t="s">
        <v>102</v>
      </c>
      <c r="E184" s="201" t="s">
        <v>197</v>
      </c>
      <c r="F184" s="201">
        <v>963693</v>
      </c>
      <c r="G184" s="202">
        <v>4.9761857139999996</v>
      </c>
      <c r="H184" s="203"/>
      <c r="I184" s="204">
        <f t="shared" ref="I184" si="748">G184+H184+K183</f>
        <v>-2.8572000001503284E-5</v>
      </c>
      <c r="J184" s="205"/>
      <c r="K184" s="215">
        <f t="shared" si="594"/>
        <v>-2.8572000001503284E-5</v>
      </c>
      <c r="L184" s="217">
        <f t="shared" si="597"/>
        <v>0</v>
      </c>
      <c r="M184" s="219" t="s">
        <v>32</v>
      </c>
      <c r="N184" s="84"/>
      <c r="O184" s="84"/>
      <c r="P184" s="84"/>
      <c r="Q184" s="84"/>
      <c r="R184" s="84"/>
      <c r="S184" s="758"/>
      <c r="T184" s="1137"/>
    </row>
    <row r="185" spans="1:20" ht="15" customHeight="1">
      <c r="A185" s="57">
        <v>167</v>
      </c>
      <c r="B185" s="169">
        <f t="shared" ref="B185" si="749">+B183+$B$19</f>
        <v>84</v>
      </c>
      <c r="C185" s="176" t="s">
        <v>108</v>
      </c>
      <c r="D185" s="177" t="s">
        <v>38</v>
      </c>
      <c r="E185" s="178" t="s">
        <v>198</v>
      </c>
      <c r="F185" s="178">
        <v>964163</v>
      </c>
      <c r="G185" s="183">
        <v>8.6507857139999995</v>
      </c>
      <c r="H185" s="1123">
        <v>-13.627000000000001</v>
      </c>
      <c r="I185" s="79">
        <f t="shared" ref="I185" si="750">G185+H185</f>
        <v>-4.9762142860000012</v>
      </c>
      <c r="J185" s="80"/>
      <c r="K185" s="214">
        <f t="shared" si="594"/>
        <v>-4.9762142860000012</v>
      </c>
      <c r="L185" s="216">
        <f t="shared" si="597"/>
        <v>0</v>
      </c>
      <c r="M185" s="218" t="s">
        <v>32</v>
      </c>
      <c r="N185" s="81">
        <f t="shared" ref="N185:O185" si="751">G185+G186</f>
        <v>13.626971427999999</v>
      </c>
      <c r="O185" s="82">
        <f t="shared" si="751"/>
        <v>-13.627000000000001</v>
      </c>
      <c r="P185" s="81">
        <f t="shared" ref="P185" si="752">N185+O185</f>
        <v>-2.8572000001503284E-5</v>
      </c>
      <c r="Q185" s="83">
        <f t="shared" ref="Q185" si="753">J185+J186</f>
        <v>0</v>
      </c>
      <c r="R185" s="81">
        <f t="shared" ref="R185" si="754">P185-Q185</f>
        <v>-2.8572000001503284E-5</v>
      </c>
      <c r="S185" s="757">
        <f t="shared" ref="S185" si="755">Q185/P185</f>
        <v>0</v>
      </c>
      <c r="T185" s="1136">
        <f t="shared" ref="T185:T248" si="756">100%-(R185/N185)</f>
        <v>1.0000020967241439</v>
      </c>
    </row>
    <row r="186" spans="1:20" ht="15" customHeight="1" thickBot="1">
      <c r="A186" s="57">
        <v>168</v>
      </c>
      <c r="B186" s="169">
        <f t="shared" ref="B186" si="757">+B184+$B$20</f>
        <v>84</v>
      </c>
      <c r="C186" s="199" t="s">
        <v>108</v>
      </c>
      <c r="D186" s="200" t="s">
        <v>102</v>
      </c>
      <c r="E186" s="201" t="s">
        <v>198</v>
      </c>
      <c r="F186" s="201">
        <v>964163</v>
      </c>
      <c r="G186" s="202">
        <v>4.9761857139999996</v>
      </c>
      <c r="H186" s="203"/>
      <c r="I186" s="204">
        <f t="shared" ref="I186" si="758">G186+H186+K185</f>
        <v>-2.8572000001503284E-5</v>
      </c>
      <c r="J186" s="205"/>
      <c r="K186" s="215">
        <f t="shared" si="594"/>
        <v>-2.8572000001503284E-5</v>
      </c>
      <c r="L186" s="217">
        <f t="shared" si="597"/>
        <v>0</v>
      </c>
      <c r="M186" s="219" t="s">
        <v>32</v>
      </c>
      <c r="N186" s="84"/>
      <c r="O186" s="84"/>
      <c r="P186" s="84"/>
      <c r="Q186" s="84"/>
      <c r="R186" s="84"/>
      <c r="S186" s="758"/>
      <c r="T186" s="1137"/>
    </row>
    <row r="187" spans="1:20" ht="15" customHeight="1">
      <c r="A187" s="57">
        <v>169</v>
      </c>
      <c r="B187" s="169">
        <f t="shared" ref="B187" si="759">+B185+$B$19</f>
        <v>85</v>
      </c>
      <c r="C187" s="176" t="s">
        <v>108</v>
      </c>
      <c r="D187" s="177" t="s">
        <v>38</v>
      </c>
      <c r="E187" s="178" t="s">
        <v>199</v>
      </c>
      <c r="F187" s="178">
        <v>961057</v>
      </c>
      <c r="G187" s="183">
        <v>8.6507857139999995</v>
      </c>
      <c r="H187" s="1123">
        <v>-13.627000000000001</v>
      </c>
      <c r="I187" s="79">
        <f t="shared" ref="I187" si="760">G187+H187</f>
        <v>-4.9762142860000012</v>
      </c>
      <c r="J187" s="80"/>
      <c r="K187" s="214">
        <f t="shared" si="594"/>
        <v>-4.9762142860000012</v>
      </c>
      <c r="L187" s="216">
        <f t="shared" si="597"/>
        <v>0</v>
      </c>
      <c r="M187" s="218" t="s">
        <v>32</v>
      </c>
      <c r="N187" s="81">
        <f t="shared" ref="N187:O187" si="761">G187+G188</f>
        <v>13.626971427999999</v>
      </c>
      <c r="O187" s="82">
        <f t="shared" si="761"/>
        <v>-13.627000000000001</v>
      </c>
      <c r="P187" s="81">
        <f t="shared" ref="P187" si="762">N187+O187</f>
        <v>-2.8572000001503284E-5</v>
      </c>
      <c r="Q187" s="83">
        <f t="shared" ref="Q187" si="763">J187+J188</f>
        <v>0</v>
      </c>
      <c r="R187" s="81">
        <f t="shared" ref="R187" si="764">P187-Q187</f>
        <v>-2.8572000001503284E-5</v>
      </c>
      <c r="S187" s="757">
        <f t="shared" ref="S187" si="765">Q187/P187</f>
        <v>0</v>
      </c>
      <c r="T187" s="1136">
        <f t="shared" si="756"/>
        <v>1.0000020967241439</v>
      </c>
    </row>
    <row r="188" spans="1:20" ht="15" customHeight="1" thickBot="1">
      <c r="A188" s="57">
        <v>170</v>
      </c>
      <c r="B188" s="169">
        <f t="shared" ref="B188" si="766">+B186+$B$20</f>
        <v>85</v>
      </c>
      <c r="C188" s="199" t="s">
        <v>108</v>
      </c>
      <c r="D188" s="200" t="s">
        <v>102</v>
      </c>
      <c r="E188" s="201" t="s">
        <v>199</v>
      </c>
      <c r="F188" s="201">
        <v>961057</v>
      </c>
      <c r="G188" s="202">
        <v>4.9761857139999996</v>
      </c>
      <c r="H188" s="203"/>
      <c r="I188" s="204">
        <f t="shared" ref="I188" si="767">G188+H188+K187</f>
        <v>-2.8572000001503284E-5</v>
      </c>
      <c r="J188" s="205"/>
      <c r="K188" s="215">
        <f t="shared" si="594"/>
        <v>-2.8572000001503284E-5</v>
      </c>
      <c r="L188" s="217">
        <f t="shared" si="597"/>
        <v>0</v>
      </c>
      <c r="M188" s="219" t="s">
        <v>32</v>
      </c>
      <c r="N188" s="84"/>
      <c r="O188" s="84"/>
      <c r="P188" s="84"/>
      <c r="Q188" s="84"/>
      <c r="R188" s="84"/>
      <c r="S188" s="758"/>
      <c r="T188" s="1137"/>
    </row>
    <row r="189" spans="1:20" ht="15" customHeight="1">
      <c r="A189" s="57">
        <v>171</v>
      </c>
      <c r="B189" s="169">
        <f t="shared" ref="B189" si="768">+B187+$B$19</f>
        <v>86</v>
      </c>
      <c r="C189" s="176" t="s">
        <v>108</v>
      </c>
      <c r="D189" s="177" t="s">
        <v>38</v>
      </c>
      <c r="E189" s="178" t="s">
        <v>200</v>
      </c>
      <c r="F189" s="178">
        <v>963230</v>
      </c>
      <c r="G189" s="183">
        <v>8.6507857139999995</v>
      </c>
      <c r="H189" s="78"/>
      <c r="I189" s="79">
        <f t="shared" ref="I189" si="769">G189+H189</f>
        <v>8.6507857139999995</v>
      </c>
      <c r="J189" s="80"/>
      <c r="K189" s="214">
        <f t="shared" si="594"/>
        <v>8.6507857139999995</v>
      </c>
      <c r="L189" s="216">
        <f t="shared" si="597"/>
        <v>0</v>
      </c>
      <c r="M189" s="218" t="s">
        <v>32</v>
      </c>
      <c r="N189" s="81">
        <f t="shared" ref="N189:O189" si="770">G189+G190</f>
        <v>13.626971427999999</v>
      </c>
      <c r="O189" s="82">
        <f t="shared" si="770"/>
        <v>0</v>
      </c>
      <c r="P189" s="81">
        <f t="shared" ref="P189" si="771">N189+O189</f>
        <v>13.626971427999999</v>
      </c>
      <c r="Q189" s="83">
        <f t="shared" ref="Q189" si="772">J189+J190</f>
        <v>0</v>
      </c>
      <c r="R189" s="81">
        <f t="shared" ref="R189" si="773">P189-Q189</f>
        <v>13.626971427999999</v>
      </c>
      <c r="S189" s="757">
        <f t="shared" ref="S189" si="774">Q189/P189</f>
        <v>0</v>
      </c>
      <c r="T189" s="1136">
        <f t="shared" si="756"/>
        <v>0</v>
      </c>
    </row>
    <row r="190" spans="1:20" ht="15" customHeight="1" thickBot="1">
      <c r="A190" s="57">
        <v>172</v>
      </c>
      <c r="B190" s="169">
        <f t="shared" ref="B190" si="775">+B188+$B$20</f>
        <v>86</v>
      </c>
      <c r="C190" s="199" t="s">
        <v>108</v>
      </c>
      <c r="D190" s="200" t="s">
        <v>102</v>
      </c>
      <c r="E190" s="201" t="s">
        <v>200</v>
      </c>
      <c r="F190" s="201">
        <v>963230</v>
      </c>
      <c r="G190" s="202">
        <v>4.9761857139999996</v>
      </c>
      <c r="H190" s="203"/>
      <c r="I190" s="204">
        <f t="shared" ref="I190" si="776">G190+H190+K189</f>
        <v>13.626971427999999</v>
      </c>
      <c r="J190" s="205"/>
      <c r="K190" s="215">
        <f t="shared" si="594"/>
        <v>13.626971427999999</v>
      </c>
      <c r="L190" s="217">
        <f t="shared" si="597"/>
        <v>0</v>
      </c>
      <c r="M190" s="219" t="s">
        <v>32</v>
      </c>
      <c r="N190" s="84"/>
      <c r="O190" s="84"/>
      <c r="P190" s="84"/>
      <c r="Q190" s="84"/>
      <c r="R190" s="84"/>
      <c r="S190" s="758"/>
      <c r="T190" s="1137"/>
    </row>
    <row r="191" spans="1:20" ht="15" customHeight="1">
      <c r="A191" s="57">
        <v>173</v>
      </c>
      <c r="B191" s="169">
        <f t="shared" ref="B191" si="777">+B189+$B$19</f>
        <v>87</v>
      </c>
      <c r="C191" s="176" t="s">
        <v>108</v>
      </c>
      <c r="D191" s="177" t="s">
        <v>38</v>
      </c>
      <c r="E191" s="178" t="s">
        <v>201</v>
      </c>
      <c r="F191" s="178">
        <v>966891</v>
      </c>
      <c r="G191" s="183">
        <v>8.6507857139999995</v>
      </c>
      <c r="H191" s="1123">
        <v>-13.627000000000001</v>
      </c>
      <c r="I191" s="79">
        <f t="shared" ref="I191" si="778">G191+H191</f>
        <v>-4.9762142860000012</v>
      </c>
      <c r="J191" s="80"/>
      <c r="K191" s="214">
        <f t="shared" si="594"/>
        <v>-4.9762142860000012</v>
      </c>
      <c r="L191" s="216">
        <f t="shared" si="597"/>
        <v>0</v>
      </c>
      <c r="M191" s="218" t="s">
        <v>32</v>
      </c>
      <c r="N191" s="81">
        <f t="shared" ref="N191:O191" si="779">G191+G192</f>
        <v>13.626971427999999</v>
      </c>
      <c r="O191" s="82">
        <f t="shared" si="779"/>
        <v>-13.627000000000001</v>
      </c>
      <c r="P191" s="81">
        <f t="shared" ref="P191" si="780">N191+O191</f>
        <v>-2.8572000001503284E-5</v>
      </c>
      <c r="Q191" s="83">
        <f t="shared" ref="Q191" si="781">J191+J192</f>
        <v>0</v>
      </c>
      <c r="R191" s="81">
        <f t="shared" ref="R191" si="782">P191-Q191</f>
        <v>-2.8572000001503284E-5</v>
      </c>
      <c r="S191" s="757">
        <f t="shared" ref="S191" si="783">Q191/P191</f>
        <v>0</v>
      </c>
      <c r="T191" s="1136">
        <f t="shared" si="756"/>
        <v>1.0000020967241439</v>
      </c>
    </row>
    <row r="192" spans="1:20" ht="15" customHeight="1" thickBot="1">
      <c r="A192" s="57">
        <v>174</v>
      </c>
      <c r="B192" s="169">
        <f t="shared" ref="B192" si="784">+B190+$B$20</f>
        <v>87</v>
      </c>
      <c r="C192" s="199" t="s">
        <v>108</v>
      </c>
      <c r="D192" s="200" t="s">
        <v>102</v>
      </c>
      <c r="E192" s="201" t="s">
        <v>201</v>
      </c>
      <c r="F192" s="201">
        <v>966891</v>
      </c>
      <c r="G192" s="202">
        <v>4.9761857139999996</v>
      </c>
      <c r="H192" s="203"/>
      <c r="I192" s="204">
        <f t="shared" ref="I192" si="785">G192+H192+K191</f>
        <v>-2.8572000001503284E-5</v>
      </c>
      <c r="J192" s="205"/>
      <c r="K192" s="215">
        <f t="shared" si="594"/>
        <v>-2.8572000001503284E-5</v>
      </c>
      <c r="L192" s="217">
        <f t="shared" si="597"/>
        <v>0</v>
      </c>
      <c r="M192" s="219" t="s">
        <v>32</v>
      </c>
      <c r="N192" s="84"/>
      <c r="O192" s="84"/>
      <c r="P192" s="84"/>
      <c r="Q192" s="84"/>
      <c r="R192" s="84"/>
      <c r="S192" s="758"/>
      <c r="T192" s="1137"/>
    </row>
    <row r="193" spans="1:20" ht="15" customHeight="1">
      <c r="A193" s="57">
        <v>175</v>
      </c>
      <c r="B193" s="169">
        <f t="shared" ref="B193" si="786">+B191+$B$19</f>
        <v>88</v>
      </c>
      <c r="C193" s="176" t="s">
        <v>108</v>
      </c>
      <c r="D193" s="177" t="s">
        <v>38</v>
      </c>
      <c r="E193" s="178" t="s">
        <v>202</v>
      </c>
      <c r="F193" s="178">
        <v>903768</v>
      </c>
      <c r="G193" s="183">
        <v>8.6507857139999995</v>
      </c>
      <c r="H193" s="78"/>
      <c r="I193" s="79">
        <f t="shared" ref="I193" si="787">G193+H193</f>
        <v>8.6507857139999995</v>
      </c>
      <c r="J193" s="80"/>
      <c r="K193" s="214">
        <f t="shared" si="594"/>
        <v>8.6507857139999995</v>
      </c>
      <c r="L193" s="216">
        <f t="shared" si="597"/>
        <v>0</v>
      </c>
      <c r="M193" s="218" t="s">
        <v>32</v>
      </c>
      <c r="N193" s="81">
        <f t="shared" ref="N193:O193" si="788">G193+G194</f>
        <v>13.626971427999999</v>
      </c>
      <c r="O193" s="82">
        <f t="shared" si="788"/>
        <v>0</v>
      </c>
      <c r="P193" s="81">
        <f t="shared" ref="P193" si="789">N193+O193</f>
        <v>13.626971427999999</v>
      </c>
      <c r="Q193" s="83">
        <f t="shared" ref="Q193" si="790">J193+J194</f>
        <v>0</v>
      </c>
      <c r="R193" s="81">
        <f t="shared" ref="R193" si="791">P193-Q193</f>
        <v>13.626971427999999</v>
      </c>
      <c r="S193" s="757">
        <f t="shared" ref="S193" si="792">Q193/P193</f>
        <v>0</v>
      </c>
      <c r="T193" s="1136">
        <f t="shared" si="756"/>
        <v>0</v>
      </c>
    </row>
    <row r="194" spans="1:20" ht="15" customHeight="1" thickBot="1">
      <c r="A194" s="57">
        <v>176</v>
      </c>
      <c r="B194" s="169">
        <f t="shared" ref="B194" si="793">+B192+$B$20</f>
        <v>88</v>
      </c>
      <c r="C194" s="199" t="s">
        <v>108</v>
      </c>
      <c r="D194" s="200" t="s">
        <v>102</v>
      </c>
      <c r="E194" s="201" t="s">
        <v>202</v>
      </c>
      <c r="F194" s="201">
        <v>903768</v>
      </c>
      <c r="G194" s="202">
        <v>4.9761857139999996</v>
      </c>
      <c r="H194" s="203"/>
      <c r="I194" s="204">
        <f t="shared" ref="I194" si="794">G194+H194+K193</f>
        <v>13.626971427999999</v>
      </c>
      <c r="J194" s="205"/>
      <c r="K194" s="215">
        <f t="shared" si="594"/>
        <v>13.626971427999999</v>
      </c>
      <c r="L194" s="217">
        <f t="shared" si="597"/>
        <v>0</v>
      </c>
      <c r="M194" s="219" t="s">
        <v>32</v>
      </c>
      <c r="N194" s="84"/>
      <c r="O194" s="84"/>
      <c r="P194" s="84"/>
      <c r="Q194" s="84"/>
      <c r="R194" s="84"/>
      <c r="S194" s="758"/>
      <c r="T194" s="1137"/>
    </row>
    <row r="195" spans="1:20" ht="15" customHeight="1">
      <c r="A195" s="57">
        <v>177</v>
      </c>
      <c r="B195" s="169">
        <f t="shared" ref="B195" si="795">+B193+$B$19</f>
        <v>89</v>
      </c>
      <c r="C195" s="176" t="s">
        <v>108</v>
      </c>
      <c r="D195" s="177" t="s">
        <v>38</v>
      </c>
      <c r="E195" s="178" t="s">
        <v>203</v>
      </c>
      <c r="F195" s="178">
        <v>961370</v>
      </c>
      <c r="G195" s="183">
        <v>8.6507857139999995</v>
      </c>
      <c r="H195" s="78"/>
      <c r="I195" s="79">
        <f t="shared" ref="I195" si="796">G195+H195</f>
        <v>8.6507857139999995</v>
      </c>
      <c r="J195" s="80"/>
      <c r="K195" s="214">
        <f t="shared" si="594"/>
        <v>8.6507857139999995</v>
      </c>
      <c r="L195" s="216">
        <f t="shared" si="597"/>
        <v>0</v>
      </c>
      <c r="M195" s="218" t="s">
        <v>32</v>
      </c>
      <c r="N195" s="81">
        <f t="shared" ref="N195:O195" si="797">G195+G196</f>
        <v>13.626971427999999</v>
      </c>
      <c r="O195" s="82">
        <f t="shared" si="797"/>
        <v>0</v>
      </c>
      <c r="P195" s="81">
        <f t="shared" ref="P195" si="798">N195+O195</f>
        <v>13.626971427999999</v>
      </c>
      <c r="Q195" s="83">
        <f t="shared" ref="Q195" si="799">J195+J196</f>
        <v>0</v>
      </c>
      <c r="R195" s="81">
        <f t="shared" ref="R195" si="800">P195-Q195</f>
        <v>13.626971427999999</v>
      </c>
      <c r="S195" s="757">
        <f t="shared" ref="S195" si="801">Q195/P195</f>
        <v>0</v>
      </c>
      <c r="T195" s="1136">
        <f t="shared" si="756"/>
        <v>0</v>
      </c>
    </row>
    <row r="196" spans="1:20" ht="15" customHeight="1" thickBot="1">
      <c r="A196" s="57">
        <v>178</v>
      </c>
      <c r="B196" s="169">
        <f t="shared" ref="B196" si="802">+B194+$B$20</f>
        <v>89</v>
      </c>
      <c r="C196" s="199" t="s">
        <v>108</v>
      </c>
      <c r="D196" s="200" t="s">
        <v>102</v>
      </c>
      <c r="E196" s="201" t="s">
        <v>203</v>
      </c>
      <c r="F196" s="201">
        <v>961370</v>
      </c>
      <c r="G196" s="202">
        <v>4.9761857139999996</v>
      </c>
      <c r="H196" s="203"/>
      <c r="I196" s="204">
        <f t="shared" ref="I196" si="803">G196+H196+K195</f>
        <v>13.626971427999999</v>
      </c>
      <c r="J196" s="205"/>
      <c r="K196" s="215">
        <f t="shared" si="594"/>
        <v>13.626971427999999</v>
      </c>
      <c r="L196" s="217">
        <f t="shared" si="597"/>
        <v>0</v>
      </c>
      <c r="M196" s="219" t="s">
        <v>32</v>
      </c>
      <c r="N196" s="84"/>
      <c r="O196" s="84"/>
      <c r="P196" s="84"/>
      <c r="Q196" s="84"/>
      <c r="R196" s="84"/>
      <c r="S196" s="758"/>
      <c r="T196" s="1137"/>
    </row>
    <row r="197" spans="1:20" ht="15" customHeight="1">
      <c r="A197" s="57">
        <v>179</v>
      </c>
      <c r="B197" s="169">
        <f t="shared" ref="B197" si="804">+B195+$B$19</f>
        <v>90</v>
      </c>
      <c r="C197" s="176" t="s">
        <v>108</v>
      </c>
      <c r="D197" s="177" t="s">
        <v>38</v>
      </c>
      <c r="E197" s="178" t="s">
        <v>204</v>
      </c>
      <c r="F197" s="178">
        <v>960671</v>
      </c>
      <c r="G197" s="183">
        <v>8.6507857139999995</v>
      </c>
      <c r="H197" s="1123">
        <v>-13.627000000000001</v>
      </c>
      <c r="I197" s="79">
        <f t="shared" ref="I197" si="805">G197+H197</f>
        <v>-4.9762142860000012</v>
      </c>
      <c r="J197" s="80"/>
      <c r="K197" s="214">
        <f t="shared" si="594"/>
        <v>-4.9762142860000012</v>
      </c>
      <c r="L197" s="216">
        <f t="shared" si="597"/>
        <v>0</v>
      </c>
      <c r="M197" s="218" t="s">
        <v>32</v>
      </c>
      <c r="N197" s="81">
        <f t="shared" ref="N197:O197" si="806">G197+G198</f>
        <v>13.626971427999999</v>
      </c>
      <c r="O197" s="82">
        <f t="shared" si="806"/>
        <v>-13.627000000000001</v>
      </c>
      <c r="P197" s="81">
        <f t="shared" ref="P197" si="807">N197+O197</f>
        <v>-2.8572000001503284E-5</v>
      </c>
      <c r="Q197" s="83">
        <f t="shared" ref="Q197" si="808">J197+J198</f>
        <v>0</v>
      </c>
      <c r="R197" s="81">
        <f t="shared" ref="R197" si="809">P197-Q197</f>
        <v>-2.8572000001503284E-5</v>
      </c>
      <c r="S197" s="757">
        <f t="shared" ref="S197" si="810">Q197/P197</f>
        <v>0</v>
      </c>
      <c r="T197" s="1136">
        <f t="shared" si="756"/>
        <v>1.0000020967241439</v>
      </c>
    </row>
    <row r="198" spans="1:20" ht="15" customHeight="1" thickBot="1">
      <c r="A198" s="57">
        <v>180</v>
      </c>
      <c r="B198" s="169">
        <f t="shared" ref="B198" si="811">+B196+$B$20</f>
        <v>90</v>
      </c>
      <c r="C198" s="199" t="s">
        <v>108</v>
      </c>
      <c r="D198" s="200" t="s">
        <v>102</v>
      </c>
      <c r="E198" s="201" t="s">
        <v>204</v>
      </c>
      <c r="F198" s="201">
        <v>960671</v>
      </c>
      <c r="G198" s="202">
        <v>4.9761857139999996</v>
      </c>
      <c r="H198" s="203"/>
      <c r="I198" s="204">
        <f t="shared" ref="I198" si="812">G198+H198+K197</f>
        <v>-2.8572000001503284E-5</v>
      </c>
      <c r="J198" s="205"/>
      <c r="K198" s="215">
        <f t="shared" si="594"/>
        <v>-2.8572000001503284E-5</v>
      </c>
      <c r="L198" s="217">
        <f t="shared" si="597"/>
        <v>0</v>
      </c>
      <c r="M198" s="219" t="s">
        <v>32</v>
      </c>
      <c r="N198" s="84"/>
      <c r="O198" s="84"/>
      <c r="P198" s="84"/>
      <c r="Q198" s="84"/>
      <c r="R198" s="84"/>
      <c r="S198" s="758"/>
      <c r="T198" s="1137"/>
    </row>
    <row r="199" spans="1:20" ht="15" customHeight="1">
      <c r="A199" s="57">
        <v>181</v>
      </c>
      <c r="B199" s="169">
        <f t="shared" ref="B199" si="813">+B197+$B$19</f>
        <v>91</v>
      </c>
      <c r="C199" s="176" t="s">
        <v>108</v>
      </c>
      <c r="D199" s="177" t="s">
        <v>38</v>
      </c>
      <c r="E199" s="178" t="s">
        <v>205</v>
      </c>
      <c r="F199" s="178">
        <v>90876</v>
      </c>
      <c r="G199" s="183">
        <v>8.6507857139999995</v>
      </c>
      <c r="H199" s="1123">
        <v>-13.627000000000001</v>
      </c>
      <c r="I199" s="79">
        <f t="shared" ref="I199" si="814">G199+H199</f>
        <v>-4.9762142860000012</v>
      </c>
      <c r="J199" s="80"/>
      <c r="K199" s="214">
        <f t="shared" si="594"/>
        <v>-4.9762142860000012</v>
      </c>
      <c r="L199" s="216">
        <f t="shared" si="597"/>
        <v>0</v>
      </c>
      <c r="M199" s="218" t="s">
        <v>32</v>
      </c>
      <c r="N199" s="81">
        <f t="shared" ref="N199:O199" si="815">G199+G200</f>
        <v>13.626971427999999</v>
      </c>
      <c r="O199" s="82">
        <f t="shared" si="815"/>
        <v>-13.627000000000001</v>
      </c>
      <c r="P199" s="81">
        <f t="shared" ref="P199" si="816">N199+O199</f>
        <v>-2.8572000001503284E-5</v>
      </c>
      <c r="Q199" s="83">
        <f t="shared" ref="Q199" si="817">J199+J200</f>
        <v>0</v>
      </c>
      <c r="R199" s="81">
        <f t="shared" ref="R199" si="818">P199-Q199</f>
        <v>-2.8572000001503284E-5</v>
      </c>
      <c r="S199" s="757">
        <f t="shared" ref="S199" si="819">Q199/P199</f>
        <v>0</v>
      </c>
      <c r="T199" s="1136">
        <f t="shared" si="756"/>
        <v>1.0000020967241439</v>
      </c>
    </row>
    <row r="200" spans="1:20" ht="15" customHeight="1" thickBot="1">
      <c r="A200" s="57">
        <v>182</v>
      </c>
      <c r="B200" s="169">
        <f t="shared" ref="B200" si="820">+B198+$B$20</f>
        <v>91</v>
      </c>
      <c r="C200" s="199" t="s">
        <v>108</v>
      </c>
      <c r="D200" s="200" t="s">
        <v>102</v>
      </c>
      <c r="E200" s="201" t="s">
        <v>205</v>
      </c>
      <c r="F200" s="201">
        <v>90876</v>
      </c>
      <c r="G200" s="202">
        <v>4.9761857139999996</v>
      </c>
      <c r="H200" s="203"/>
      <c r="I200" s="204">
        <f t="shared" ref="I200" si="821">G200+H200+K199</f>
        <v>-2.8572000001503284E-5</v>
      </c>
      <c r="J200" s="205"/>
      <c r="K200" s="215">
        <f t="shared" si="594"/>
        <v>-2.8572000001503284E-5</v>
      </c>
      <c r="L200" s="217">
        <f t="shared" si="597"/>
        <v>0</v>
      </c>
      <c r="M200" s="219" t="s">
        <v>32</v>
      </c>
      <c r="N200" s="84"/>
      <c r="O200" s="84"/>
      <c r="P200" s="84"/>
      <c r="Q200" s="84"/>
      <c r="R200" s="84"/>
      <c r="S200" s="758"/>
      <c r="T200" s="1137"/>
    </row>
    <row r="201" spans="1:20" ht="15" customHeight="1">
      <c r="A201" s="57">
        <v>183</v>
      </c>
      <c r="B201" s="169">
        <f t="shared" ref="B201" si="822">+B199+$B$19</f>
        <v>92</v>
      </c>
      <c r="C201" s="176" t="s">
        <v>108</v>
      </c>
      <c r="D201" s="177" t="s">
        <v>38</v>
      </c>
      <c r="E201" s="178" t="s">
        <v>206</v>
      </c>
      <c r="F201" s="178">
        <v>926458</v>
      </c>
      <c r="G201" s="183">
        <v>8.6507857139999995</v>
      </c>
      <c r="H201" s="78"/>
      <c r="I201" s="79">
        <f t="shared" ref="I201" si="823">G201+H201</f>
        <v>8.6507857139999995</v>
      </c>
      <c r="J201" s="80"/>
      <c r="K201" s="214">
        <f t="shared" si="594"/>
        <v>8.6507857139999995</v>
      </c>
      <c r="L201" s="216">
        <f t="shared" si="597"/>
        <v>0</v>
      </c>
      <c r="M201" s="218" t="s">
        <v>32</v>
      </c>
      <c r="N201" s="81">
        <f t="shared" ref="N201:O201" si="824">G201+G202</f>
        <v>13.626971427999999</v>
      </c>
      <c r="O201" s="82">
        <f t="shared" si="824"/>
        <v>0</v>
      </c>
      <c r="P201" s="81">
        <f t="shared" ref="P201" si="825">N201+O201</f>
        <v>13.626971427999999</v>
      </c>
      <c r="Q201" s="83">
        <f t="shared" ref="Q201" si="826">J201+J202</f>
        <v>0</v>
      </c>
      <c r="R201" s="81">
        <f t="shared" ref="R201" si="827">P201-Q201</f>
        <v>13.626971427999999</v>
      </c>
      <c r="S201" s="757">
        <f t="shared" ref="S201" si="828">Q201/P201</f>
        <v>0</v>
      </c>
      <c r="T201" s="1136">
        <f t="shared" si="756"/>
        <v>0</v>
      </c>
    </row>
    <row r="202" spans="1:20" ht="15" customHeight="1" thickBot="1">
      <c r="A202" s="57">
        <v>184</v>
      </c>
      <c r="B202" s="169">
        <f t="shared" ref="B202" si="829">+B200+$B$20</f>
        <v>92</v>
      </c>
      <c r="C202" s="199" t="s">
        <v>108</v>
      </c>
      <c r="D202" s="200" t="s">
        <v>102</v>
      </c>
      <c r="E202" s="201" t="s">
        <v>206</v>
      </c>
      <c r="F202" s="201">
        <v>926458</v>
      </c>
      <c r="G202" s="202">
        <v>4.9761857139999996</v>
      </c>
      <c r="H202" s="203"/>
      <c r="I202" s="204">
        <f t="shared" ref="I202" si="830">G202+H202+K201</f>
        <v>13.626971427999999</v>
      </c>
      <c r="J202" s="205"/>
      <c r="K202" s="215">
        <f t="shared" si="594"/>
        <v>13.626971427999999</v>
      </c>
      <c r="L202" s="217">
        <f t="shared" si="597"/>
        <v>0</v>
      </c>
      <c r="M202" s="219" t="s">
        <v>32</v>
      </c>
      <c r="N202" s="84"/>
      <c r="O202" s="84"/>
      <c r="P202" s="84"/>
      <c r="Q202" s="84"/>
      <c r="R202" s="84"/>
      <c r="S202" s="758"/>
      <c r="T202" s="1137"/>
    </row>
    <row r="203" spans="1:20" ht="15" customHeight="1">
      <c r="A203" s="57">
        <v>185</v>
      </c>
      <c r="B203" s="169">
        <f t="shared" ref="B203" si="831">+B201+$B$19</f>
        <v>93</v>
      </c>
      <c r="C203" s="176" t="s">
        <v>108</v>
      </c>
      <c r="D203" s="177" t="s">
        <v>38</v>
      </c>
      <c r="E203" s="178" t="s">
        <v>207</v>
      </c>
      <c r="F203" s="178">
        <v>950318</v>
      </c>
      <c r="G203" s="183">
        <v>8.6507857139999995</v>
      </c>
      <c r="H203" s="78"/>
      <c r="I203" s="79">
        <f t="shared" ref="I203" si="832">G203+H203</f>
        <v>8.6507857139999995</v>
      </c>
      <c r="J203" s="80"/>
      <c r="K203" s="214">
        <f t="shared" si="594"/>
        <v>8.6507857139999995</v>
      </c>
      <c r="L203" s="216">
        <f t="shared" si="597"/>
        <v>0</v>
      </c>
      <c r="M203" s="218" t="s">
        <v>32</v>
      </c>
      <c r="N203" s="81">
        <f t="shared" ref="N203:O203" si="833">G203+G204</f>
        <v>13.626971427999999</v>
      </c>
      <c r="O203" s="82">
        <f t="shared" si="833"/>
        <v>0</v>
      </c>
      <c r="P203" s="81">
        <f t="shared" ref="P203" si="834">N203+O203</f>
        <v>13.626971427999999</v>
      </c>
      <c r="Q203" s="83">
        <f t="shared" ref="Q203" si="835">J203+J204</f>
        <v>0</v>
      </c>
      <c r="R203" s="81">
        <f t="shared" ref="R203" si="836">P203-Q203</f>
        <v>13.626971427999999</v>
      </c>
      <c r="S203" s="757">
        <f t="shared" ref="S203" si="837">Q203/P203</f>
        <v>0</v>
      </c>
      <c r="T203" s="1136">
        <f t="shared" si="756"/>
        <v>0</v>
      </c>
    </row>
    <row r="204" spans="1:20" ht="15" customHeight="1" thickBot="1">
      <c r="A204" s="57">
        <v>186</v>
      </c>
      <c r="B204" s="169">
        <f t="shared" ref="B204" si="838">+B202+$B$20</f>
        <v>93</v>
      </c>
      <c r="C204" s="199" t="s">
        <v>108</v>
      </c>
      <c r="D204" s="200" t="s">
        <v>102</v>
      </c>
      <c r="E204" s="201" t="s">
        <v>207</v>
      </c>
      <c r="F204" s="201">
        <v>950318</v>
      </c>
      <c r="G204" s="202">
        <v>4.9761857139999996</v>
      </c>
      <c r="H204" s="203"/>
      <c r="I204" s="204">
        <f t="shared" ref="I204" si="839">G204+H204+K203</f>
        <v>13.626971427999999</v>
      </c>
      <c r="J204" s="205"/>
      <c r="K204" s="215">
        <f t="shared" si="594"/>
        <v>13.626971427999999</v>
      </c>
      <c r="L204" s="217">
        <f t="shared" si="597"/>
        <v>0</v>
      </c>
      <c r="M204" s="219" t="s">
        <v>32</v>
      </c>
      <c r="N204" s="84"/>
      <c r="O204" s="84"/>
      <c r="P204" s="84"/>
      <c r="Q204" s="84"/>
      <c r="R204" s="84"/>
      <c r="S204" s="758"/>
      <c r="T204" s="1137"/>
    </row>
    <row r="205" spans="1:20" ht="15" customHeight="1">
      <c r="A205" s="57">
        <v>187</v>
      </c>
      <c r="B205" s="169">
        <f t="shared" ref="B205" si="840">+B203+$B$19</f>
        <v>94</v>
      </c>
      <c r="C205" s="176" t="s">
        <v>108</v>
      </c>
      <c r="D205" s="177" t="s">
        <v>38</v>
      </c>
      <c r="E205" s="178" t="s">
        <v>158</v>
      </c>
      <c r="F205" s="178">
        <v>918732</v>
      </c>
      <c r="G205" s="183">
        <v>8.6507857139999995</v>
      </c>
      <c r="H205" s="1123">
        <v>-13.627000000000001</v>
      </c>
      <c r="I205" s="79">
        <f t="shared" ref="I205" si="841">G205+H205</f>
        <v>-4.9762142860000012</v>
      </c>
      <c r="J205" s="80"/>
      <c r="K205" s="214">
        <f t="shared" si="594"/>
        <v>-4.9762142860000012</v>
      </c>
      <c r="L205" s="216">
        <f t="shared" si="597"/>
        <v>0</v>
      </c>
      <c r="M205" s="218" t="s">
        <v>32</v>
      </c>
      <c r="N205" s="81">
        <f t="shared" ref="N205:O205" si="842">G205+G206</f>
        <v>13.626971427999999</v>
      </c>
      <c r="O205" s="82">
        <f t="shared" si="842"/>
        <v>-13.627000000000001</v>
      </c>
      <c r="P205" s="81">
        <f t="shared" ref="P205" si="843">N205+O205</f>
        <v>-2.8572000001503284E-5</v>
      </c>
      <c r="Q205" s="83">
        <f t="shared" ref="Q205" si="844">J205+J206</f>
        <v>0</v>
      </c>
      <c r="R205" s="81">
        <f t="shared" ref="R205" si="845">P205-Q205</f>
        <v>-2.8572000001503284E-5</v>
      </c>
      <c r="S205" s="757">
        <f t="shared" ref="S205" si="846">Q205/P205</f>
        <v>0</v>
      </c>
      <c r="T205" s="1136">
        <f t="shared" si="756"/>
        <v>1.0000020967241439</v>
      </c>
    </row>
    <row r="206" spans="1:20" ht="15" customHeight="1" thickBot="1">
      <c r="A206" s="57">
        <v>188</v>
      </c>
      <c r="B206" s="169">
        <f t="shared" ref="B206" si="847">+B204+$B$20</f>
        <v>94</v>
      </c>
      <c r="C206" s="199" t="s">
        <v>108</v>
      </c>
      <c r="D206" s="200" t="s">
        <v>102</v>
      </c>
      <c r="E206" s="201" t="s">
        <v>158</v>
      </c>
      <c r="F206" s="201">
        <v>918732</v>
      </c>
      <c r="G206" s="202">
        <v>4.9761857139999996</v>
      </c>
      <c r="H206" s="203"/>
      <c r="I206" s="204">
        <f t="shared" ref="I206" si="848">G206+H206+K205</f>
        <v>-2.8572000001503284E-5</v>
      </c>
      <c r="J206" s="205"/>
      <c r="K206" s="215">
        <f t="shared" si="594"/>
        <v>-2.8572000001503284E-5</v>
      </c>
      <c r="L206" s="217">
        <f t="shared" si="597"/>
        <v>0</v>
      </c>
      <c r="M206" s="219" t="s">
        <v>32</v>
      </c>
      <c r="N206" s="84"/>
      <c r="O206" s="84"/>
      <c r="P206" s="84"/>
      <c r="Q206" s="84"/>
      <c r="R206" s="84"/>
      <c r="S206" s="758"/>
      <c r="T206" s="1137"/>
    </row>
    <row r="207" spans="1:20" ht="15" customHeight="1">
      <c r="A207" s="57">
        <v>189</v>
      </c>
      <c r="B207" s="169">
        <f t="shared" ref="B207" si="849">+B205+$B$19</f>
        <v>95</v>
      </c>
      <c r="C207" s="176" t="s">
        <v>108</v>
      </c>
      <c r="D207" s="177" t="s">
        <v>38</v>
      </c>
      <c r="E207" s="178" t="s">
        <v>208</v>
      </c>
      <c r="F207" s="178">
        <v>954192</v>
      </c>
      <c r="G207" s="183">
        <v>8.6507857139999995</v>
      </c>
      <c r="H207" s="1123">
        <v>-13.627000000000001</v>
      </c>
      <c r="I207" s="79">
        <f t="shared" ref="I207" si="850">G207+H207</f>
        <v>-4.9762142860000012</v>
      </c>
      <c r="J207" s="80"/>
      <c r="K207" s="214">
        <f t="shared" si="594"/>
        <v>-4.9762142860000012</v>
      </c>
      <c r="L207" s="216">
        <f t="shared" si="597"/>
        <v>0</v>
      </c>
      <c r="M207" s="218" t="s">
        <v>32</v>
      </c>
      <c r="N207" s="81">
        <f t="shared" ref="N207:O207" si="851">G207+G208</f>
        <v>13.626971427999999</v>
      </c>
      <c r="O207" s="82">
        <f t="shared" si="851"/>
        <v>-13.627000000000001</v>
      </c>
      <c r="P207" s="81">
        <f t="shared" ref="P207" si="852">N207+O207</f>
        <v>-2.8572000001503284E-5</v>
      </c>
      <c r="Q207" s="83">
        <f t="shared" ref="Q207" si="853">J207+J208</f>
        <v>0</v>
      </c>
      <c r="R207" s="81">
        <f t="shared" ref="R207" si="854">P207-Q207</f>
        <v>-2.8572000001503284E-5</v>
      </c>
      <c r="S207" s="757">
        <f t="shared" ref="S207" si="855">Q207/P207</f>
        <v>0</v>
      </c>
      <c r="T207" s="1136">
        <f t="shared" si="756"/>
        <v>1.0000020967241439</v>
      </c>
    </row>
    <row r="208" spans="1:20" ht="15" customHeight="1" thickBot="1">
      <c r="A208" s="57">
        <v>190</v>
      </c>
      <c r="B208" s="169">
        <f t="shared" ref="B208" si="856">+B206+$B$20</f>
        <v>95</v>
      </c>
      <c r="C208" s="199" t="s">
        <v>108</v>
      </c>
      <c r="D208" s="200" t="s">
        <v>102</v>
      </c>
      <c r="E208" s="201" t="s">
        <v>208</v>
      </c>
      <c r="F208" s="201">
        <v>954192</v>
      </c>
      <c r="G208" s="202">
        <v>4.9761857139999996</v>
      </c>
      <c r="H208" s="203"/>
      <c r="I208" s="204">
        <f t="shared" ref="I208" si="857">G208+H208+K207</f>
        <v>-2.8572000001503284E-5</v>
      </c>
      <c r="J208" s="205"/>
      <c r="K208" s="215">
        <f t="shared" si="594"/>
        <v>-2.8572000001503284E-5</v>
      </c>
      <c r="L208" s="217">
        <f t="shared" si="597"/>
        <v>0</v>
      </c>
      <c r="M208" s="219" t="s">
        <v>32</v>
      </c>
      <c r="N208" s="84"/>
      <c r="O208" s="84"/>
      <c r="P208" s="84"/>
      <c r="Q208" s="84"/>
      <c r="R208" s="84"/>
      <c r="S208" s="758"/>
      <c r="T208" s="1137"/>
    </row>
    <row r="209" spans="1:20" ht="15" customHeight="1">
      <c r="A209" s="57">
        <v>191</v>
      </c>
      <c r="B209" s="169">
        <f t="shared" ref="B209" si="858">+B207+$B$19</f>
        <v>96</v>
      </c>
      <c r="C209" s="176" t="s">
        <v>108</v>
      </c>
      <c r="D209" s="177" t="s">
        <v>38</v>
      </c>
      <c r="E209" s="178" t="s">
        <v>209</v>
      </c>
      <c r="F209" s="178">
        <v>903901</v>
      </c>
      <c r="G209" s="183">
        <v>8.6507857139999995</v>
      </c>
      <c r="H209" s="1123">
        <v>-13.627000000000001</v>
      </c>
      <c r="I209" s="79">
        <f t="shared" ref="I209" si="859">G209+H209</f>
        <v>-4.9762142860000012</v>
      </c>
      <c r="J209" s="80"/>
      <c r="K209" s="214">
        <f t="shared" si="594"/>
        <v>-4.9762142860000012</v>
      </c>
      <c r="L209" s="216">
        <f t="shared" si="597"/>
        <v>0</v>
      </c>
      <c r="M209" s="218" t="s">
        <v>32</v>
      </c>
      <c r="N209" s="81">
        <f t="shared" ref="N209:O209" si="860">G209+G210</f>
        <v>13.626971427999999</v>
      </c>
      <c r="O209" s="82">
        <f t="shared" si="860"/>
        <v>-13.627000000000001</v>
      </c>
      <c r="P209" s="81">
        <f t="shared" ref="P209" si="861">N209+O209</f>
        <v>-2.8572000001503284E-5</v>
      </c>
      <c r="Q209" s="83">
        <f t="shared" ref="Q209" si="862">J209+J210</f>
        <v>0</v>
      </c>
      <c r="R209" s="81">
        <f t="shared" ref="R209" si="863">P209-Q209</f>
        <v>-2.8572000001503284E-5</v>
      </c>
      <c r="S209" s="757">
        <f t="shared" ref="S209" si="864">Q209/P209</f>
        <v>0</v>
      </c>
      <c r="T209" s="1136">
        <f t="shared" si="756"/>
        <v>1.0000020967241439</v>
      </c>
    </row>
    <row r="210" spans="1:20" ht="15" customHeight="1" thickBot="1">
      <c r="A210" s="57">
        <v>192</v>
      </c>
      <c r="B210" s="169">
        <f t="shared" ref="B210" si="865">+B208+$B$20</f>
        <v>96</v>
      </c>
      <c r="C210" s="199" t="s">
        <v>108</v>
      </c>
      <c r="D210" s="200" t="s">
        <v>102</v>
      </c>
      <c r="E210" s="201" t="s">
        <v>209</v>
      </c>
      <c r="F210" s="201">
        <v>903901</v>
      </c>
      <c r="G210" s="202">
        <v>4.9761857139999996</v>
      </c>
      <c r="H210" s="203"/>
      <c r="I210" s="204">
        <f t="shared" ref="I210" si="866">G210+H210+K209</f>
        <v>-2.8572000001503284E-5</v>
      </c>
      <c r="J210" s="205"/>
      <c r="K210" s="215">
        <f t="shared" si="594"/>
        <v>-2.8572000001503284E-5</v>
      </c>
      <c r="L210" s="217">
        <f t="shared" si="597"/>
        <v>0</v>
      </c>
      <c r="M210" s="219" t="s">
        <v>32</v>
      </c>
      <c r="N210" s="84"/>
      <c r="O210" s="84"/>
      <c r="P210" s="84"/>
      <c r="Q210" s="84"/>
      <c r="R210" s="84"/>
      <c r="S210" s="758"/>
      <c r="T210" s="1137"/>
    </row>
    <row r="211" spans="1:20" ht="15" customHeight="1">
      <c r="A211" s="57">
        <v>193</v>
      </c>
      <c r="B211" s="169">
        <f t="shared" ref="B211" si="867">+B209+$B$19</f>
        <v>97</v>
      </c>
      <c r="C211" s="176" t="s">
        <v>108</v>
      </c>
      <c r="D211" s="177" t="s">
        <v>38</v>
      </c>
      <c r="E211" s="178" t="s">
        <v>210</v>
      </c>
      <c r="F211" s="178">
        <v>961535</v>
      </c>
      <c r="G211" s="183">
        <v>8.6507857139999995</v>
      </c>
      <c r="H211" s="1123">
        <v>-13.627000000000001</v>
      </c>
      <c r="I211" s="79">
        <f t="shared" ref="I211" si="868">G211+H211</f>
        <v>-4.9762142860000012</v>
      </c>
      <c r="J211" s="80"/>
      <c r="K211" s="214">
        <f t="shared" si="594"/>
        <v>-4.9762142860000012</v>
      </c>
      <c r="L211" s="216">
        <f t="shared" si="597"/>
        <v>0</v>
      </c>
      <c r="M211" s="218" t="s">
        <v>32</v>
      </c>
      <c r="N211" s="81">
        <f t="shared" ref="N211:O211" si="869">G211+G212</f>
        <v>13.626971427999999</v>
      </c>
      <c r="O211" s="82">
        <f t="shared" si="869"/>
        <v>-13.627000000000001</v>
      </c>
      <c r="P211" s="81">
        <f t="shared" ref="P211" si="870">N211+O211</f>
        <v>-2.8572000001503284E-5</v>
      </c>
      <c r="Q211" s="83">
        <f t="shared" ref="Q211" si="871">J211+J212</f>
        <v>0</v>
      </c>
      <c r="R211" s="81">
        <f t="shared" ref="R211" si="872">P211-Q211</f>
        <v>-2.8572000001503284E-5</v>
      </c>
      <c r="S211" s="757">
        <f t="shared" ref="S211" si="873">Q211/P211</f>
        <v>0</v>
      </c>
      <c r="T211" s="1136">
        <f t="shared" si="756"/>
        <v>1.0000020967241439</v>
      </c>
    </row>
    <row r="212" spans="1:20" ht="15" customHeight="1" thickBot="1">
      <c r="A212" s="57">
        <v>194</v>
      </c>
      <c r="B212" s="169">
        <f t="shared" ref="B212" si="874">+B210+$B$20</f>
        <v>97</v>
      </c>
      <c r="C212" s="199" t="s">
        <v>108</v>
      </c>
      <c r="D212" s="200" t="s">
        <v>102</v>
      </c>
      <c r="E212" s="201" t="s">
        <v>210</v>
      </c>
      <c r="F212" s="201">
        <v>961535</v>
      </c>
      <c r="G212" s="202">
        <v>4.9761857139999996</v>
      </c>
      <c r="H212" s="203"/>
      <c r="I212" s="204">
        <f t="shared" ref="I212" si="875">G212+H212+K211</f>
        <v>-2.8572000001503284E-5</v>
      </c>
      <c r="J212" s="205"/>
      <c r="K212" s="215">
        <f t="shared" si="594"/>
        <v>-2.8572000001503284E-5</v>
      </c>
      <c r="L212" s="217">
        <f t="shared" si="597"/>
        <v>0</v>
      </c>
      <c r="M212" s="219" t="s">
        <v>32</v>
      </c>
      <c r="N212" s="84"/>
      <c r="O212" s="84"/>
      <c r="P212" s="84"/>
      <c r="Q212" s="84"/>
      <c r="R212" s="84"/>
      <c r="S212" s="758"/>
      <c r="T212" s="1137"/>
    </row>
    <row r="213" spans="1:20" ht="15" customHeight="1">
      <c r="A213" s="57">
        <v>195</v>
      </c>
      <c r="B213" s="169">
        <f t="shared" ref="B213" si="876">+B211+$B$19</f>
        <v>98</v>
      </c>
      <c r="C213" s="176" t="s">
        <v>108</v>
      </c>
      <c r="D213" s="177" t="s">
        <v>38</v>
      </c>
      <c r="E213" s="178" t="s">
        <v>211</v>
      </c>
      <c r="F213" s="178">
        <v>961104</v>
      </c>
      <c r="G213" s="183">
        <v>8.6507857139999995</v>
      </c>
      <c r="H213" s="78"/>
      <c r="I213" s="79">
        <f t="shared" ref="I213" si="877">G213+H213</f>
        <v>8.6507857139999995</v>
      </c>
      <c r="J213" s="80"/>
      <c r="K213" s="214">
        <f t="shared" si="594"/>
        <v>8.6507857139999995</v>
      </c>
      <c r="L213" s="216">
        <f t="shared" si="597"/>
        <v>0</v>
      </c>
      <c r="M213" s="218" t="s">
        <v>32</v>
      </c>
      <c r="N213" s="81">
        <f t="shared" ref="N213:O213" si="878">G213+G214</f>
        <v>13.626971427999999</v>
      </c>
      <c r="O213" s="82">
        <f t="shared" si="878"/>
        <v>0</v>
      </c>
      <c r="P213" s="81">
        <f t="shared" ref="P213" si="879">N213+O213</f>
        <v>13.626971427999999</v>
      </c>
      <c r="Q213" s="83">
        <f t="shared" ref="Q213" si="880">J213+J214</f>
        <v>0</v>
      </c>
      <c r="R213" s="81">
        <f t="shared" ref="R213" si="881">P213-Q213</f>
        <v>13.626971427999999</v>
      </c>
      <c r="S213" s="757">
        <f t="shared" ref="S213" si="882">Q213/P213</f>
        <v>0</v>
      </c>
      <c r="T213" s="1136">
        <f t="shared" si="756"/>
        <v>0</v>
      </c>
    </row>
    <row r="214" spans="1:20" ht="15" customHeight="1" thickBot="1">
      <c r="A214" s="57">
        <v>196</v>
      </c>
      <c r="B214" s="169">
        <f t="shared" ref="B214" si="883">+B212+$B$20</f>
        <v>98</v>
      </c>
      <c r="C214" s="199" t="s">
        <v>108</v>
      </c>
      <c r="D214" s="200" t="s">
        <v>102</v>
      </c>
      <c r="E214" s="201" t="s">
        <v>211</v>
      </c>
      <c r="F214" s="201">
        <v>961104</v>
      </c>
      <c r="G214" s="202">
        <v>4.9761857139999996</v>
      </c>
      <c r="H214" s="203"/>
      <c r="I214" s="204">
        <f t="shared" ref="I214" si="884">G214+H214+K213</f>
        <v>13.626971427999999</v>
      </c>
      <c r="J214" s="205"/>
      <c r="K214" s="215">
        <f t="shared" ref="K214:K272" si="885">I214-J214</f>
        <v>13.626971427999999</v>
      </c>
      <c r="L214" s="217">
        <f t="shared" si="597"/>
        <v>0</v>
      </c>
      <c r="M214" s="219" t="s">
        <v>32</v>
      </c>
      <c r="N214" s="84"/>
      <c r="O214" s="84"/>
      <c r="P214" s="84"/>
      <c r="Q214" s="84"/>
      <c r="R214" s="84"/>
      <c r="S214" s="758"/>
      <c r="T214" s="1137"/>
    </row>
    <row r="215" spans="1:20" ht="15" customHeight="1">
      <c r="A215" s="57">
        <v>197</v>
      </c>
      <c r="B215" s="169">
        <f t="shared" ref="B215" si="886">+B213+$B$19</f>
        <v>99</v>
      </c>
      <c r="C215" s="176" t="s">
        <v>108</v>
      </c>
      <c r="D215" s="177" t="s">
        <v>38</v>
      </c>
      <c r="E215" s="178" t="s">
        <v>212</v>
      </c>
      <c r="F215" s="178">
        <v>918660</v>
      </c>
      <c r="G215" s="183">
        <v>8.6507857139999995</v>
      </c>
      <c r="H215" s="1123">
        <v>-13.627000000000001</v>
      </c>
      <c r="I215" s="79">
        <f t="shared" ref="I215" si="887">G215+H215</f>
        <v>-4.9762142860000012</v>
      </c>
      <c r="J215" s="80"/>
      <c r="K215" s="214">
        <f t="shared" si="885"/>
        <v>-4.9762142860000012</v>
      </c>
      <c r="L215" s="216">
        <f t="shared" ref="L215:L272" si="888">J215/I215</f>
        <v>0</v>
      </c>
      <c r="M215" s="218" t="s">
        <v>32</v>
      </c>
      <c r="N215" s="81">
        <f t="shared" ref="N215:O215" si="889">G215+G216</f>
        <v>13.626971427999999</v>
      </c>
      <c r="O215" s="82">
        <f t="shared" si="889"/>
        <v>-13.627000000000001</v>
      </c>
      <c r="P215" s="81">
        <f t="shared" ref="P215" si="890">N215+O215</f>
        <v>-2.8572000001503284E-5</v>
      </c>
      <c r="Q215" s="83">
        <f t="shared" ref="Q215" si="891">J215+J216</f>
        <v>0</v>
      </c>
      <c r="R215" s="81">
        <f t="shared" ref="R215" si="892">P215-Q215</f>
        <v>-2.8572000001503284E-5</v>
      </c>
      <c r="S215" s="757">
        <f t="shared" ref="S215" si="893">Q215/P215</f>
        <v>0</v>
      </c>
      <c r="T215" s="1136">
        <f t="shared" si="756"/>
        <v>1.0000020967241439</v>
      </c>
    </row>
    <row r="216" spans="1:20" ht="15" customHeight="1" thickBot="1">
      <c r="A216" s="57">
        <v>198</v>
      </c>
      <c r="B216" s="169">
        <f t="shared" ref="B216" si="894">+B214+$B$20</f>
        <v>99</v>
      </c>
      <c r="C216" s="199" t="s">
        <v>108</v>
      </c>
      <c r="D216" s="200" t="s">
        <v>102</v>
      </c>
      <c r="E216" s="201" t="s">
        <v>212</v>
      </c>
      <c r="F216" s="201">
        <v>918660</v>
      </c>
      <c r="G216" s="202">
        <v>4.9761857139999996</v>
      </c>
      <c r="H216" s="203"/>
      <c r="I216" s="204">
        <f t="shared" ref="I216" si="895">G216+H216+K215</f>
        <v>-2.8572000001503284E-5</v>
      </c>
      <c r="J216" s="205"/>
      <c r="K216" s="215">
        <f t="shared" si="885"/>
        <v>-2.8572000001503284E-5</v>
      </c>
      <c r="L216" s="217">
        <f t="shared" si="888"/>
        <v>0</v>
      </c>
      <c r="M216" s="219" t="s">
        <v>32</v>
      </c>
      <c r="N216" s="84"/>
      <c r="O216" s="84"/>
      <c r="P216" s="84"/>
      <c r="Q216" s="84"/>
      <c r="R216" s="84"/>
      <c r="S216" s="758"/>
      <c r="T216" s="1137"/>
    </row>
    <row r="217" spans="1:20" ht="15" customHeight="1">
      <c r="A217" s="57">
        <v>199</v>
      </c>
      <c r="B217" s="169">
        <f t="shared" ref="B217" si="896">+B215+$B$19</f>
        <v>100</v>
      </c>
      <c r="C217" s="176" t="s">
        <v>108</v>
      </c>
      <c r="D217" s="177" t="s">
        <v>38</v>
      </c>
      <c r="E217" s="178" t="s">
        <v>213</v>
      </c>
      <c r="F217" s="178">
        <v>15714</v>
      </c>
      <c r="G217" s="183">
        <v>8.6507857139999995</v>
      </c>
      <c r="H217" s="78"/>
      <c r="I217" s="79">
        <f t="shared" ref="I217" si="897">G217+H217</f>
        <v>8.6507857139999995</v>
      </c>
      <c r="J217" s="80"/>
      <c r="K217" s="214">
        <f t="shared" si="885"/>
        <v>8.6507857139999995</v>
      </c>
      <c r="L217" s="216">
        <f t="shared" si="888"/>
        <v>0</v>
      </c>
      <c r="M217" s="218" t="s">
        <v>32</v>
      </c>
      <c r="N217" s="81">
        <f t="shared" ref="N217:O217" si="898">G217+G218</f>
        <v>13.626971427999999</v>
      </c>
      <c r="O217" s="82">
        <f t="shared" si="898"/>
        <v>0</v>
      </c>
      <c r="P217" s="81">
        <f t="shared" ref="P217" si="899">N217+O217</f>
        <v>13.626971427999999</v>
      </c>
      <c r="Q217" s="83">
        <f t="shared" ref="Q217" si="900">J217+J218</f>
        <v>0</v>
      </c>
      <c r="R217" s="81">
        <f t="shared" ref="R217" si="901">P217-Q217</f>
        <v>13.626971427999999</v>
      </c>
      <c r="S217" s="757">
        <f t="shared" ref="S217" si="902">Q217/P217</f>
        <v>0</v>
      </c>
      <c r="T217" s="1136">
        <f t="shared" si="756"/>
        <v>0</v>
      </c>
    </row>
    <row r="218" spans="1:20" ht="15" customHeight="1" thickBot="1">
      <c r="A218" s="57">
        <v>200</v>
      </c>
      <c r="B218" s="169">
        <f t="shared" ref="B218" si="903">+B216+$B$20</f>
        <v>100</v>
      </c>
      <c r="C218" s="199" t="s">
        <v>108</v>
      </c>
      <c r="D218" s="200" t="s">
        <v>102</v>
      </c>
      <c r="E218" s="201" t="s">
        <v>213</v>
      </c>
      <c r="F218" s="201">
        <v>15714</v>
      </c>
      <c r="G218" s="202">
        <v>4.9761857139999996</v>
      </c>
      <c r="H218" s="203"/>
      <c r="I218" s="204">
        <f t="shared" ref="I218" si="904">G218+H218+K217</f>
        <v>13.626971427999999</v>
      </c>
      <c r="J218" s="205"/>
      <c r="K218" s="215">
        <f t="shared" si="885"/>
        <v>13.626971427999999</v>
      </c>
      <c r="L218" s="217">
        <f t="shared" si="888"/>
        <v>0</v>
      </c>
      <c r="M218" s="219" t="s">
        <v>32</v>
      </c>
      <c r="N218" s="84"/>
      <c r="O218" s="84"/>
      <c r="P218" s="84"/>
      <c r="Q218" s="84"/>
      <c r="R218" s="84"/>
      <c r="S218" s="758"/>
      <c r="T218" s="1137"/>
    </row>
    <row r="219" spans="1:20" ht="15" customHeight="1">
      <c r="A219" s="57">
        <v>201</v>
      </c>
      <c r="B219" s="169">
        <f t="shared" ref="B219" si="905">+B217+$B$19</f>
        <v>101</v>
      </c>
      <c r="C219" s="176" t="s">
        <v>108</v>
      </c>
      <c r="D219" s="177" t="s">
        <v>38</v>
      </c>
      <c r="E219" s="178" t="s">
        <v>214</v>
      </c>
      <c r="F219" s="178">
        <v>963667</v>
      </c>
      <c r="G219" s="183">
        <v>8.6507857139999995</v>
      </c>
      <c r="H219" s="1123">
        <v>-13.627000000000001</v>
      </c>
      <c r="I219" s="79">
        <f t="shared" ref="I219" si="906">G219+H219</f>
        <v>-4.9762142860000012</v>
      </c>
      <c r="J219" s="80"/>
      <c r="K219" s="214">
        <f t="shared" si="885"/>
        <v>-4.9762142860000012</v>
      </c>
      <c r="L219" s="216">
        <f t="shared" si="888"/>
        <v>0</v>
      </c>
      <c r="M219" s="218" t="s">
        <v>32</v>
      </c>
      <c r="N219" s="81">
        <f t="shared" ref="N219:O219" si="907">G219+G220</f>
        <v>13.626971427999999</v>
      </c>
      <c r="O219" s="82">
        <f t="shared" si="907"/>
        <v>-13.627000000000001</v>
      </c>
      <c r="P219" s="81">
        <f t="shared" ref="P219" si="908">N219+O219</f>
        <v>-2.8572000001503284E-5</v>
      </c>
      <c r="Q219" s="83">
        <f t="shared" ref="Q219" si="909">J219+J220</f>
        <v>0</v>
      </c>
      <c r="R219" s="81">
        <f t="shared" ref="R219" si="910">P219-Q219</f>
        <v>-2.8572000001503284E-5</v>
      </c>
      <c r="S219" s="757">
        <f t="shared" ref="S219" si="911">Q219/P219</f>
        <v>0</v>
      </c>
      <c r="T219" s="1136">
        <f t="shared" si="756"/>
        <v>1.0000020967241439</v>
      </c>
    </row>
    <row r="220" spans="1:20" ht="15" customHeight="1" thickBot="1">
      <c r="A220" s="57">
        <v>202</v>
      </c>
      <c r="B220" s="169">
        <f t="shared" ref="B220" si="912">+B218+$B$20</f>
        <v>101</v>
      </c>
      <c r="C220" s="199" t="s">
        <v>108</v>
      </c>
      <c r="D220" s="200" t="s">
        <v>102</v>
      </c>
      <c r="E220" s="201" t="s">
        <v>214</v>
      </c>
      <c r="F220" s="201">
        <v>963667</v>
      </c>
      <c r="G220" s="202">
        <v>4.9761857139999996</v>
      </c>
      <c r="H220" s="203"/>
      <c r="I220" s="204">
        <f t="shared" ref="I220" si="913">G220+H220+K219</f>
        <v>-2.8572000001503284E-5</v>
      </c>
      <c r="J220" s="205"/>
      <c r="K220" s="215">
        <f t="shared" si="885"/>
        <v>-2.8572000001503284E-5</v>
      </c>
      <c r="L220" s="217">
        <f t="shared" si="888"/>
        <v>0</v>
      </c>
      <c r="M220" s="219" t="s">
        <v>32</v>
      </c>
      <c r="N220" s="84"/>
      <c r="O220" s="84"/>
      <c r="P220" s="84"/>
      <c r="Q220" s="84"/>
      <c r="R220" s="84"/>
      <c r="S220" s="758"/>
      <c r="T220" s="1137"/>
    </row>
    <row r="221" spans="1:20" ht="15" customHeight="1">
      <c r="A221" s="57">
        <v>203</v>
      </c>
      <c r="B221" s="169">
        <f t="shared" ref="B221" si="914">+B219+$B$19</f>
        <v>102</v>
      </c>
      <c r="C221" s="176" t="s">
        <v>108</v>
      </c>
      <c r="D221" s="177" t="s">
        <v>38</v>
      </c>
      <c r="E221" s="178" t="s">
        <v>215</v>
      </c>
      <c r="F221" s="178">
        <v>926661</v>
      </c>
      <c r="G221" s="183">
        <v>8.6507857139999995</v>
      </c>
      <c r="H221" s="78"/>
      <c r="I221" s="79">
        <f t="shared" ref="I221" si="915">G221+H221</f>
        <v>8.6507857139999995</v>
      </c>
      <c r="J221" s="80"/>
      <c r="K221" s="214">
        <f t="shared" si="885"/>
        <v>8.6507857139999995</v>
      </c>
      <c r="L221" s="216">
        <f t="shared" si="888"/>
        <v>0</v>
      </c>
      <c r="M221" s="218" t="s">
        <v>32</v>
      </c>
      <c r="N221" s="81">
        <f t="shared" ref="N221:O221" si="916">G221+G222</f>
        <v>13.626971427999999</v>
      </c>
      <c r="O221" s="82">
        <f t="shared" si="916"/>
        <v>0</v>
      </c>
      <c r="P221" s="81">
        <f t="shared" ref="P221" si="917">N221+O221</f>
        <v>13.626971427999999</v>
      </c>
      <c r="Q221" s="83">
        <f t="shared" ref="Q221" si="918">J221+J222</f>
        <v>0</v>
      </c>
      <c r="R221" s="81">
        <f t="shared" ref="R221" si="919">P221-Q221</f>
        <v>13.626971427999999</v>
      </c>
      <c r="S221" s="757">
        <f t="shared" ref="S221" si="920">Q221/P221</f>
        <v>0</v>
      </c>
      <c r="T221" s="1136">
        <f t="shared" si="756"/>
        <v>0</v>
      </c>
    </row>
    <row r="222" spans="1:20" ht="15" customHeight="1" thickBot="1">
      <c r="A222" s="57">
        <v>204</v>
      </c>
      <c r="B222" s="169">
        <f t="shared" ref="B222" si="921">+B220+$B$20</f>
        <v>102</v>
      </c>
      <c r="C222" s="199" t="s">
        <v>108</v>
      </c>
      <c r="D222" s="200" t="s">
        <v>102</v>
      </c>
      <c r="E222" s="201" t="s">
        <v>215</v>
      </c>
      <c r="F222" s="201">
        <v>926661</v>
      </c>
      <c r="G222" s="202">
        <v>4.9761857139999996</v>
      </c>
      <c r="H222" s="203"/>
      <c r="I222" s="204">
        <f t="shared" ref="I222" si="922">G222+H222+K221</f>
        <v>13.626971427999999</v>
      </c>
      <c r="J222" s="205"/>
      <c r="K222" s="215">
        <f t="shared" si="885"/>
        <v>13.626971427999999</v>
      </c>
      <c r="L222" s="217">
        <f t="shared" si="888"/>
        <v>0</v>
      </c>
      <c r="M222" s="219" t="s">
        <v>32</v>
      </c>
      <c r="N222" s="84"/>
      <c r="O222" s="84"/>
      <c r="P222" s="84"/>
      <c r="Q222" s="84"/>
      <c r="R222" s="84"/>
      <c r="S222" s="758"/>
      <c r="T222" s="1137"/>
    </row>
    <row r="223" spans="1:20" ht="15" customHeight="1">
      <c r="A223" s="57">
        <v>205</v>
      </c>
      <c r="B223" s="169">
        <f t="shared" ref="B223" si="923">+B221+$B$19</f>
        <v>103</v>
      </c>
      <c r="C223" s="176" t="s">
        <v>108</v>
      </c>
      <c r="D223" s="177" t="s">
        <v>38</v>
      </c>
      <c r="E223" s="178" t="s">
        <v>216</v>
      </c>
      <c r="F223" s="178">
        <v>966277</v>
      </c>
      <c r="G223" s="183">
        <v>8.6507857139999995</v>
      </c>
      <c r="H223" s="1123">
        <v>-13.627000000000001</v>
      </c>
      <c r="I223" s="79">
        <f t="shared" ref="I223" si="924">G223+H223</f>
        <v>-4.9762142860000012</v>
      </c>
      <c r="J223" s="80"/>
      <c r="K223" s="214">
        <f t="shared" si="885"/>
        <v>-4.9762142860000012</v>
      </c>
      <c r="L223" s="216">
        <f t="shared" si="888"/>
        <v>0</v>
      </c>
      <c r="M223" s="218" t="s">
        <v>32</v>
      </c>
      <c r="N223" s="81">
        <f t="shared" ref="N223:O223" si="925">G223+G224</f>
        <v>13.626971427999999</v>
      </c>
      <c r="O223" s="82">
        <f t="shared" si="925"/>
        <v>-13.627000000000001</v>
      </c>
      <c r="P223" s="81">
        <f t="shared" ref="P223" si="926">N223+O223</f>
        <v>-2.8572000001503284E-5</v>
      </c>
      <c r="Q223" s="83">
        <f t="shared" ref="Q223" si="927">J223+J224</f>
        <v>0</v>
      </c>
      <c r="R223" s="81">
        <f t="shared" ref="R223" si="928">P223-Q223</f>
        <v>-2.8572000001503284E-5</v>
      </c>
      <c r="S223" s="757">
        <f t="shared" ref="S223" si="929">Q223/P223</f>
        <v>0</v>
      </c>
      <c r="T223" s="1136">
        <f t="shared" si="756"/>
        <v>1.0000020967241439</v>
      </c>
    </row>
    <row r="224" spans="1:20" ht="15" customHeight="1" thickBot="1">
      <c r="A224" s="57">
        <v>206</v>
      </c>
      <c r="B224" s="169">
        <f t="shared" ref="B224" si="930">+B222+$B$20</f>
        <v>103</v>
      </c>
      <c r="C224" s="199" t="s">
        <v>108</v>
      </c>
      <c r="D224" s="200" t="s">
        <v>102</v>
      </c>
      <c r="E224" s="201" t="s">
        <v>216</v>
      </c>
      <c r="F224" s="201">
        <v>966277</v>
      </c>
      <c r="G224" s="202">
        <v>4.9761857139999996</v>
      </c>
      <c r="H224" s="203"/>
      <c r="I224" s="204">
        <f t="shared" ref="I224" si="931">G224+H224+K223</f>
        <v>-2.8572000001503284E-5</v>
      </c>
      <c r="J224" s="205"/>
      <c r="K224" s="215">
        <f t="shared" si="885"/>
        <v>-2.8572000001503284E-5</v>
      </c>
      <c r="L224" s="217">
        <f t="shared" si="888"/>
        <v>0</v>
      </c>
      <c r="M224" s="219" t="s">
        <v>32</v>
      </c>
      <c r="N224" s="84"/>
      <c r="O224" s="84"/>
      <c r="P224" s="84"/>
      <c r="Q224" s="84"/>
      <c r="R224" s="84"/>
      <c r="S224" s="758"/>
      <c r="T224" s="1137"/>
    </row>
    <row r="225" spans="1:20" ht="15" customHeight="1">
      <c r="A225" s="57">
        <v>207</v>
      </c>
      <c r="B225" s="169">
        <f t="shared" ref="B225" si="932">+B223+$B$19</f>
        <v>104</v>
      </c>
      <c r="C225" s="176" t="s">
        <v>108</v>
      </c>
      <c r="D225" s="177" t="s">
        <v>38</v>
      </c>
      <c r="E225" s="178" t="s">
        <v>217</v>
      </c>
      <c r="F225" s="178">
        <v>961111</v>
      </c>
      <c r="G225" s="183">
        <v>8.6507857139999995</v>
      </c>
      <c r="H225" s="78"/>
      <c r="I225" s="79">
        <f t="shared" ref="I225" si="933">G225+H225</f>
        <v>8.6507857139999995</v>
      </c>
      <c r="J225" s="80">
        <v>0.83</v>
      </c>
      <c r="K225" s="214">
        <f t="shared" si="885"/>
        <v>7.8207857139999994</v>
      </c>
      <c r="L225" s="216">
        <f t="shared" si="888"/>
        <v>9.5945042154583646E-2</v>
      </c>
      <c r="M225" s="218" t="s">
        <v>32</v>
      </c>
      <c r="N225" s="81">
        <f t="shared" ref="N225:O225" si="934">G225+G226</f>
        <v>13.626971427999999</v>
      </c>
      <c r="O225" s="82">
        <f t="shared" si="934"/>
        <v>0</v>
      </c>
      <c r="P225" s="81">
        <f t="shared" ref="P225" si="935">N225+O225</f>
        <v>13.626971427999999</v>
      </c>
      <c r="Q225" s="83">
        <f t="shared" ref="Q225" si="936">J225+J226</f>
        <v>0.83</v>
      </c>
      <c r="R225" s="81">
        <f t="shared" ref="R225" si="937">P225-Q225</f>
        <v>12.796971427999999</v>
      </c>
      <c r="S225" s="757">
        <f t="shared" ref="S225" si="938">Q225/P225</f>
        <v>6.0908618205110399E-2</v>
      </c>
      <c r="T225" s="1136">
        <f t="shared" si="756"/>
        <v>6.0908618205110399E-2</v>
      </c>
    </row>
    <row r="226" spans="1:20" ht="15" customHeight="1" thickBot="1">
      <c r="A226" s="57">
        <v>208</v>
      </c>
      <c r="B226" s="169">
        <f t="shared" ref="B226" si="939">+B224+$B$20</f>
        <v>104</v>
      </c>
      <c r="C226" s="199" t="s">
        <v>108</v>
      </c>
      <c r="D226" s="200" t="s">
        <v>102</v>
      </c>
      <c r="E226" s="201" t="s">
        <v>217</v>
      </c>
      <c r="F226" s="201">
        <v>961111</v>
      </c>
      <c r="G226" s="202">
        <v>4.9761857139999996</v>
      </c>
      <c r="H226" s="203"/>
      <c r="I226" s="204">
        <f t="shared" ref="I226" si="940">G226+H226+K225</f>
        <v>12.796971427999999</v>
      </c>
      <c r="J226" s="205"/>
      <c r="K226" s="215">
        <f t="shared" si="885"/>
        <v>12.796971427999999</v>
      </c>
      <c r="L226" s="217">
        <f t="shared" si="888"/>
        <v>0</v>
      </c>
      <c r="M226" s="219" t="s">
        <v>32</v>
      </c>
      <c r="N226" s="84"/>
      <c r="O226" s="84"/>
      <c r="P226" s="84"/>
      <c r="Q226" s="84"/>
      <c r="R226" s="84"/>
      <c r="S226" s="758"/>
      <c r="T226" s="1137"/>
    </row>
    <row r="227" spans="1:20" ht="15" customHeight="1">
      <c r="A227" s="57">
        <v>209</v>
      </c>
      <c r="B227" s="169">
        <f t="shared" ref="B227" si="941">+B225+$B$19</f>
        <v>105</v>
      </c>
      <c r="C227" s="176" t="s">
        <v>108</v>
      </c>
      <c r="D227" s="177" t="s">
        <v>38</v>
      </c>
      <c r="E227" s="178" t="s">
        <v>218</v>
      </c>
      <c r="F227" s="178">
        <v>964393</v>
      </c>
      <c r="G227" s="183">
        <v>8.6507857139999995</v>
      </c>
      <c r="H227" s="1123">
        <v>-13.627000000000001</v>
      </c>
      <c r="I227" s="79">
        <f t="shared" ref="I227" si="942">G227+H227</f>
        <v>-4.9762142860000012</v>
      </c>
      <c r="J227" s="80"/>
      <c r="K227" s="214">
        <f t="shared" si="885"/>
        <v>-4.9762142860000012</v>
      </c>
      <c r="L227" s="216">
        <f t="shared" si="888"/>
        <v>0</v>
      </c>
      <c r="M227" s="218" t="s">
        <v>32</v>
      </c>
      <c r="N227" s="81">
        <f t="shared" ref="N227:O227" si="943">G227+G228</f>
        <v>13.626971427999999</v>
      </c>
      <c r="O227" s="82">
        <f t="shared" si="943"/>
        <v>-13.627000000000001</v>
      </c>
      <c r="P227" s="81">
        <f t="shared" ref="P227" si="944">N227+O227</f>
        <v>-2.8572000001503284E-5</v>
      </c>
      <c r="Q227" s="83">
        <f t="shared" ref="Q227" si="945">J227+J228</f>
        <v>0</v>
      </c>
      <c r="R227" s="81">
        <f t="shared" ref="R227" si="946">P227-Q227</f>
        <v>-2.8572000001503284E-5</v>
      </c>
      <c r="S227" s="757">
        <f t="shared" ref="S227" si="947">Q227/P227</f>
        <v>0</v>
      </c>
      <c r="T227" s="1136">
        <f t="shared" si="756"/>
        <v>1.0000020967241439</v>
      </c>
    </row>
    <row r="228" spans="1:20" ht="15" customHeight="1" thickBot="1">
      <c r="A228" s="57">
        <v>210</v>
      </c>
      <c r="B228" s="169">
        <f t="shared" ref="B228" si="948">+B226+$B$20</f>
        <v>105</v>
      </c>
      <c r="C228" s="199" t="s">
        <v>108</v>
      </c>
      <c r="D228" s="200" t="s">
        <v>102</v>
      </c>
      <c r="E228" s="201" t="s">
        <v>218</v>
      </c>
      <c r="F228" s="201">
        <v>964393</v>
      </c>
      <c r="G228" s="202">
        <v>4.9761857139999996</v>
      </c>
      <c r="H228" s="203"/>
      <c r="I228" s="204">
        <f t="shared" ref="I228" si="949">G228+H228+K227</f>
        <v>-2.8572000001503284E-5</v>
      </c>
      <c r="J228" s="205"/>
      <c r="K228" s="215">
        <f t="shared" si="885"/>
        <v>-2.8572000001503284E-5</v>
      </c>
      <c r="L228" s="217">
        <f t="shared" si="888"/>
        <v>0</v>
      </c>
      <c r="M228" s="219" t="s">
        <v>32</v>
      </c>
      <c r="N228" s="84"/>
      <c r="O228" s="84"/>
      <c r="P228" s="84"/>
      <c r="Q228" s="84"/>
      <c r="R228" s="84"/>
      <c r="S228" s="758"/>
      <c r="T228" s="1137"/>
    </row>
    <row r="229" spans="1:20" ht="15" customHeight="1">
      <c r="A229" s="57">
        <v>211</v>
      </c>
      <c r="B229" s="169">
        <f t="shared" ref="B229" si="950">+B227+$B$19</f>
        <v>106</v>
      </c>
      <c r="C229" s="176" t="s">
        <v>108</v>
      </c>
      <c r="D229" s="177" t="s">
        <v>38</v>
      </c>
      <c r="E229" s="178" t="s">
        <v>219</v>
      </c>
      <c r="F229" s="178">
        <v>965956</v>
      </c>
      <c r="G229" s="183">
        <v>8.6507857139999995</v>
      </c>
      <c r="H229" s="78"/>
      <c r="I229" s="79">
        <f t="shared" ref="I229" si="951">G229+H229</f>
        <v>8.6507857139999995</v>
      </c>
      <c r="J229" s="80"/>
      <c r="K229" s="214">
        <f t="shared" si="885"/>
        <v>8.6507857139999995</v>
      </c>
      <c r="L229" s="216">
        <f t="shared" si="888"/>
        <v>0</v>
      </c>
      <c r="M229" s="218" t="s">
        <v>32</v>
      </c>
      <c r="N229" s="81">
        <f t="shared" ref="N229:O229" si="952">G229+G230</f>
        <v>13.626971427999999</v>
      </c>
      <c r="O229" s="82">
        <f t="shared" si="952"/>
        <v>0</v>
      </c>
      <c r="P229" s="81">
        <f t="shared" ref="P229" si="953">N229+O229</f>
        <v>13.626971427999999</v>
      </c>
      <c r="Q229" s="83">
        <f t="shared" ref="Q229" si="954">J229+J230</f>
        <v>0</v>
      </c>
      <c r="R229" s="81">
        <f t="shared" ref="R229" si="955">P229-Q229</f>
        <v>13.626971427999999</v>
      </c>
      <c r="S229" s="757">
        <f t="shared" ref="S229" si="956">Q229/P229</f>
        <v>0</v>
      </c>
      <c r="T229" s="1136">
        <f t="shared" si="756"/>
        <v>0</v>
      </c>
    </row>
    <row r="230" spans="1:20" ht="15" customHeight="1" thickBot="1">
      <c r="A230" s="57">
        <v>212</v>
      </c>
      <c r="B230" s="169">
        <f t="shared" ref="B230" si="957">+B228+$B$20</f>
        <v>106</v>
      </c>
      <c r="C230" s="199" t="s">
        <v>108</v>
      </c>
      <c r="D230" s="200" t="s">
        <v>102</v>
      </c>
      <c r="E230" s="201" t="s">
        <v>219</v>
      </c>
      <c r="F230" s="201">
        <v>965956</v>
      </c>
      <c r="G230" s="202">
        <v>4.9761857139999996</v>
      </c>
      <c r="H230" s="203"/>
      <c r="I230" s="204">
        <f t="shared" ref="I230" si="958">G230+H230+K229</f>
        <v>13.626971427999999</v>
      </c>
      <c r="J230" s="205"/>
      <c r="K230" s="215">
        <f t="shared" si="885"/>
        <v>13.626971427999999</v>
      </c>
      <c r="L230" s="217">
        <f t="shared" si="888"/>
        <v>0</v>
      </c>
      <c r="M230" s="219" t="s">
        <v>32</v>
      </c>
      <c r="N230" s="84"/>
      <c r="O230" s="84"/>
      <c r="P230" s="84"/>
      <c r="Q230" s="84"/>
      <c r="R230" s="84"/>
      <c r="S230" s="758"/>
      <c r="T230" s="1137"/>
    </row>
    <row r="231" spans="1:20" ht="15" customHeight="1">
      <c r="A231" s="57">
        <v>213</v>
      </c>
      <c r="B231" s="169">
        <f t="shared" ref="B231" si="959">+B229+$B$19</f>
        <v>107</v>
      </c>
      <c r="C231" s="176" t="s">
        <v>108</v>
      </c>
      <c r="D231" s="177" t="s">
        <v>38</v>
      </c>
      <c r="E231" s="178" t="s">
        <v>220</v>
      </c>
      <c r="F231" s="178">
        <v>924069</v>
      </c>
      <c r="G231" s="183">
        <v>8.6507857139999995</v>
      </c>
      <c r="H231" s="78"/>
      <c r="I231" s="79">
        <f t="shared" ref="I231" si="960">G231+H231</f>
        <v>8.6507857139999995</v>
      </c>
      <c r="J231" s="80"/>
      <c r="K231" s="214">
        <f t="shared" si="885"/>
        <v>8.6507857139999995</v>
      </c>
      <c r="L231" s="216">
        <f t="shared" si="888"/>
        <v>0</v>
      </c>
      <c r="M231" s="218" t="s">
        <v>32</v>
      </c>
      <c r="N231" s="81">
        <f t="shared" ref="N231:O231" si="961">G231+G232</f>
        <v>13.626971427999999</v>
      </c>
      <c r="O231" s="82">
        <f t="shared" si="961"/>
        <v>0</v>
      </c>
      <c r="P231" s="81">
        <f t="shared" ref="P231" si="962">N231+O231</f>
        <v>13.626971427999999</v>
      </c>
      <c r="Q231" s="83">
        <f t="shared" ref="Q231" si="963">J231+J232</f>
        <v>0</v>
      </c>
      <c r="R231" s="81">
        <f t="shared" ref="R231" si="964">P231-Q231</f>
        <v>13.626971427999999</v>
      </c>
      <c r="S231" s="757">
        <f t="shared" ref="S231" si="965">Q231/P231</f>
        <v>0</v>
      </c>
      <c r="T231" s="1136">
        <f t="shared" si="756"/>
        <v>0</v>
      </c>
    </row>
    <row r="232" spans="1:20" ht="15" customHeight="1" thickBot="1">
      <c r="A232" s="57">
        <v>214</v>
      </c>
      <c r="B232" s="169">
        <f t="shared" ref="B232" si="966">+B230+$B$20</f>
        <v>107</v>
      </c>
      <c r="C232" s="199" t="s">
        <v>108</v>
      </c>
      <c r="D232" s="200" t="s">
        <v>102</v>
      </c>
      <c r="E232" s="201" t="s">
        <v>220</v>
      </c>
      <c r="F232" s="201">
        <v>924069</v>
      </c>
      <c r="G232" s="202">
        <v>4.9761857139999996</v>
      </c>
      <c r="H232" s="203"/>
      <c r="I232" s="204">
        <f t="shared" ref="I232" si="967">G232+H232+K231</f>
        <v>13.626971427999999</v>
      </c>
      <c r="J232" s="205"/>
      <c r="K232" s="215">
        <f t="shared" si="885"/>
        <v>13.626971427999999</v>
      </c>
      <c r="L232" s="217">
        <f t="shared" si="888"/>
        <v>0</v>
      </c>
      <c r="M232" s="219" t="s">
        <v>32</v>
      </c>
      <c r="N232" s="84"/>
      <c r="O232" s="84"/>
      <c r="P232" s="84"/>
      <c r="Q232" s="84"/>
      <c r="R232" s="84"/>
      <c r="S232" s="758"/>
      <c r="T232" s="1137"/>
    </row>
    <row r="233" spans="1:20" ht="15" customHeight="1">
      <c r="A233" s="57">
        <v>215</v>
      </c>
      <c r="B233" s="169">
        <f t="shared" ref="B233" si="968">+B231+$B$19</f>
        <v>108</v>
      </c>
      <c r="C233" s="176" t="s">
        <v>108</v>
      </c>
      <c r="D233" s="177" t="s">
        <v>38</v>
      </c>
      <c r="E233" s="178" t="s">
        <v>221</v>
      </c>
      <c r="F233" s="178">
        <v>961509</v>
      </c>
      <c r="G233" s="183">
        <v>8.6507857139999995</v>
      </c>
      <c r="H233" s="78"/>
      <c r="I233" s="79">
        <f t="shared" ref="I233" si="969">G233+H233</f>
        <v>8.6507857139999995</v>
      </c>
      <c r="J233" s="80"/>
      <c r="K233" s="214">
        <f t="shared" si="885"/>
        <v>8.6507857139999995</v>
      </c>
      <c r="L233" s="216">
        <f t="shared" si="888"/>
        <v>0</v>
      </c>
      <c r="M233" s="218" t="s">
        <v>32</v>
      </c>
      <c r="N233" s="81">
        <f t="shared" ref="N233:O233" si="970">G233+G234</f>
        <v>13.626971427999999</v>
      </c>
      <c r="O233" s="82">
        <f t="shared" si="970"/>
        <v>0</v>
      </c>
      <c r="P233" s="81">
        <f t="shared" ref="P233" si="971">N233+O233</f>
        <v>13.626971427999999</v>
      </c>
      <c r="Q233" s="83">
        <f t="shared" ref="Q233" si="972">J233+J234</f>
        <v>0</v>
      </c>
      <c r="R233" s="81">
        <f t="shared" ref="R233" si="973">P233-Q233</f>
        <v>13.626971427999999</v>
      </c>
      <c r="S233" s="757">
        <f t="shared" ref="S233" si="974">Q233/P233</f>
        <v>0</v>
      </c>
      <c r="T233" s="1136">
        <f t="shared" si="756"/>
        <v>0</v>
      </c>
    </row>
    <row r="234" spans="1:20" ht="15" customHeight="1" thickBot="1">
      <c r="A234" s="57">
        <v>216</v>
      </c>
      <c r="B234" s="169">
        <f t="shared" ref="B234" si="975">+B232+$B$20</f>
        <v>108</v>
      </c>
      <c r="C234" s="199" t="s">
        <v>108</v>
      </c>
      <c r="D234" s="200" t="s">
        <v>102</v>
      </c>
      <c r="E234" s="201" t="s">
        <v>221</v>
      </c>
      <c r="F234" s="201">
        <v>961509</v>
      </c>
      <c r="G234" s="202">
        <v>4.9761857139999996</v>
      </c>
      <c r="H234" s="203"/>
      <c r="I234" s="204">
        <f t="shared" ref="I234" si="976">G234+H234+K233</f>
        <v>13.626971427999999</v>
      </c>
      <c r="J234" s="205"/>
      <c r="K234" s="215">
        <f t="shared" si="885"/>
        <v>13.626971427999999</v>
      </c>
      <c r="L234" s="217">
        <f t="shared" si="888"/>
        <v>0</v>
      </c>
      <c r="M234" s="219" t="s">
        <v>32</v>
      </c>
      <c r="N234" s="84"/>
      <c r="O234" s="84"/>
      <c r="P234" s="84"/>
      <c r="Q234" s="84"/>
      <c r="R234" s="84"/>
      <c r="S234" s="758"/>
      <c r="T234" s="1137"/>
    </row>
    <row r="235" spans="1:20" ht="15" customHeight="1">
      <c r="A235" s="57">
        <v>217</v>
      </c>
      <c r="B235" s="169">
        <f t="shared" ref="B235" si="977">+B233+$B$19</f>
        <v>109</v>
      </c>
      <c r="C235" s="176" t="s">
        <v>108</v>
      </c>
      <c r="D235" s="177" t="s">
        <v>38</v>
      </c>
      <c r="E235" s="178" t="s">
        <v>222</v>
      </c>
      <c r="F235" s="178">
        <v>965507</v>
      </c>
      <c r="G235" s="183">
        <v>8.6507857139999995</v>
      </c>
      <c r="H235" s="78"/>
      <c r="I235" s="79">
        <f t="shared" ref="I235" si="978">G235+H235</f>
        <v>8.6507857139999995</v>
      </c>
      <c r="J235" s="80"/>
      <c r="K235" s="214">
        <f t="shared" si="885"/>
        <v>8.6507857139999995</v>
      </c>
      <c r="L235" s="216">
        <f t="shared" si="888"/>
        <v>0</v>
      </c>
      <c r="M235" s="218" t="s">
        <v>32</v>
      </c>
      <c r="N235" s="81">
        <f t="shared" ref="N235:O235" si="979">G235+G236</f>
        <v>13.626971427999999</v>
      </c>
      <c r="O235" s="82">
        <f t="shared" si="979"/>
        <v>0</v>
      </c>
      <c r="P235" s="81">
        <f t="shared" ref="P235" si="980">N235+O235</f>
        <v>13.626971427999999</v>
      </c>
      <c r="Q235" s="83">
        <f t="shared" ref="Q235" si="981">J235+J236</f>
        <v>0</v>
      </c>
      <c r="R235" s="81">
        <f t="shared" ref="R235" si="982">P235-Q235</f>
        <v>13.626971427999999</v>
      </c>
      <c r="S235" s="757">
        <f t="shared" ref="S235" si="983">Q235/P235</f>
        <v>0</v>
      </c>
      <c r="T235" s="1136">
        <f t="shared" si="756"/>
        <v>0</v>
      </c>
    </row>
    <row r="236" spans="1:20" ht="15" customHeight="1" thickBot="1">
      <c r="A236" s="57">
        <v>218</v>
      </c>
      <c r="B236" s="169">
        <f t="shared" ref="B236" si="984">+B234+$B$20</f>
        <v>109</v>
      </c>
      <c r="C236" s="199" t="s">
        <v>108</v>
      </c>
      <c r="D236" s="200" t="s">
        <v>102</v>
      </c>
      <c r="E236" s="201" t="s">
        <v>222</v>
      </c>
      <c r="F236" s="201">
        <v>965507</v>
      </c>
      <c r="G236" s="202">
        <v>4.9761857139999996</v>
      </c>
      <c r="H236" s="203"/>
      <c r="I236" s="204">
        <f t="shared" ref="I236" si="985">G236+H236+K235</f>
        <v>13.626971427999999</v>
      </c>
      <c r="J236" s="205"/>
      <c r="K236" s="215">
        <f t="shared" si="885"/>
        <v>13.626971427999999</v>
      </c>
      <c r="L236" s="217">
        <f t="shared" si="888"/>
        <v>0</v>
      </c>
      <c r="M236" s="219" t="s">
        <v>32</v>
      </c>
      <c r="N236" s="84"/>
      <c r="O236" s="84"/>
      <c r="P236" s="84"/>
      <c r="Q236" s="84"/>
      <c r="R236" s="84"/>
      <c r="S236" s="758"/>
      <c r="T236" s="1137"/>
    </row>
    <row r="237" spans="1:20" ht="15" customHeight="1">
      <c r="A237" s="57">
        <v>219</v>
      </c>
      <c r="B237" s="169">
        <f t="shared" ref="B237" si="986">+B235+$B$19</f>
        <v>110</v>
      </c>
      <c r="C237" s="176" t="s">
        <v>108</v>
      </c>
      <c r="D237" s="177" t="s">
        <v>38</v>
      </c>
      <c r="E237" s="178" t="s">
        <v>223</v>
      </c>
      <c r="F237" s="178">
        <v>965508</v>
      </c>
      <c r="G237" s="183">
        <v>8.6507857139999995</v>
      </c>
      <c r="H237" s="78"/>
      <c r="I237" s="79">
        <f t="shared" ref="I237" si="987">G237+H237</f>
        <v>8.6507857139999995</v>
      </c>
      <c r="J237" s="80"/>
      <c r="K237" s="214">
        <f t="shared" si="885"/>
        <v>8.6507857139999995</v>
      </c>
      <c r="L237" s="216">
        <f t="shared" si="888"/>
        <v>0</v>
      </c>
      <c r="M237" s="218" t="s">
        <v>32</v>
      </c>
      <c r="N237" s="81">
        <f t="shared" ref="N237:O237" si="988">G237+G238</f>
        <v>13.626971427999999</v>
      </c>
      <c r="O237" s="82">
        <f t="shared" si="988"/>
        <v>0</v>
      </c>
      <c r="P237" s="81">
        <f t="shared" ref="P237" si="989">N237+O237</f>
        <v>13.626971427999999</v>
      </c>
      <c r="Q237" s="83">
        <f t="shared" ref="Q237" si="990">J237+J238</f>
        <v>0</v>
      </c>
      <c r="R237" s="81">
        <f t="shared" ref="R237" si="991">P237-Q237</f>
        <v>13.626971427999999</v>
      </c>
      <c r="S237" s="757">
        <f t="shared" ref="S237" si="992">Q237/P237</f>
        <v>0</v>
      </c>
      <c r="T237" s="1136">
        <f t="shared" si="756"/>
        <v>0</v>
      </c>
    </row>
    <row r="238" spans="1:20" ht="15" customHeight="1" thickBot="1">
      <c r="A238" s="57">
        <v>220</v>
      </c>
      <c r="B238" s="169">
        <f t="shared" ref="B238" si="993">+B236+$B$20</f>
        <v>110</v>
      </c>
      <c r="C238" s="199" t="s">
        <v>108</v>
      </c>
      <c r="D238" s="200" t="s">
        <v>102</v>
      </c>
      <c r="E238" s="201" t="s">
        <v>223</v>
      </c>
      <c r="F238" s="201">
        <v>965508</v>
      </c>
      <c r="G238" s="202">
        <v>4.9761857139999996</v>
      </c>
      <c r="H238" s="203"/>
      <c r="I238" s="204">
        <f t="shared" ref="I238" si="994">G238+H238+K237</f>
        <v>13.626971427999999</v>
      </c>
      <c r="J238" s="205"/>
      <c r="K238" s="215">
        <f t="shared" si="885"/>
        <v>13.626971427999999</v>
      </c>
      <c r="L238" s="217">
        <f t="shared" si="888"/>
        <v>0</v>
      </c>
      <c r="M238" s="219" t="s">
        <v>32</v>
      </c>
      <c r="N238" s="84"/>
      <c r="O238" s="84"/>
      <c r="P238" s="84"/>
      <c r="Q238" s="84"/>
      <c r="R238" s="84"/>
      <c r="S238" s="758"/>
      <c r="T238" s="1137"/>
    </row>
    <row r="239" spans="1:20" ht="15" customHeight="1">
      <c r="A239" s="57">
        <v>221</v>
      </c>
      <c r="B239" s="169">
        <f t="shared" ref="B239" si="995">+B237+$B$19</f>
        <v>111</v>
      </c>
      <c r="C239" s="176" t="s">
        <v>108</v>
      </c>
      <c r="D239" s="177" t="s">
        <v>38</v>
      </c>
      <c r="E239" s="178" t="s">
        <v>224</v>
      </c>
      <c r="F239" s="178">
        <v>922445</v>
      </c>
      <c r="G239" s="183">
        <v>8.6507857139999995</v>
      </c>
      <c r="H239" s="78"/>
      <c r="I239" s="79">
        <f t="shared" ref="I239" si="996">G239+H239</f>
        <v>8.6507857139999995</v>
      </c>
      <c r="J239" s="80"/>
      <c r="K239" s="214">
        <f t="shared" si="885"/>
        <v>8.6507857139999995</v>
      </c>
      <c r="L239" s="216">
        <f t="shared" si="888"/>
        <v>0</v>
      </c>
      <c r="M239" s="218" t="s">
        <v>32</v>
      </c>
      <c r="N239" s="81">
        <f t="shared" ref="N239:O239" si="997">G239+G240</f>
        <v>13.626971427999999</v>
      </c>
      <c r="O239" s="82">
        <f t="shared" si="997"/>
        <v>0</v>
      </c>
      <c r="P239" s="81">
        <f t="shared" ref="P239" si="998">N239+O239</f>
        <v>13.626971427999999</v>
      </c>
      <c r="Q239" s="83">
        <f t="shared" ref="Q239" si="999">J239+J240</f>
        <v>0</v>
      </c>
      <c r="R239" s="81">
        <f t="shared" ref="R239" si="1000">P239-Q239</f>
        <v>13.626971427999999</v>
      </c>
      <c r="S239" s="757">
        <f t="shared" ref="S239" si="1001">Q239/P239</f>
        <v>0</v>
      </c>
      <c r="T239" s="1136">
        <f t="shared" si="756"/>
        <v>0</v>
      </c>
    </row>
    <row r="240" spans="1:20" ht="15" customHeight="1" thickBot="1">
      <c r="A240" s="57">
        <v>222</v>
      </c>
      <c r="B240" s="169">
        <f t="shared" ref="B240" si="1002">+B238+$B$20</f>
        <v>111</v>
      </c>
      <c r="C240" s="199" t="s">
        <v>108</v>
      </c>
      <c r="D240" s="200" t="s">
        <v>102</v>
      </c>
      <c r="E240" s="201" t="s">
        <v>224</v>
      </c>
      <c r="F240" s="201">
        <v>922445</v>
      </c>
      <c r="G240" s="202">
        <v>4.9761857139999996</v>
      </c>
      <c r="H240" s="203"/>
      <c r="I240" s="204">
        <f t="shared" ref="I240" si="1003">G240+H240+K239</f>
        <v>13.626971427999999</v>
      </c>
      <c r="J240" s="205"/>
      <c r="K240" s="215">
        <f t="shared" si="885"/>
        <v>13.626971427999999</v>
      </c>
      <c r="L240" s="217">
        <f t="shared" si="888"/>
        <v>0</v>
      </c>
      <c r="M240" s="219" t="s">
        <v>32</v>
      </c>
      <c r="N240" s="84"/>
      <c r="O240" s="84"/>
      <c r="P240" s="84"/>
      <c r="Q240" s="84"/>
      <c r="R240" s="84"/>
      <c r="S240" s="758"/>
      <c r="T240" s="1137"/>
    </row>
    <row r="241" spans="1:20" ht="15" customHeight="1">
      <c r="A241" s="57">
        <v>223</v>
      </c>
      <c r="B241" s="169">
        <f t="shared" ref="B241" si="1004">+B239+$B$19</f>
        <v>112</v>
      </c>
      <c r="C241" s="176" t="s">
        <v>108</v>
      </c>
      <c r="D241" s="177" t="s">
        <v>38</v>
      </c>
      <c r="E241" s="178" t="s">
        <v>225</v>
      </c>
      <c r="F241" s="178">
        <v>967340</v>
      </c>
      <c r="G241" s="183">
        <v>8.6507857139999995</v>
      </c>
      <c r="H241" s="78"/>
      <c r="I241" s="79">
        <f t="shared" ref="I241" si="1005">G241+H241</f>
        <v>8.6507857139999995</v>
      </c>
      <c r="J241" s="80">
        <v>4.4400000000000002E-2</v>
      </c>
      <c r="K241" s="214">
        <f t="shared" si="885"/>
        <v>8.606385714</v>
      </c>
      <c r="L241" s="216">
        <f t="shared" si="888"/>
        <v>5.1324817730885718E-3</v>
      </c>
      <c r="M241" s="218" t="s">
        <v>32</v>
      </c>
      <c r="N241" s="81">
        <f t="shared" ref="N241:O241" si="1006">G241+G242</f>
        <v>13.626971427999999</v>
      </c>
      <c r="O241" s="82">
        <f t="shared" si="1006"/>
        <v>0</v>
      </c>
      <c r="P241" s="81">
        <f t="shared" ref="P241" si="1007">N241+O241</f>
        <v>13.626971427999999</v>
      </c>
      <c r="Q241" s="83">
        <f t="shared" ref="Q241" si="1008">J241+J242</f>
        <v>4.4400000000000002E-2</v>
      </c>
      <c r="R241" s="81">
        <f t="shared" ref="R241" si="1009">P241-Q241</f>
        <v>13.582571428</v>
      </c>
      <c r="S241" s="757">
        <f t="shared" ref="S241" si="1010">Q241/P241</f>
        <v>3.2582441545866286E-3</v>
      </c>
      <c r="T241" s="1136">
        <f t="shared" si="756"/>
        <v>3.2582441545866425E-3</v>
      </c>
    </row>
    <row r="242" spans="1:20" ht="15" customHeight="1" thickBot="1">
      <c r="A242" s="57">
        <v>224</v>
      </c>
      <c r="B242" s="169">
        <f t="shared" ref="B242" si="1011">+B240+$B$20</f>
        <v>112</v>
      </c>
      <c r="C242" s="199" t="s">
        <v>108</v>
      </c>
      <c r="D242" s="200" t="s">
        <v>102</v>
      </c>
      <c r="E242" s="201" t="s">
        <v>225</v>
      </c>
      <c r="F242" s="201">
        <v>967340</v>
      </c>
      <c r="G242" s="202">
        <v>4.9761857139999996</v>
      </c>
      <c r="H242" s="203"/>
      <c r="I242" s="204">
        <f t="shared" ref="I242" si="1012">G242+H242+K241</f>
        <v>13.582571428</v>
      </c>
      <c r="J242" s="205"/>
      <c r="K242" s="215">
        <f t="shared" si="885"/>
        <v>13.582571428</v>
      </c>
      <c r="L242" s="217">
        <f t="shared" si="888"/>
        <v>0</v>
      </c>
      <c r="M242" s="219" t="s">
        <v>32</v>
      </c>
      <c r="N242" s="84"/>
      <c r="O242" s="84"/>
      <c r="P242" s="84"/>
      <c r="Q242" s="84"/>
      <c r="R242" s="84"/>
      <c r="S242" s="758"/>
      <c r="T242" s="1137"/>
    </row>
    <row r="243" spans="1:20" ht="15" customHeight="1">
      <c r="A243" s="57">
        <v>225</v>
      </c>
      <c r="B243" s="169">
        <f t="shared" ref="B243" si="1013">+B241+$B$19</f>
        <v>113</v>
      </c>
      <c r="C243" s="176" t="s">
        <v>108</v>
      </c>
      <c r="D243" s="177" t="s">
        <v>38</v>
      </c>
      <c r="E243" s="178" t="s">
        <v>226</v>
      </c>
      <c r="F243" s="178">
        <v>903694</v>
      </c>
      <c r="G243" s="183">
        <v>8.6507857139999995</v>
      </c>
      <c r="H243" s="78"/>
      <c r="I243" s="79">
        <f t="shared" ref="I243" si="1014">G243+H243</f>
        <v>8.6507857139999995</v>
      </c>
      <c r="J243" s="80"/>
      <c r="K243" s="214">
        <f t="shared" si="885"/>
        <v>8.6507857139999995</v>
      </c>
      <c r="L243" s="216">
        <f t="shared" si="888"/>
        <v>0</v>
      </c>
      <c r="M243" s="218" t="s">
        <v>32</v>
      </c>
      <c r="N243" s="81">
        <f t="shared" ref="N243:O243" si="1015">G243+G244</f>
        <v>13.626971427999999</v>
      </c>
      <c r="O243" s="82">
        <f t="shared" si="1015"/>
        <v>0</v>
      </c>
      <c r="P243" s="81">
        <f t="shared" ref="P243" si="1016">N243+O243</f>
        <v>13.626971427999999</v>
      </c>
      <c r="Q243" s="83">
        <f t="shared" ref="Q243" si="1017">J243+J244</f>
        <v>0</v>
      </c>
      <c r="R243" s="81">
        <f t="shared" ref="R243" si="1018">P243-Q243</f>
        <v>13.626971427999999</v>
      </c>
      <c r="S243" s="757">
        <f t="shared" ref="S243" si="1019">Q243/P243</f>
        <v>0</v>
      </c>
      <c r="T243" s="1136">
        <f t="shared" si="756"/>
        <v>0</v>
      </c>
    </row>
    <row r="244" spans="1:20" ht="15" customHeight="1" thickBot="1">
      <c r="A244" s="57">
        <v>226</v>
      </c>
      <c r="B244" s="169">
        <f t="shared" ref="B244" si="1020">+B242+$B$20</f>
        <v>113</v>
      </c>
      <c r="C244" s="199" t="s">
        <v>108</v>
      </c>
      <c r="D244" s="200" t="s">
        <v>102</v>
      </c>
      <c r="E244" s="201" t="s">
        <v>226</v>
      </c>
      <c r="F244" s="201">
        <v>903694</v>
      </c>
      <c r="G244" s="202">
        <v>4.9761857139999996</v>
      </c>
      <c r="H244" s="203"/>
      <c r="I244" s="204">
        <f t="shared" ref="I244" si="1021">G244+H244+K243</f>
        <v>13.626971427999999</v>
      </c>
      <c r="J244" s="205"/>
      <c r="K244" s="215">
        <f t="shared" si="885"/>
        <v>13.626971427999999</v>
      </c>
      <c r="L244" s="217">
        <f t="shared" si="888"/>
        <v>0</v>
      </c>
      <c r="M244" s="219" t="s">
        <v>32</v>
      </c>
      <c r="N244" s="84"/>
      <c r="O244" s="84"/>
      <c r="P244" s="84"/>
      <c r="Q244" s="84"/>
      <c r="R244" s="84"/>
      <c r="S244" s="758"/>
      <c r="T244" s="1137"/>
    </row>
    <row r="245" spans="1:20" ht="15" customHeight="1">
      <c r="A245" s="57">
        <v>227</v>
      </c>
      <c r="B245" s="169">
        <f t="shared" ref="B245" si="1022">+B243+$B$19</f>
        <v>114</v>
      </c>
      <c r="C245" s="176" t="s">
        <v>108</v>
      </c>
      <c r="D245" s="177" t="s">
        <v>38</v>
      </c>
      <c r="E245" s="178" t="s">
        <v>227</v>
      </c>
      <c r="F245" s="178">
        <v>926653</v>
      </c>
      <c r="G245" s="183">
        <v>8.6507857139999995</v>
      </c>
      <c r="H245" s="1123">
        <v>-13.627000000000001</v>
      </c>
      <c r="I245" s="79">
        <f t="shared" ref="I245" si="1023">G245+H245</f>
        <v>-4.9762142860000012</v>
      </c>
      <c r="J245" s="80"/>
      <c r="K245" s="214">
        <f t="shared" si="885"/>
        <v>-4.9762142860000012</v>
      </c>
      <c r="L245" s="216">
        <f t="shared" si="888"/>
        <v>0</v>
      </c>
      <c r="M245" s="218" t="s">
        <v>32</v>
      </c>
      <c r="N245" s="81">
        <f t="shared" ref="N245:O245" si="1024">G245+G246</f>
        <v>13.626971427999999</v>
      </c>
      <c r="O245" s="82">
        <f t="shared" si="1024"/>
        <v>-13.627000000000001</v>
      </c>
      <c r="P245" s="81">
        <f t="shared" ref="P245" si="1025">N245+O245</f>
        <v>-2.8572000001503284E-5</v>
      </c>
      <c r="Q245" s="83">
        <f t="shared" ref="Q245" si="1026">J245+J246</f>
        <v>0</v>
      </c>
      <c r="R245" s="81">
        <f t="shared" ref="R245" si="1027">P245-Q245</f>
        <v>-2.8572000001503284E-5</v>
      </c>
      <c r="S245" s="757">
        <f t="shared" ref="S245" si="1028">Q245/P245</f>
        <v>0</v>
      </c>
      <c r="T245" s="1136">
        <f t="shared" si="756"/>
        <v>1.0000020967241439</v>
      </c>
    </row>
    <row r="246" spans="1:20" ht="15" customHeight="1" thickBot="1">
      <c r="A246" s="57">
        <v>228</v>
      </c>
      <c r="B246" s="169">
        <f t="shared" ref="B246" si="1029">+B244+$B$20</f>
        <v>114</v>
      </c>
      <c r="C246" s="199" t="s">
        <v>108</v>
      </c>
      <c r="D246" s="200" t="s">
        <v>102</v>
      </c>
      <c r="E246" s="201" t="s">
        <v>227</v>
      </c>
      <c r="F246" s="201">
        <v>926653</v>
      </c>
      <c r="G246" s="202">
        <v>4.9761857139999996</v>
      </c>
      <c r="H246" s="203"/>
      <c r="I246" s="204">
        <f t="shared" ref="I246" si="1030">G246+H246+K245</f>
        <v>-2.8572000001503284E-5</v>
      </c>
      <c r="J246" s="205"/>
      <c r="K246" s="215">
        <f t="shared" si="885"/>
        <v>-2.8572000001503284E-5</v>
      </c>
      <c r="L246" s="217">
        <f t="shared" si="888"/>
        <v>0</v>
      </c>
      <c r="M246" s="219" t="s">
        <v>32</v>
      </c>
      <c r="N246" s="84"/>
      <c r="O246" s="84"/>
      <c r="P246" s="84"/>
      <c r="Q246" s="84"/>
      <c r="R246" s="84"/>
      <c r="S246" s="758"/>
      <c r="T246" s="1137"/>
    </row>
    <row r="247" spans="1:20" ht="15" customHeight="1">
      <c r="A247" s="57">
        <v>229</v>
      </c>
      <c r="B247" s="169">
        <f t="shared" ref="B247" si="1031">+B245+$B$19</f>
        <v>115</v>
      </c>
      <c r="C247" s="176" t="s">
        <v>108</v>
      </c>
      <c r="D247" s="177" t="s">
        <v>38</v>
      </c>
      <c r="E247" s="178" t="s">
        <v>228</v>
      </c>
      <c r="F247" s="178">
        <v>952559</v>
      </c>
      <c r="G247" s="183">
        <v>8.6507857139999995</v>
      </c>
      <c r="H247" s="1123">
        <v>-13.627000000000001</v>
      </c>
      <c r="I247" s="79">
        <f t="shared" ref="I247" si="1032">G247+H247</f>
        <v>-4.9762142860000012</v>
      </c>
      <c r="J247" s="80"/>
      <c r="K247" s="214">
        <f t="shared" si="885"/>
        <v>-4.9762142860000012</v>
      </c>
      <c r="L247" s="216">
        <f t="shared" si="888"/>
        <v>0</v>
      </c>
      <c r="M247" s="218" t="s">
        <v>32</v>
      </c>
      <c r="N247" s="81">
        <f t="shared" ref="N247:O247" si="1033">G247+G248</f>
        <v>13.626971427999999</v>
      </c>
      <c r="O247" s="82">
        <f t="shared" si="1033"/>
        <v>-13.627000000000001</v>
      </c>
      <c r="P247" s="81">
        <f t="shared" ref="P247" si="1034">N247+O247</f>
        <v>-2.8572000001503284E-5</v>
      </c>
      <c r="Q247" s="83">
        <f t="shared" ref="Q247" si="1035">J247+J248</f>
        <v>0</v>
      </c>
      <c r="R247" s="81">
        <f t="shared" ref="R247" si="1036">P247-Q247</f>
        <v>-2.8572000001503284E-5</v>
      </c>
      <c r="S247" s="757">
        <f t="shared" ref="S247" si="1037">Q247/P247</f>
        <v>0</v>
      </c>
      <c r="T247" s="1136">
        <f t="shared" si="756"/>
        <v>1.0000020967241439</v>
      </c>
    </row>
    <row r="248" spans="1:20" ht="15" customHeight="1" thickBot="1">
      <c r="A248" s="57">
        <v>230</v>
      </c>
      <c r="B248" s="169">
        <f t="shared" ref="B248" si="1038">+B246+$B$20</f>
        <v>115</v>
      </c>
      <c r="C248" s="199" t="s">
        <v>108</v>
      </c>
      <c r="D248" s="200" t="s">
        <v>102</v>
      </c>
      <c r="E248" s="201" t="s">
        <v>228</v>
      </c>
      <c r="F248" s="201">
        <v>952559</v>
      </c>
      <c r="G248" s="202">
        <v>4.9761857139999996</v>
      </c>
      <c r="H248" s="203"/>
      <c r="I248" s="204">
        <f t="shared" ref="I248" si="1039">G248+H248+K247</f>
        <v>-2.8572000001503284E-5</v>
      </c>
      <c r="J248" s="205"/>
      <c r="K248" s="215">
        <f t="shared" si="885"/>
        <v>-2.8572000001503284E-5</v>
      </c>
      <c r="L248" s="217">
        <f t="shared" si="888"/>
        <v>0</v>
      </c>
      <c r="M248" s="219" t="s">
        <v>32</v>
      </c>
      <c r="N248" s="84"/>
      <c r="O248" s="84"/>
      <c r="P248" s="84"/>
      <c r="Q248" s="84"/>
      <c r="R248" s="84"/>
      <c r="S248" s="758"/>
      <c r="T248" s="1137"/>
    </row>
    <row r="249" spans="1:20" ht="15" customHeight="1">
      <c r="A249" s="57">
        <v>231</v>
      </c>
      <c r="B249" s="169">
        <f t="shared" ref="B249" si="1040">+B247+$B$19</f>
        <v>116</v>
      </c>
      <c r="C249" s="176" t="s">
        <v>108</v>
      </c>
      <c r="D249" s="177" t="s">
        <v>38</v>
      </c>
      <c r="E249" s="178" t="s">
        <v>229</v>
      </c>
      <c r="F249" s="178">
        <v>954115</v>
      </c>
      <c r="G249" s="183">
        <v>8.6507857139999995</v>
      </c>
      <c r="H249" s="1123">
        <v>-13.627000000000001</v>
      </c>
      <c r="I249" s="79">
        <f t="shared" ref="I249" si="1041">G249+H249</f>
        <v>-4.9762142860000012</v>
      </c>
      <c r="J249" s="80"/>
      <c r="K249" s="214">
        <f t="shared" si="885"/>
        <v>-4.9762142860000012</v>
      </c>
      <c r="L249" s="216">
        <f t="shared" si="888"/>
        <v>0</v>
      </c>
      <c r="M249" s="218" t="s">
        <v>32</v>
      </c>
      <c r="N249" s="81">
        <f t="shared" ref="N249:O249" si="1042">G249+G250</f>
        <v>13.626971427999999</v>
      </c>
      <c r="O249" s="82">
        <f t="shared" si="1042"/>
        <v>-13.627000000000001</v>
      </c>
      <c r="P249" s="81">
        <f t="shared" ref="P249" si="1043">N249+O249</f>
        <v>-2.8572000001503284E-5</v>
      </c>
      <c r="Q249" s="83">
        <f t="shared" ref="Q249" si="1044">J249+J250</f>
        <v>0</v>
      </c>
      <c r="R249" s="81">
        <f t="shared" ref="R249" si="1045">P249-Q249</f>
        <v>-2.8572000001503284E-5</v>
      </c>
      <c r="S249" s="757">
        <f t="shared" ref="S249" si="1046">Q249/P249</f>
        <v>0</v>
      </c>
      <c r="T249" s="1136">
        <f t="shared" ref="T249:T271" si="1047">100%-(R249/N249)</f>
        <v>1.0000020967241439</v>
      </c>
    </row>
    <row r="250" spans="1:20" ht="15" customHeight="1" thickBot="1">
      <c r="A250" s="57">
        <v>232</v>
      </c>
      <c r="B250" s="169">
        <f t="shared" ref="B250" si="1048">+B248+$B$20</f>
        <v>116</v>
      </c>
      <c r="C250" s="199" t="s">
        <v>108</v>
      </c>
      <c r="D250" s="200" t="s">
        <v>102</v>
      </c>
      <c r="E250" s="201" t="s">
        <v>229</v>
      </c>
      <c r="F250" s="201">
        <v>954115</v>
      </c>
      <c r="G250" s="202">
        <v>4.9761857139999996</v>
      </c>
      <c r="H250" s="203"/>
      <c r="I250" s="204">
        <f t="shared" ref="I250" si="1049">G250+H250+K249</f>
        <v>-2.8572000001503284E-5</v>
      </c>
      <c r="J250" s="205"/>
      <c r="K250" s="215">
        <f t="shared" si="885"/>
        <v>-2.8572000001503284E-5</v>
      </c>
      <c r="L250" s="217">
        <f t="shared" si="888"/>
        <v>0</v>
      </c>
      <c r="M250" s="219" t="s">
        <v>32</v>
      </c>
      <c r="N250" s="84"/>
      <c r="O250" s="84"/>
      <c r="P250" s="84"/>
      <c r="Q250" s="84"/>
      <c r="R250" s="84"/>
      <c r="S250" s="758"/>
      <c r="T250" s="1137"/>
    </row>
    <row r="251" spans="1:20" ht="15" customHeight="1">
      <c r="A251" s="57">
        <v>233</v>
      </c>
      <c r="B251" s="169">
        <f t="shared" ref="B251" si="1050">+B249+$B$19</f>
        <v>117</v>
      </c>
      <c r="C251" s="176" t="s">
        <v>108</v>
      </c>
      <c r="D251" s="177" t="s">
        <v>38</v>
      </c>
      <c r="E251" s="178" t="s">
        <v>230</v>
      </c>
      <c r="F251" s="178">
        <v>965998</v>
      </c>
      <c r="G251" s="183">
        <v>8.6507857139999995</v>
      </c>
      <c r="H251" s="1123">
        <v>-13.627000000000001</v>
      </c>
      <c r="I251" s="79">
        <f t="shared" ref="I251" si="1051">G251+H251</f>
        <v>-4.9762142860000012</v>
      </c>
      <c r="J251" s="80"/>
      <c r="K251" s="214">
        <f t="shared" si="885"/>
        <v>-4.9762142860000012</v>
      </c>
      <c r="L251" s="216">
        <f t="shared" si="888"/>
        <v>0</v>
      </c>
      <c r="M251" s="218" t="s">
        <v>32</v>
      </c>
      <c r="N251" s="81">
        <f t="shared" ref="N251:O251" si="1052">G251+G252</f>
        <v>13.626971427999999</v>
      </c>
      <c r="O251" s="82">
        <f t="shared" si="1052"/>
        <v>-13.627000000000001</v>
      </c>
      <c r="P251" s="81">
        <f t="shared" ref="P251" si="1053">N251+O251</f>
        <v>-2.8572000001503284E-5</v>
      </c>
      <c r="Q251" s="83">
        <f t="shared" ref="Q251" si="1054">J251+J252</f>
        <v>0</v>
      </c>
      <c r="R251" s="81">
        <f t="shared" ref="R251" si="1055">P251-Q251</f>
        <v>-2.8572000001503284E-5</v>
      </c>
      <c r="S251" s="757">
        <f t="shared" ref="S251" si="1056">Q251/P251</f>
        <v>0</v>
      </c>
      <c r="T251" s="1136">
        <f t="shared" si="1047"/>
        <v>1.0000020967241439</v>
      </c>
    </row>
    <row r="252" spans="1:20" ht="15" customHeight="1" thickBot="1">
      <c r="A252" s="57">
        <v>234</v>
      </c>
      <c r="B252" s="169">
        <f t="shared" ref="B252" si="1057">+B250+$B$20</f>
        <v>117</v>
      </c>
      <c r="C252" s="199" t="s">
        <v>108</v>
      </c>
      <c r="D252" s="200" t="s">
        <v>102</v>
      </c>
      <c r="E252" s="201" t="s">
        <v>230</v>
      </c>
      <c r="F252" s="201">
        <v>965998</v>
      </c>
      <c r="G252" s="202">
        <v>4.9761857139999996</v>
      </c>
      <c r="H252" s="203"/>
      <c r="I252" s="204">
        <f t="shared" ref="I252" si="1058">G252+H252+K251</f>
        <v>-2.8572000001503284E-5</v>
      </c>
      <c r="J252" s="205"/>
      <c r="K252" s="215">
        <f t="shared" si="885"/>
        <v>-2.8572000001503284E-5</v>
      </c>
      <c r="L252" s="217">
        <f t="shared" si="888"/>
        <v>0</v>
      </c>
      <c r="M252" s="219" t="s">
        <v>32</v>
      </c>
      <c r="N252" s="84"/>
      <c r="O252" s="84"/>
      <c r="P252" s="84"/>
      <c r="Q252" s="84"/>
      <c r="R252" s="84"/>
      <c r="S252" s="758"/>
      <c r="T252" s="1137"/>
    </row>
    <row r="253" spans="1:20" ht="15" customHeight="1">
      <c r="A253" s="57">
        <v>235</v>
      </c>
      <c r="B253" s="169">
        <f t="shared" ref="B253" si="1059">+B251+$B$19</f>
        <v>118</v>
      </c>
      <c r="C253" s="176" t="s">
        <v>108</v>
      </c>
      <c r="D253" s="177" t="s">
        <v>38</v>
      </c>
      <c r="E253" s="178" t="s">
        <v>231</v>
      </c>
      <c r="F253" s="178">
        <v>903728</v>
      </c>
      <c r="G253" s="183">
        <v>8.6507857139999995</v>
      </c>
      <c r="H253" s="1123">
        <v>-13.627000000000001</v>
      </c>
      <c r="I253" s="79">
        <f t="shared" ref="I253" si="1060">G253+H253</f>
        <v>-4.9762142860000012</v>
      </c>
      <c r="J253" s="80"/>
      <c r="K253" s="214">
        <f t="shared" si="885"/>
        <v>-4.9762142860000012</v>
      </c>
      <c r="L253" s="216">
        <f t="shared" si="888"/>
        <v>0</v>
      </c>
      <c r="M253" s="218" t="s">
        <v>32</v>
      </c>
      <c r="N253" s="81">
        <f t="shared" ref="N253:O253" si="1061">G253+G254</f>
        <v>13.626971427999999</v>
      </c>
      <c r="O253" s="82">
        <f t="shared" si="1061"/>
        <v>-13.627000000000001</v>
      </c>
      <c r="P253" s="81">
        <f t="shared" ref="P253" si="1062">N253+O253</f>
        <v>-2.8572000001503284E-5</v>
      </c>
      <c r="Q253" s="83">
        <f t="shared" ref="Q253" si="1063">J253+J254</f>
        <v>0</v>
      </c>
      <c r="R253" s="81">
        <f t="shared" ref="R253" si="1064">P253-Q253</f>
        <v>-2.8572000001503284E-5</v>
      </c>
      <c r="S253" s="757">
        <f t="shared" ref="S253" si="1065">Q253/P253</f>
        <v>0</v>
      </c>
      <c r="T253" s="1136">
        <f t="shared" si="1047"/>
        <v>1.0000020967241439</v>
      </c>
    </row>
    <row r="254" spans="1:20" ht="15" customHeight="1" thickBot="1">
      <c r="A254" s="57">
        <v>236</v>
      </c>
      <c r="B254" s="169">
        <f t="shared" ref="B254" si="1066">+B252+$B$20</f>
        <v>118</v>
      </c>
      <c r="C254" s="199" t="s">
        <v>108</v>
      </c>
      <c r="D254" s="200" t="s">
        <v>102</v>
      </c>
      <c r="E254" s="201" t="s">
        <v>231</v>
      </c>
      <c r="F254" s="201">
        <v>903728</v>
      </c>
      <c r="G254" s="202">
        <v>4.9761857139999996</v>
      </c>
      <c r="H254" s="203"/>
      <c r="I254" s="204">
        <f t="shared" ref="I254" si="1067">G254+H254+K253</f>
        <v>-2.8572000001503284E-5</v>
      </c>
      <c r="J254" s="205"/>
      <c r="K254" s="215">
        <f t="shared" si="885"/>
        <v>-2.8572000001503284E-5</v>
      </c>
      <c r="L254" s="217">
        <f t="shared" si="888"/>
        <v>0</v>
      </c>
      <c r="M254" s="219" t="s">
        <v>32</v>
      </c>
      <c r="N254" s="84"/>
      <c r="O254" s="84"/>
      <c r="P254" s="84"/>
      <c r="Q254" s="84"/>
      <c r="R254" s="84"/>
      <c r="S254" s="758"/>
      <c r="T254" s="1137"/>
    </row>
    <row r="255" spans="1:20" ht="15" customHeight="1">
      <c r="A255" s="57">
        <v>237</v>
      </c>
      <c r="B255" s="169">
        <f t="shared" ref="B255" si="1068">+B253+$B$19</f>
        <v>119</v>
      </c>
      <c r="C255" s="176" t="s">
        <v>108</v>
      </c>
      <c r="D255" s="177" t="s">
        <v>38</v>
      </c>
      <c r="E255" s="178" t="s">
        <v>232</v>
      </c>
      <c r="F255" s="178">
        <v>964820</v>
      </c>
      <c r="G255" s="183">
        <v>8.6507857139999995</v>
      </c>
      <c r="H255" s="78"/>
      <c r="I255" s="79">
        <f t="shared" ref="I255" si="1069">G255+H255</f>
        <v>8.6507857139999995</v>
      </c>
      <c r="J255" s="80"/>
      <c r="K255" s="214">
        <f t="shared" si="885"/>
        <v>8.6507857139999995</v>
      </c>
      <c r="L255" s="216">
        <f t="shared" si="888"/>
        <v>0</v>
      </c>
      <c r="M255" s="218" t="s">
        <v>32</v>
      </c>
      <c r="N255" s="81">
        <f t="shared" ref="N255:O255" si="1070">G255+G256</f>
        <v>13.626971427999999</v>
      </c>
      <c r="O255" s="82">
        <f t="shared" si="1070"/>
        <v>0</v>
      </c>
      <c r="P255" s="81">
        <f t="shared" ref="P255" si="1071">N255+O255</f>
        <v>13.626971427999999</v>
      </c>
      <c r="Q255" s="83">
        <f t="shared" ref="Q255" si="1072">J255+J256</f>
        <v>0</v>
      </c>
      <c r="R255" s="81">
        <f t="shared" ref="R255" si="1073">P255-Q255</f>
        <v>13.626971427999999</v>
      </c>
      <c r="S255" s="757">
        <f t="shared" ref="S255" si="1074">Q255/P255</f>
        <v>0</v>
      </c>
      <c r="T255" s="1136">
        <f t="shared" si="1047"/>
        <v>0</v>
      </c>
    </row>
    <row r="256" spans="1:20" ht="15" customHeight="1" thickBot="1">
      <c r="A256" s="57">
        <v>238</v>
      </c>
      <c r="B256" s="169">
        <f t="shared" ref="B256" si="1075">+B254+$B$20</f>
        <v>119</v>
      </c>
      <c r="C256" s="199" t="s">
        <v>108</v>
      </c>
      <c r="D256" s="200" t="s">
        <v>102</v>
      </c>
      <c r="E256" s="201" t="s">
        <v>232</v>
      </c>
      <c r="F256" s="201">
        <v>964820</v>
      </c>
      <c r="G256" s="202">
        <v>4.9761857139999996</v>
      </c>
      <c r="H256" s="203"/>
      <c r="I256" s="204">
        <f t="shared" ref="I256" si="1076">G256+H256+K255</f>
        <v>13.626971427999999</v>
      </c>
      <c r="J256" s="205"/>
      <c r="K256" s="215">
        <f t="shared" si="885"/>
        <v>13.626971427999999</v>
      </c>
      <c r="L256" s="217">
        <f t="shared" si="888"/>
        <v>0</v>
      </c>
      <c r="M256" s="219" t="s">
        <v>32</v>
      </c>
      <c r="N256" s="84"/>
      <c r="O256" s="84"/>
      <c r="P256" s="84"/>
      <c r="Q256" s="84"/>
      <c r="R256" s="84"/>
      <c r="S256" s="758"/>
      <c r="T256" s="1137"/>
    </row>
    <row r="257" spans="1:20" ht="15" customHeight="1">
      <c r="A257" s="57">
        <v>239</v>
      </c>
      <c r="B257" s="169">
        <f t="shared" ref="B257" si="1077">+B255+$B$19</f>
        <v>120</v>
      </c>
      <c r="C257" s="176" t="s">
        <v>108</v>
      </c>
      <c r="D257" s="177" t="s">
        <v>38</v>
      </c>
      <c r="E257" s="178" t="s">
        <v>233</v>
      </c>
      <c r="F257" s="178">
        <v>951906</v>
      </c>
      <c r="G257" s="183">
        <v>8.6507857139999995</v>
      </c>
      <c r="H257" s="1127">
        <v>-13.5</v>
      </c>
      <c r="I257" s="79">
        <f t="shared" ref="I257" si="1078">G257+H257</f>
        <v>-4.8492142860000005</v>
      </c>
      <c r="J257" s="80"/>
      <c r="K257" s="214">
        <f t="shared" si="885"/>
        <v>-4.8492142860000005</v>
      </c>
      <c r="L257" s="216">
        <f t="shared" si="888"/>
        <v>0</v>
      </c>
      <c r="M257" s="218" t="s">
        <v>32</v>
      </c>
      <c r="N257" s="81">
        <f t="shared" ref="N257:O257" si="1079">G257+G258</f>
        <v>13.626971427999999</v>
      </c>
      <c r="O257" s="82">
        <f t="shared" si="1079"/>
        <v>-13.5</v>
      </c>
      <c r="P257" s="81">
        <f t="shared" ref="P257" si="1080">N257+O257</f>
        <v>0.12697142799999916</v>
      </c>
      <c r="Q257" s="83">
        <f t="shared" ref="Q257" si="1081">J257+J258</f>
        <v>0</v>
      </c>
      <c r="R257" s="81">
        <f t="shared" ref="R257" si="1082">P257-Q257</f>
        <v>0.12697142799999916</v>
      </c>
      <c r="S257" s="757">
        <f t="shared" ref="S257" si="1083">Q257/P257</f>
        <v>0</v>
      </c>
      <c r="T257" s="1136">
        <f t="shared" si="1047"/>
        <v>0.99068234429998847</v>
      </c>
    </row>
    <row r="258" spans="1:20" ht="15" customHeight="1" thickBot="1">
      <c r="A258" s="57">
        <v>240</v>
      </c>
      <c r="B258" s="169">
        <f t="shared" ref="B258" si="1084">+B256+$B$20</f>
        <v>120</v>
      </c>
      <c r="C258" s="199" t="s">
        <v>108</v>
      </c>
      <c r="D258" s="200" t="s">
        <v>102</v>
      </c>
      <c r="E258" s="201" t="s">
        <v>233</v>
      </c>
      <c r="F258" s="201">
        <v>951906</v>
      </c>
      <c r="G258" s="202">
        <v>4.9761857139999996</v>
      </c>
      <c r="H258" s="203"/>
      <c r="I258" s="204">
        <f t="shared" ref="I258" si="1085">G258+H258+K257</f>
        <v>0.12697142799999916</v>
      </c>
      <c r="J258" s="205"/>
      <c r="K258" s="215">
        <f t="shared" si="885"/>
        <v>0.12697142799999916</v>
      </c>
      <c r="L258" s="217">
        <f t="shared" si="888"/>
        <v>0</v>
      </c>
      <c r="M258" s="219" t="s">
        <v>32</v>
      </c>
      <c r="N258" s="84"/>
      <c r="O258" s="84"/>
      <c r="P258" s="84"/>
      <c r="Q258" s="84"/>
      <c r="R258" s="84"/>
      <c r="S258" s="758"/>
      <c r="T258" s="1137"/>
    </row>
    <row r="259" spans="1:20" ht="15" customHeight="1">
      <c r="A259" s="57">
        <v>241</v>
      </c>
      <c r="B259" s="169">
        <f t="shared" ref="B259" si="1086">+B257+$B$19</f>
        <v>121</v>
      </c>
      <c r="C259" s="176" t="s">
        <v>108</v>
      </c>
      <c r="D259" s="177" t="s">
        <v>38</v>
      </c>
      <c r="E259" s="178" t="s">
        <v>234</v>
      </c>
      <c r="F259" s="178">
        <v>951069</v>
      </c>
      <c r="G259" s="183">
        <v>8.6507857139999995</v>
      </c>
      <c r="H259" s="1123">
        <v>-13.627000000000001</v>
      </c>
      <c r="I259" s="79">
        <f t="shared" ref="I259" si="1087">G259+H259</f>
        <v>-4.9762142860000012</v>
      </c>
      <c r="J259" s="80"/>
      <c r="K259" s="214">
        <f t="shared" si="885"/>
        <v>-4.9762142860000012</v>
      </c>
      <c r="L259" s="216">
        <f t="shared" si="888"/>
        <v>0</v>
      </c>
      <c r="M259" s="218" t="s">
        <v>32</v>
      </c>
      <c r="N259" s="81">
        <f t="shared" ref="N259:O259" si="1088">G259+G260</f>
        <v>13.626971427999999</v>
      </c>
      <c r="O259" s="82">
        <f t="shared" si="1088"/>
        <v>-13.627000000000001</v>
      </c>
      <c r="P259" s="81">
        <f t="shared" ref="P259" si="1089">N259+O259</f>
        <v>-2.8572000001503284E-5</v>
      </c>
      <c r="Q259" s="83">
        <f t="shared" ref="Q259" si="1090">J259+J260</f>
        <v>0</v>
      </c>
      <c r="R259" s="81">
        <f t="shared" ref="R259" si="1091">P259-Q259</f>
        <v>-2.8572000001503284E-5</v>
      </c>
      <c r="S259" s="757">
        <f t="shared" ref="S259" si="1092">Q259/P259</f>
        <v>0</v>
      </c>
      <c r="T259" s="1136">
        <f t="shared" si="1047"/>
        <v>1.0000020967241439</v>
      </c>
    </row>
    <row r="260" spans="1:20" ht="15" customHeight="1" thickBot="1">
      <c r="A260" s="57">
        <v>242</v>
      </c>
      <c r="B260" s="169">
        <f t="shared" ref="B260" si="1093">+B258+$B$20</f>
        <v>121</v>
      </c>
      <c r="C260" s="199" t="s">
        <v>108</v>
      </c>
      <c r="D260" s="200" t="s">
        <v>102</v>
      </c>
      <c r="E260" s="201" t="s">
        <v>234</v>
      </c>
      <c r="F260" s="201">
        <v>951069</v>
      </c>
      <c r="G260" s="202">
        <v>4.9761857139999996</v>
      </c>
      <c r="H260" s="203"/>
      <c r="I260" s="204">
        <f t="shared" ref="I260" si="1094">G260+H260+K259</f>
        <v>-2.8572000001503284E-5</v>
      </c>
      <c r="J260" s="205"/>
      <c r="K260" s="215">
        <f t="shared" si="885"/>
        <v>-2.8572000001503284E-5</v>
      </c>
      <c r="L260" s="217">
        <f t="shared" si="888"/>
        <v>0</v>
      </c>
      <c r="M260" s="219" t="s">
        <v>32</v>
      </c>
      <c r="N260" s="84"/>
      <c r="O260" s="84"/>
      <c r="P260" s="84"/>
      <c r="Q260" s="84"/>
      <c r="R260" s="84"/>
      <c r="S260" s="758"/>
      <c r="T260" s="1137"/>
    </row>
    <row r="261" spans="1:20" ht="15" customHeight="1">
      <c r="A261" s="57">
        <v>243</v>
      </c>
      <c r="B261" s="169">
        <f t="shared" ref="B261" si="1095">+B259+$B$19</f>
        <v>122</v>
      </c>
      <c r="C261" s="176" t="s">
        <v>108</v>
      </c>
      <c r="D261" s="177" t="s">
        <v>38</v>
      </c>
      <c r="E261" s="178" t="s">
        <v>235</v>
      </c>
      <c r="F261" s="178">
        <v>965847</v>
      </c>
      <c r="G261" s="183">
        <v>8.6507857139999995</v>
      </c>
      <c r="H261" s="1123">
        <v>-13.627000000000001</v>
      </c>
      <c r="I261" s="79">
        <f t="shared" ref="I261" si="1096">G261+H261</f>
        <v>-4.9762142860000012</v>
      </c>
      <c r="J261" s="80"/>
      <c r="K261" s="214">
        <f t="shared" si="885"/>
        <v>-4.9762142860000012</v>
      </c>
      <c r="L261" s="216">
        <f t="shared" si="888"/>
        <v>0</v>
      </c>
      <c r="M261" s="218" t="s">
        <v>32</v>
      </c>
      <c r="N261" s="81">
        <f t="shared" ref="N261:O261" si="1097">G261+G262</f>
        <v>13.626971427999999</v>
      </c>
      <c r="O261" s="82">
        <f t="shared" si="1097"/>
        <v>-13.627000000000001</v>
      </c>
      <c r="P261" s="81">
        <f t="shared" ref="P261" si="1098">N261+O261</f>
        <v>-2.8572000001503284E-5</v>
      </c>
      <c r="Q261" s="83">
        <f t="shared" ref="Q261" si="1099">J261+J262</f>
        <v>0</v>
      </c>
      <c r="R261" s="81">
        <f t="shared" ref="R261" si="1100">P261-Q261</f>
        <v>-2.8572000001503284E-5</v>
      </c>
      <c r="S261" s="757">
        <f t="shared" ref="S261" si="1101">Q261/P261</f>
        <v>0</v>
      </c>
      <c r="T261" s="1136">
        <f t="shared" si="1047"/>
        <v>1.0000020967241439</v>
      </c>
    </row>
    <row r="262" spans="1:20" ht="15" customHeight="1" thickBot="1">
      <c r="A262" s="57">
        <v>244</v>
      </c>
      <c r="B262" s="169">
        <f t="shared" ref="B262" si="1102">+B260+$B$20</f>
        <v>122</v>
      </c>
      <c r="C262" s="199" t="s">
        <v>108</v>
      </c>
      <c r="D262" s="200" t="s">
        <v>102</v>
      </c>
      <c r="E262" s="201" t="s">
        <v>235</v>
      </c>
      <c r="F262" s="201">
        <v>965847</v>
      </c>
      <c r="G262" s="202">
        <v>4.9761857139999996</v>
      </c>
      <c r="H262" s="203"/>
      <c r="I262" s="204">
        <f t="shared" ref="I262" si="1103">G262+H262+K261</f>
        <v>-2.8572000001503284E-5</v>
      </c>
      <c r="J262" s="205"/>
      <c r="K262" s="215">
        <f t="shared" si="885"/>
        <v>-2.8572000001503284E-5</v>
      </c>
      <c r="L262" s="217">
        <f t="shared" si="888"/>
        <v>0</v>
      </c>
      <c r="M262" s="219" t="s">
        <v>32</v>
      </c>
      <c r="N262" s="84"/>
      <c r="O262" s="84"/>
      <c r="P262" s="84"/>
      <c r="Q262" s="84"/>
      <c r="R262" s="84"/>
      <c r="S262" s="758"/>
      <c r="T262" s="1137"/>
    </row>
    <row r="263" spans="1:20" ht="15" customHeight="1">
      <c r="A263" s="57">
        <v>245</v>
      </c>
      <c r="B263" s="169">
        <f t="shared" ref="B263" si="1104">+B261+$B$19</f>
        <v>123</v>
      </c>
      <c r="C263" s="176" t="s">
        <v>108</v>
      </c>
      <c r="D263" s="177" t="s">
        <v>38</v>
      </c>
      <c r="E263" s="178" t="s">
        <v>236</v>
      </c>
      <c r="F263" s="178">
        <v>900780</v>
      </c>
      <c r="G263" s="183">
        <v>8.6507857139999995</v>
      </c>
      <c r="H263" s="1123">
        <v>-13.627000000000001</v>
      </c>
      <c r="I263" s="79">
        <f t="shared" ref="I263" si="1105">G263+H263</f>
        <v>-4.9762142860000012</v>
      </c>
      <c r="J263" s="80"/>
      <c r="K263" s="214">
        <f t="shared" si="885"/>
        <v>-4.9762142860000012</v>
      </c>
      <c r="L263" s="216">
        <f t="shared" si="888"/>
        <v>0</v>
      </c>
      <c r="M263" s="218" t="s">
        <v>32</v>
      </c>
      <c r="N263" s="81">
        <f t="shared" ref="N263:O263" si="1106">G263+G264</f>
        <v>13.626971427999999</v>
      </c>
      <c r="O263" s="82">
        <f t="shared" si="1106"/>
        <v>-13.627000000000001</v>
      </c>
      <c r="P263" s="81">
        <f t="shared" ref="P263" si="1107">N263+O263</f>
        <v>-2.8572000001503284E-5</v>
      </c>
      <c r="Q263" s="83">
        <f t="shared" ref="Q263" si="1108">J263+J264</f>
        <v>0</v>
      </c>
      <c r="R263" s="81">
        <f t="shared" ref="R263" si="1109">P263-Q263</f>
        <v>-2.8572000001503284E-5</v>
      </c>
      <c r="S263" s="757">
        <f t="shared" ref="S263" si="1110">Q263/P263</f>
        <v>0</v>
      </c>
      <c r="T263" s="1136">
        <f t="shared" si="1047"/>
        <v>1.0000020967241439</v>
      </c>
    </row>
    <row r="264" spans="1:20" ht="15" customHeight="1" thickBot="1">
      <c r="A264" s="57">
        <v>246</v>
      </c>
      <c r="B264" s="169">
        <f t="shared" ref="B264" si="1111">+B262+$B$20</f>
        <v>123</v>
      </c>
      <c r="C264" s="199" t="s">
        <v>108</v>
      </c>
      <c r="D264" s="200" t="s">
        <v>102</v>
      </c>
      <c r="E264" s="201" t="s">
        <v>236</v>
      </c>
      <c r="F264" s="201">
        <v>900780</v>
      </c>
      <c r="G264" s="202">
        <v>4.9761857139999996</v>
      </c>
      <c r="H264" s="203"/>
      <c r="I264" s="204">
        <f t="shared" ref="I264" si="1112">G264+H264+K263</f>
        <v>-2.8572000001503284E-5</v>
      </c>
      <c r="J264" s="205"/>
      <c r="K264" s="215">
        <f t="shared" si="885"/>
        <v>-2.8572000001503284E-5</v>
      </c>
      <c r="L264" s="217">
        <f t="shared" si="888"/>
        <v>0</v>
      </c>
      <c r="M264" s="219" t="s">
        <v>32</v>
      </c>
      <c r="N264" s="84"/>
      <c r="O264" s="84"/>
      <c r="P264" s="84"/>
      <c r="Q264" s="84"/>
      <c r="R264" s="84"/>
      <c r="S264" s="758"/>
      <c r="T264" s="1137"/>
    </row>
    <row r="265" spans="1:20" ht="15" customHeight="1">
      <c r="A265" s="57">
        <v>247</v>
      </c>
      <c r="B265" s="169">
        <f t="shared" ref="B265" si="1113">+B263+$B$19</f>
        <v>124</v>
      </c>
      <c r="C265" s="176" t="s">
        <v>108</v>
      </c>
      <c r="D265" s="177" t="s">
        <v>38</v>
      </c>
      <c r="E265" s="178" t="s">
        <v>237</v>
      </c>
      <c r="F265" s="178">
        <v>918523</v>
      </c>
      <c r="G265" s="183">
        <v>8.6507857139999995</v>
      </c>
      <c r="H265" s="1127">
        <v>-13</v>
      </c>
      <c r="I265" s="79">
        <f t="shared" ref="I265" si="1114">G265+H265</f>
        <v>-4.3492142860000005</v>
      </c>
      <c r="J265" s="80"/>
      <c r="K265" s="214">
        <f t="shared" si="885"/>
        <v>-4.3492142860000005</v>
      </c>
      <c r="L265" s="216">
        <f t="shared" si="888"/>
        <v>0</v>
      </c>
      <c r="M265" s="218" t="s">
        <v>32</v>
      </c>
      <c r="N265" s="81">
        <f t="shared" ref="N265:O265" si="1115">G265+G266</f>
        <v>13.626971427999999</v>
      </c>
      <c r="O265" s="82">
        <f t="shared" si="1115"/>
        <v>-13</v>
      </c>
      <c r="P265" s="81">
        <f t="shared" ref="P265" si="1116">N265+O265</f>
        <v>0.62697142799999916</v>
      </c>
      <c r="Q265" s="83">
        <f t="shared" ref="Q265" si="1117">J265+J266</f>
        <v>0</v>
      </c>
      <c r="R265" s="81">
        <f t="shared" ref="R265" si="1118">P265-Q265</f>
        <v>0.62697142799999916</v>
      </c>
      <c r="S265" s="757">
        <f t="shared" ref="S265" si="1119">Q265/P265</f>
        <v>0</v>
      </c>
      <c r="T265" s="1136">
        <f t="shared" si="1047"/>
        <v>0.95399040562221105</v>
      </c>
    </row>
    <row r="266" spans="1:20" ht="15" customHeight="1" thickBot="1">
      <c r="A266" s="57">
        <v>248</v>
      </c>
      <c r="B266" s="169">
        <f t="shared" ref="B266" si="1120">+B264+$B$20</f>
        <v>124</v>
      </c>
      <c r="C266" s="199" t="s">
        <v>108</v>
      </c>
      <c r="D266" s="200" t="s">
        <v>102</v>
      </c>
      <c r="E266" s="201" t="s">
        <v>237</v>
      </c>
      <c r="F266" s="201">
        <v>918523</v>
      </c>
      <c r="G266" s="202">
        <v>4.9761857139999996</v>
      </c>
      <c r="H266" s="203"/>
      <c r="I266" s="204">
        <f t="shared" ref="I266" si="1121">G266+H266+K265</f>
        <v>0.62697142799999916</v>
      </c>
      <c r="J266" s="205"/>
      <c r="K266" s="215">
        <f t="shared" si="885"/>
        <v>0.62697142799999916</v>
      </c>
      <c r="L266" s="217">
        <f t="shared" si="888"/>
        <v>0</v>
      </c>
      <c r="M266" s="219" t="s">
        <v>32</v>
      </c>
      <c r="N266" s="84"/>
      <c r="O266" s="84"/>
      <c r="P266" s="84"/>
      <c r="Q266" s="84"/>
      <c r="R266" s="84"/>
      <c r="S266" s="758"/>
      <c r="T266" s="1137"/>
    </row>
    <row r="267" spans="1:20" ht="15" customHeight="1">
      <c r="A267" s="57">
        <v>249</v>
      </c>
      <c r="B267" s="169">
        <f t="shared" ref="B267" si="1122">+B265+$B$19</f>
        <v>125</v>
      </c>
      <c r="C267" s="176" t="s">
        <v>108</v>
      </c>
      <c r="D267" s="177" t="s">
        <v>38</v>
      </c>
      <c r="E267" s="178" t="s">
        <v>238</v>
      </c>
      <c r="F267" s="178">
        <v>951031</v>
      </c>
      <c r="G267" s="183">
        <v>8.6507857139999995</v>
      </c>
      <c r="H267" s="1123">
        <v>-13.627000000000001</v>
      </c>
      <c r="I267" s="79">
        <f t="shared" ref="I267" si="1123">G267+H267</f>
        <v>-4.9762142860000012</v>
      </c>
      <c r="J267" s="80"/>
      <c r="K267" s="214">
        <f>I267-J267</f>
        <v>-4.9762142860000012</v>
      </c>
      <c r="L267" s="216">
        <f t="shared" si="888"/>
        <v>0</v>
      </c>
      <c r="M267" s="218" t="s">
        <v>32</v>
      </c>
      <c r="N267" s="81">
        <f t="shared" ref="N267:O267" si="1124">G267+G268</f>
        <v>13.626971427999999</v>
      </c>
      <c r="O267" s="82">
        <f t="shared" si="1124"/>
        <v>-13.627000000000001</v>
      </c>
      <c r="P267" s="81">
        <f t="shared" ref="P267" si="1125">N267+O267</f>
        <v>-2.8572000001503284E-5</v>
      </c>
      <c r="Q267" s="83">
        <f t="shared" ref="Q267" si="1126">J267+J268</f>
        <v>0</v>
      </c>
      <c r="R267" s="81">
        <f t="shared" ref="R267" si="1127">P267-Q267</f>
        <v>-2.8572000001503284E-5</v>
      </c>
      <c r="S267" s="757">
        <f t="shared" ref="S267" si="1128">Q267/P267</f>
        <v>0</v>
      </c>
      <c r="T267" s="1136">
        <f t="shared" si="1047"/>
        <v>1.0000020967241439</v>
      </c>
    </row>
    <row r="268" spans="1:20" ht="15" customHeight="1" thickBot="1">
      <c r="A268" s="57">
        <v>250</v>
      </c>
      <c r="B268" s="169">
        <f t="shared" ref="B268" si="1129">+B266+$B$20</f>
        <v>125</v>
      </c>
      <c r="C268" s="199" t="s">
        <v>108</v>
      </c>
      <c r="D268" s="200" t="s">
        <v>102</v>
      </c>
      <c r="E268" s="201" t="s">
        <v>238</v>
      </c>
      <c r="F268" s="201">
        <v>951031</v>
      </c>
      <c r="G268" s="202">
        <v>4.9761857139999996</v>
      </c>
      <c r="H268" s="203"/>
      <c r="I268" s="204">
        <f t="shared" ref="I268" si="1130">G268+H268+K267</f>
        <v>-2.8572000001503284E-5</v>
      </c>
      <c r="J268" s="205"/>
      <c r="K268" s="215">
        <f t="shared" si="885"/>
        <v>-2.8572000001503284E-5</v>
      </c>
      <c r="L268" s="217">
        <f t="shared" si="888"/>
        <v>0</v>
      </c>
      <c r="M268" s="219" t="s">
        <v>32</v>
      </c>
      <c r="N268" s="84"/>
      <c r="O268" s="84"/>
      <c r="P268" s="84"/>
      <c r="Q268" s="84"/>
      <c r="R268" s="84"/>
      <c r="S268" s="758"/>
      <c r="T268" s="1137"/>
    </row>
    <row r="269" spans="1:20" ht="15" customHeight="1">
      <c r="A269" s="57">
        <v>251</v>
      </c>
      <c r="B269" s="169">
        <f t="shared" ref="B269" si="1131">+B267+$B$19</f>
        <v>126</v>
      </c>
      <c r="C269" s="176" t="s">
        <v>108</v>
      </c>
      <c r="D269" s="177" t="s">
        <v>38</v>
      </c>
      <c r="E269" s="178" t="s">
        <v>239</v>
      </c>
      <c r="F269" s="178">
        <v>924063</v>
      </c>
      <c r="G269" s="183">
        <v>8.6507857139999995</v>
      </c>
      <c r="H269" s="78"/>
      <c r="I269" s="79">
        <f t="shared" ref="I269" si="1132">G269+H269</f>
        <v>8.6507857139999995</v>
      </c>
      <c r="J269" s="80"/>
      <c r="K269" s="214">
        <f t="shared" si="885"/>
        <v>8.6507857139999995</v>
      </c>
      <c r="L269" s="216">
        <f t="shared" si="888"/>
        <v>0</v>
      </c>
      <c r="M269" s="218" t="s">
        <v>32</v>
      </c>
      <c r="N269" s="81">
        <f t="shared" ref="N269:O269" si="1133">G269+G270</f>
        <v>13.626971427999999</v>
      </c>
      <c r="O269" s="82">
        <f t="shared" si="1133"/>
        <v>0</v>
      </c>
      <c r="P269" s="81">
        <f t="shared" ref="P269" si="1134">N269+O269</f>
        <v>13.626971427999999</v>
      </c>
      <c r="Q269" s="83">
        <f t="shared" ref="Q269" si="1135">J269+J270</f>
        <v>0</v>
      </c>
      <c r="R269" s="81">
        <f>P269-Q269</f>
        <v>13.626971427999999</v>
      </c>
      <c r="S269" s="757">
        <f t="shared" ref="S269" si="1136">Q269/P269</f>
        <v>0</v>
      </c>
      <c r="T269" s="1136">
        <f t="shared" si="1047"/>
        <v>0</v>
      </c>
    </row>
    <row r="270" spans="1:20" ht="15" customHeight="1" thickBot="1">
      <c r="A270" s="57">
        <v>252</v>
      </c>
      <c r="B270" s="169">
        <f t="shared" ref="B270" si="1137">+B268+$B$20</f>
        <v>126</v>
      </c>
      <c r="C270" s="199" t="s">
        <v>108</v>
      </c>
      <c r="D270" s="200" t="s">
        <v>102</v>
      </c>
      <c r="E270" s="201" t="s">
        <v>239</v>
      </c>
      <c r="F270" s="201">
        <v>924063</v>
      </c>
      <c r="G270" s="202">
        <v>4.9761857139999996</v>
      </c>
      <c r="H270" s="203"/>
      <c r="I270" s="204">
        <f t="shared" ref="I270:I272" si="1138">G270+H270+K269</f>
        <v>13.626971427999999</v>
      </c>
      <c r="J270" s="205"/>
      <c r="K270" s="215">
        <f t="shared" si="885"/>
        <v>13.626971427999999</v>
      </c>
      <c r="L270" s="217">
        <f t="shared" si="888"/>
        <v>0</v>
      </c>
      <c r="M270" s="219" t="s">
        <v>32</v>
      </c>
      <c r="N270" s="84"/>
      <c r="O270" s="84"/>
      <c r="P270" s="84"/>
      <c r="Q270" s="84"/>
      <c r="R270" s="84"/>
      <c r="S270" s="758"/>
      <c r="T270" s="1137"/>
    </row>
    <row r="271" spans="1:20" ht="15" customHeight="1" thickBot="1">
      <c r="C271" s="744" t="s">
        <v>67</v>
      </c>
      <c r="D271" s="745"/>
      <c r="E271" s="746"/>
      <c r="F271" s="206" t="s">
        <v>84</v>
      </c>
      <c r="G271" s="206">
        <f>+G19+G21+G23+G25+G27+G29+G31+G33+G35+G37+G39+G41+G43+G45+G47+G49+G51+G53+G55+G57+G59+G61+G63+G65+G67+G69+G71+G73+G75+G77+G79+G81+G83+G85+G87+G89+G91+G93+G95+G97+G99+G101+G103+G105+G107+G109+G111+G113+G115+G117+G119+G121+G123+G125+G127+G129+G131+G133+G135+G137+G139+G141+G143+G145+G147+G149+G151+G153+G155+G157+G159+G161+G163+G165+G167+G169+G171+G173+G175+G177+G179+G181+G183+G185+G187+G189+G191+G193+G195+G197+G199+G231+G201+G203+G205+G207+G209+G211+G213+G215+G217+G219+G221+G223+G225+G227+G229+G233+G235+G237+G239+G241+G243+G245+G247+G249+G251+G253+G257+G255+G259+G261++G263+G265+G267+G269</f>
        <v>1089.9989999639995</v>
      </c>
      <c r="H271" s="1125">
        <f>+H19+H21+H23+H25+H27+H29+H31+H33+H35+H37+H39+H41+H43+H45+H47+H49+H51+H53+H55+H57+H59+H61+H63+H65+H67+H69+H71+H73+H75+H77+H79+H81+H83+H85+H87+H89+H91+H93+H95+H97+H99+H101+H103+H105+H107+H109+H111+H113+H115+H117+H119+H121+H123+H125+H127+H129+H131+H133+H135+H137+H139+H141+H143+H145+H147+H149+H151+H153+H155+H157+H159+H161+H163+H165+H167+H169+H171+H173+H175+H177+H179+H181+H183+H185+H187+H189+H191+H193+H195+H197+H199+H201+H203+H205+H207+H209+H211+H213+H215+H217+H219+H221+H223+H225+H227+H229+H231+H233+H235+H237+H239+H241+H243+H245+H247+H249+H251+H253+H255+H257+H259+H261+H263+H265+H267+H269</f>
        <v>-1390.5649999999976</v>
      </c>
      <c r="I271" s="207">
        <f>G271+H271</f>
        <v>-300.56600003599806</v>
      </c>
      <c r="J271" s="206">
        <f>+J19+J21+J23+J25+J27+J29+J31+J33+J35+J37+J39+J41+J43+J45+J47+J49+J51+J53+J55+J57+J59+J61+J63+J65+J67+J69+J71+J73+J75+J77+J79+J81+J83+J85+J87+J89+J91+J93+J95+J97+J99+J101+J103+J105+J107+J109+J111+J113+J115+J117+J119+J121+J123+J125+J127+J129+J131+J133+J135+J137+J139+J141+J143+J145+J147+J149+J151+J153+J155+J157+J159+J161+J163+J165+J167+J169+J171+J173+J175+J177+J179+J181+J183+J185+J187+J189+J191+J193+J195+J197+J199+J201+J203+J205+J207+J209+J211+J213+J215+J217+J219+J221+J223+J225+J227+J229+J231+J233+J235+J237+J239+J241+J243+J245+J247+J249+J251+J253+J255+J257+J259+J261+J263+J265+J267+J269</f>
        <v>0.87439999999999996</v>
      </c>
      <c r="K271" s="206">
        <f>I271-J271</f>
        <v>-301.44040003599804</v>
      </c>
      <c r="L271" s="208">
        <f t="shared" si="888"/>
        <v>-2.9091780171252744E-3</v>
      </c>
      <c r="M271" s="209" t="s">
        <v>32</v>
      </c>
      <c r="N271" s="750">
        <f>SUM(N19:N270)</f>
        <v>1716.9983999279982</v>
      </c>
      <c r="O271" s="751">
        <f>H271+H272</f>
        <v>-1390.5649999999976</v>
      </c>
      <c r="P271" s="753">
        <f>N271+O271</f>
        <v>326.43339992800065</v>
      </c>
      <c r="Q271" s="753">
        <f>J271+J272</f>
        <v>0.87439999999999996</v>
      </c>
      <c r="R271" s="755">
        <f>SUM(R19:R270)</f>
        <v>325.55899992799948</v>
      </c>
      <c r="S271" s="1128">
        <f t="shared" ref="S271" si="1139">Q271/P271</f>
        <v>2.6786474674247818E-3</v>
      </c>
      <c r="T271" s="1139">
        <f t="shared" si="1047"/>
        <v>0.81039062124830652</v>
      </c>
    </row>
    <row r="272" spans="1:20" ht="15" customHeight="1" thickBot="1">
      <c r="C272" s="747"/>
      <c r="D272" s="748"/>
      <c r="E272" s="749"/>
      <c r="F272" s="210" t="s">
        <v>85</v>
      </c>
      <c r="G272" s="210">
        <f>+G20+G22+G24+G26+G28+G30+G32+G34+G36+G38+G40+G42+G44+G46+G48+G50+G52+G54+G56+G58+G60+G62+G64+G66+G68+G70+G72+G74+G76+G78+G80+G82+G84+G86+G88+G90+G92+G94+G96+G98+G100+G102+G104+G106+G108+G110+G112+G114+G116+G118+G120+G122+G124+G126+G128+G130+G132+G134+G136+G138+G140+G142+G144+G146+G148+G150+G152+G154+G156+G158+G160+G162+G164+G166+G168+G170+G172+G174+G176+G178+G180+G182+G184+G186+G188+G190+G192+G194+G196+G198+G200+G232+G202+G204+G206+G208+G210+G212+G214+G216+G218+G220+G222+G224+G226+G228+G230+G234+G236+G238+G240+G242+G244+G246+G248+G250+G252+G254+G258+G256+G260+G262++G264+G266+G268+G270</f>
        <v>626.99939996400087</v>
      </c>
      <c r="H272" s="188">
        <f>+H20+H22+H24+H26+H28+H30+H32+H34+H36+H38+H40+H42+H44+H46+H48+H50+H52+H54+H56+H58+H60+H62+H64+H66+H68+H70+H72+H74+H76+H78+H80+H82+H84+H86+H88+H90+H92+H94+H96+H98+H100+H102+H104+H106+H108+H110+H112+H114+H116+H118+H120+H122+H124+H126+H128+H130+H132+H134+H136+H138+H140+H142+H144+H146+H148+H150+H152+H154+H156+H158+H160+H162+H164+H166+H168+H170+H172+H174+H176+H178+H180+H182+H184+H186+H188+H190+H192+H194+H196+H198+H200+H202+H204+H206+H208+H210+H212+H214+H216+H218+H220+H222+H224+H226+H228+H230+H232+H234+H236+H238+H240+H242+H244+H246+H248+H250+H252+H254+H256+H258+H260+H262+H264+H266+H268+H270</f>
        <v>0</v>
      </c>
      <c r="I272" s="211">
        <f t="shared" si="1138"/>
        <v>325.55899992800283</v>
      </c>
      <c r="J272" s="206">
        <f>+J20+J22+J24+J26+J28+J30+J32+J34+J36+J38+J40+J42+J44+J46+J48+J50+J52+J54+J56+J58+J60+J62+J64+J66+J68+J70+J72+J74+J76+J78+J80+J82+J84+J86+J88+J90+J92+J94+J96+J98+J100+J102+J104+J106+J108+J110+J112+J114+J116+J118+J120+J122+J124+J126+J128+J130+J132+J134+J136+J138+J140+J142+J144+J146+J148+J150+J152+J154+J156+J158+J160+J162+J164+J166+J168+J170+J172+J174+J176+J178+J180+J182+J184+J186+J188+J190+J192+J194+J196+J198+J200+J202+J204+J206+J208+J210+J212+J214+J216+J218+J220+J222+J224+J226+J228+J230+J232+J234+J236+J238+J240+J242+J244+J246+J248+J250+J252+J254+J256+J258+J260+J262+J264+J266+J268+J270</f>
        <v>0</v>
      </c>
      <c r="K272" s="210">
        <f t="shared" si="885"/>
        <v>325.55899992800283</v>
      </c>
      <c r="L272" s="212">
        <f t="shared" si="888"/>
        <v>0</v>
      </c>
      <c r="M272" s="213" t="s">
        <v>32</v>
      </c>
      <c r="N272" s="1141"/>
      <c r="O272" s="752"/>
      <c r="P272" s="754"/>
      <c r="Q272" s="754"/>
      <c r="R272" s="756"/>
      <c r="S272" s="1129"/>
      <c r="T272" s="1140"/>
    </row>
    <row r="273" spans="3:20" ht="15" customHeight="1">
      <c r="N273" s="1142">
        <f>+N271</f>
        <v>1716.9983999279982</v>
      </c>
      <c r="O273" s="1134">
        <f>+O271/N271</f>
        <v>-0.80988136043592729</v>
      </c>
      <c r="Q273" s="1135">
        <f>+Q271/N271</f>
        <v>5.0926081237854832E-4</v>
      </c>
      <c r="T273" s="1138">
        <f>+O273+Q273</f>
        <v>-0.80937209962354872</v>
      </c>
    </row>
    <row r="274" spans="3:20" ht="15" customHeight="1">
      <c r="H274" s="55"/>
    </row>
    <row r="275" spans="3:20" ht="22.2" customHeight="1">
      <c r="C275" s="737" t="s">
        <v>379</v>
      </c>
      <c r="D275" s="738"/>
      <c r="E275" s="739"/>
      <c r="F275" s="187" t="s">
        <v>250</v>
      </c>
      <c r="G275" s="187" t="s">
        <v>242</v>
      </c>
      <c r="H275" s="188" t="s">
        <v>4</v>
      </c>
      <c r="I275" s="189" t="s">
        <v>5</v>
      </c>
      <c r="J275" s="190" t="s">
        <v>243</v>
      </c>
      <c r="K275" s="187" t="s">
        <v>48</v>
      </c>
      <c r="L275" s="187" t="s">
        <v>49</v>
      </c>
      <c r="R275" s="1132"/>
    </row>
    <row r="276" spans="3:20" ht="15.6">
      <c r="C276" s="731" t="str">
        <f>+C19</f>
        <v>PUERTO NATALES</v>
      </c>
      <c r="D276" s="732"/>
      <c r="E276" s="733"/>
      <c r="F276" s="194" t="s">
        <v>38</v>
      </c>
      <c r="G276" s="138">
        <f>+G19+G21+G23+G25+G27+G29+G31+G33+G35+G37+G39+G41+G43+G45+G47+G49+G51+G53+G55+G57+G59+G61+G63+G65+G67+G69+G71+G73+G75+G77+G79+G81+G83+G85+G87+G89+G91+G93+G95+G97+G99+G101+G103+G105+G107+G109+G111+G113+G115+G117+G119+G121+G123+G125+G127+G129+G131+G133+G135+G137+G139+G141+G143+G145+G147+G149+G151+G153+G155+G157</f>
        <v>605.55499997999971</v>
      </c>
      <c r="H276" s="308">
        <f>+H19+H21+H23+H25+H27+H29+H31+H33+H35+H37+H39+H41+H43+H45+H47+H49+H51+H53+H55+H57+H59+H61+H63+H65+H67+H69+H71+H73+H75+H77+H79+H81+H83+H85+H87+H89+H91+H93+H95+H97+H99+H101+H103+H105+H107+H109+H111+H113+H115+H117+H119+H121+H123+H125+H127+H129+H131+H133+H135+H137+H139+H141+H143+H145+H147+H149+H151+H153+H155+H157</f>
        <v>-887.1199999999991</v>
      </c>
      <c r="I276" s="138">
        <f>+G276+H276</f>
        <v>-281.56500001999939</v>
      </c>
      <c r="J276" s="138">
        <f>+J19+J21+J23+J25+J27+J29+J31+J33+J35+J37+J39+J41+J43+J45+J47+J49+J51+J53+J55+J57+J59+J61+J63+J65+J67+J69+J71+J73+J75+J77+J79+J81+J83+J85+J87+J89+J91+J93+J95+J97+J99+J101+J103+J105+J107+J109+J111+J113+J115+J117+J119+J121+J123+J125+J127+J129+J131+J133+J135+J137+J139+J141+J143+J145+J147+J149+J151+J153+J155+J157</f>
        <v>0</v>
      </c>
      <c r="K276" s="138">
        <f>+I276-J276</f>
        <v>-281.56500001999939</v>
      </c>
      <c r="L276" s="184">
        <f>+J276/I276</f>
        <v>0</v>
      </c>
      <c r="R276" s="1133"/>
    </row>
    <row r="277" spans="3:20" ht="15.6">
      <c r="C277" s="740"/>
      <c r="D277" s="741"/>
      <c r="E277" s="742"/>
      <c r="F277" s="194" t="s">
        <v>102</v>
      </c>
      <c r="G277" s="143">
        <f>+G20+G22+G24+G26+G28+G30+G32+G34+G36+G38+G40+G42+G44+G46+G48+G50+G52+G54+G56+G58+G60+G62+G64+G66+G68+G70+G72+G74+G76+G78+G80+G82+G84+G86+G88+G90+G92+G94+G96+G98+G100+G102+G104+G106+G108+G110+G112+G114+G116+G118+G120+G122+G124+G126+G128+G130+G132+G134+G136+G138+G140+G142+G144+G146+G148+G150+G152+G154+G156+G158</f>
        <v>348.33299997999978</v>
      </c>
      <c r="H277" s="143">
        <f>+H20+H22+H24+H26+H28+H30+H32+H34+H36+H38+H40+H42+H44+H46+H48+H50+H52+H54+H56+H58+H60+H62+H64+H66+H68+H70+H72+H74+H76+H78+H80+H82+H84+H86+H88+H90+H92+H94+H96+H98+H100+H102+H104+H106+H108+H110+H112+H114+H116+H118+H120+H122+H124+H126+H128+H130+H132+H134+H136+H138+H140+H142+H144+H146+H148+H150+H152+H154+H156+H158</f>
        <v>0</v>
      </c>
      <c r="I277" s="143">
        <f>G277+H277+K276</f>
        <v>66.767999960000395</v>
      </c>
      <c r="J277" s="143">
        <f>+J20+J22+J24+J26+J28+J30+J32+J34+J36+J38+J40+J42+J44+J46+J48+J50+J52+J54+J56+J58+J60+J62+J64+J66+J68+J70+J72+J74+J76+J78+J80+J82+J84+J86+J88+J90+J92+J94+J96+J98+J100+J102+J104+J106+J108+J110+J112+J114+J116+J118+J120+J122+J124+J126+J128+J130+J132+J134+J136+J138+J140+J142+J144+J146+J148+J150+J152+J154+J156+J158</f>
        <v>0</v>
      </c>
      <c r="K277" s="143">
        <f>+I277-J277</f>
        <v>66.767999960000395</v>
      </c>
      <c r="L277" s="185">
        <f>+J277/I277</f>
        <v>0</v>
      </c>
      <c r="O277" s="1131"/>
    </row>
    <row r="278" spans="3:20" ht="15.6">
      <c r="C278" s="731" t="str">
        <f>+C159</f>
        <v>PUNTA ARENAS</v>
      </c>
      <c r="D278" s="732"/>
      <c r="E278" s="733"/>
      <c r="F278" s="194" t="s">
        <v>38</v>
      </c>
      <c r="G278" s="138">
        <f>+G159+G161+G163+G165+G167+G169+G171+G173+G175+G177+G179+G181+G183+G185+G187+G189+G191+G193+G195+G197+G199+G201+G203+G205+G207+G209+G211+G213+G215+G217+G219+G221+G223+G225+G227+G229+G231+G233+G235+G237+G239+G241+G243+G245+G247+G249+G251+G253+G255+G257+G259+G261+G263+G265+G267+G269</f>
        <v>484.44399998399973</v>
      </c>
      <c r="H278" s="138">
        <f>+H159+H161+H163+H165+H167+H169+H171+H173+H175+H177+H179+H181+H183+H185+H187+H189+H191+H193+H195+H197+H199+H201+H203+H205+H207+H209+H211+H213+H215+H217+H219+H221+H223+H225+H227+H229+H231+H233+H235+H237+H239+H241+H243+H245+H247+H249+H251+H253+H255+H257+H259+H261+H263+H265+H267+H269</f>
        <v>-503.44500000000022</v>
      </c>
      <c r="I278" s="138">
        <f>+G278+H278</f>
        <v>-19.001000016000489</v>
      </c>
      <c r="J278" s="138">
        <f>+J159+J161+J163+J165+J167+J169+J171+J173+J175+J177+J179+J181+J183+J185+J187+J189+J191+J193+J195+J197+J199+J201+J203+J205+J207+J209+J211+J213+J215+J217+J219+J221+J223+J225+J227+J229+J231+J233+J235+J237+J239+J241+J243+J245+J247+J249+J251+J253+J255+J257+J259+J261+J263+J265+J267+J269</f>
        <v>0.87439999999999996</v>
      </c>
      <c r="K278" s="138">
        <f t="shared" ref="K278:K279" si="1140">+I278-J278</f>
        <v>-19.875400016000491</v>
      </c>
      <c r="L278" s="184">
        <f t="shared" ref="L278:L279" si="1141">+J278/I278</f>
        <v>-4.6018630559637883E-2</v>
      </c>
    </row>
    <row r="279" spans="3:20" ht="15.6">
      <c r="C279" s="734"/>
      <c r="D279" s="735"/>
      <c r="E279" s="736"/>
      <c r="F279" s="195" t="s">
        <v>102</v>
      </c>
      <c r="G279" s="196">
        <f>+G160+G162+G164+G166+G168+G170+G172+G174+G176+G178+G180+G182+G184+G186+G188+G190+G192+G194+G196+G198+G200+G202+G204+G206+G208+G210+G212+G214+G216+G218+G220+G222+G224+G226+G228+G230+G232+G234+G236+G238+G240+G242+G244+G246+G248+G250+G252+G254+G256+G258+G260+G262+G264+G266+G268+G270</f>
        <v>278.66639998399984</v>
      </c>
      <c r="H279" s="196">
        <f>+H160+H162+H164+H166+H168+H170+H172+H174+H176+H178+H180+H182+H184+H186+H188+H190+H192+H194+H196+H198+H200+H202+H204+H206+H208+H210+H212+H214+H216+H218+H220+H222+H224+H226+H228+H230+H232+H234+H236+H238+H240+H242+H244+H246+H248+H250+H252+H254+H256+H258+H260+H262+H264+H266+H268+H270</f>
        <v>0</v>
      </c>
      <c r="I279" s="196">
        <f>G279+H279+K278</f>
        <v>258.79099996799937</v>
      </c>
      <c r="J279" s="196">
        <f>+J160+J162+J164+J166+J168+J170+J172+J174+J176+J178+J180+J182+J184+J186+J188+J190+J192+J194+J196+J198+J200+J202+J204+J206+J208+J210+J212+J214+J216+J218+J220+J222+J224+J226+J228+J230+J232+J234+J236+J238+J240+J242+J244+J246+J248+J250+J252+J254+J256+J258+J260+J262+J264+J266+J268+J270</f>
        <v>0</v>
      </c>
      <c r="K279" s="196">
        <f t="shared" si="1140"/>
        <v>258.79099996799937</v>
      </c>
      <c r="L279" s="197">
        <f t="shared" si="1141"/>
        <v>0</v>
      </c>
      <c r="O279" s="55"/>
    </row>
    <row r="280" spans="3:20" ht="35.4" customHeight="1">
      <c r="C280" s="743" t="s">
        <v>382</v>
      </c>
      <c r="D280" s="743"/>
      <c r="E280" s="743"/>
      <c r="F280" s="743"/>
      <c r="G280" s="186">
        <f>SUM(G276:G279)</f>
        <v>1716.9983999279989</v>
      </c>
      <c r="H280" s="186">
        <f>SUM(H276:H279)</f>
        <v>-1390.5649999999994</v>
      </c>
      <c r="I280" s="186">
        <f>+G280+H280</f>
        <v>326.43339992799952</v>
      </c>
      <c r="J280" s="223">
        <f>SUM(J276:J279)</f>
        <v>0.87439999999999996</v>
      </c>
      <c r="K280" s="186">
        <f>+I280-J280</f>
        <v>325.55899992799954</v>
      </c>
      <c r="L280" s="224">
        <f>+J280/I280</f>
        <v>2.6786474674247913E-3</v>
      </c>
      <c r="O280" s="1130"/>
    </row>
    <row r="285" spans="3:20">
      <c r="H285" s="55">
        <f>-(1363.311+27.254)</f>
        <v>-1390.5649999999998</v>
      </c>
    </row>
    <row r="288" spans="3:20">
      <c r="H288" s="1126">
        <f>+H285+-H271</f>
        <v>-2.2737367544323206E-12</v>
      </c>
    </row>
    <row r="291" spans="8:8">
      <c r="H291" s="9"/>
    </row>
  </sheetData>
  <mergeCells count="278">
    <mergeCell ref="T257:T258"/>
    <mergeCell ref="T259:T260"/>
    <mergeCell ref="T261:T262"/>
    <mergeCell ref="T263:T264"/>
    <mergeCell ref="T265:T266"/>
    <mergeCell ref="T267:T268"/>
    <mergeCell ref="T269:T270"/>
    <mergeCell ref="T271:T272"/>
    <mergeCell ref="T239:T240"/>
    <mergeCell ref="T241:T242"/>
    <mergeCell ref="T243:T244"/>
    <mergeCell ref="T245:T246"/>
    <mergeCell ref="T247:T248"/>
    <mergeCell ref="T249:T250"/>
    <mergeCell ref="T251:T252"/>
    <mergeCell ref="T253:T254"/>
    <mergeCell ref="T255:T256"/>
    <mergeCell ref="T221:T222"/>
    <mergeCell ref="T223:T224"/>
    <mergeCell ref="T225:T226"/>
    <mergeCell ref="T227:T228"/>
    <mergeCell ref="T229:T230"/>
    <mergeCell ref="T231:T232"/>
    <mergeCell ref="T233:T234"/>
    <mergeCell ref="T235:T236"/>
    <mergeCell ref="T237:T238"/>
    <mergeCell ref="T203:T204"/>
    <mergeCell ref="T205:T206"/>
    <mergeCell ref="T207:T208"/>
    <mergeCell ref="T209:T210"/>
    <mergeCell ref="T211:T212"/>
    <mergeCell ref="T213:T214"/>
    <mergeCell ref="T215:T216"/>
    <mergeCell ref="T217:T218"/>
    <mergeCell ref="T219:T220"/>
    <mergeCell ref="T185:T186"/>
    <mergeCell ref="T187:T188"/>
    <mergeCell ref="T189:T190"/>
    <mergeCell ref="T191:T192"/>
    <mergeCell ref="T193:T194"/>
    <mergeCell ref="T195:T196"/>
    <mergeCell ref="T197:T198"/>
    <mergeCell ref="T199:T200"/>
    <mergeCell ref="T201:T202"/>
    <mergeCell ref="T167:T168"/>
    <mergeCell ref="T169:T170"/>
    <mergeCell ref="T171:T172"/>
    <mergeCell ref="T173:T174"/>
    <mergeCell ref="T175:T176"/>
    <mergeCell ref="T177:T178"/>
    <mergeCell ref="T179:T180"/>
    <mergeCell ref="T181:T182"/>
    <mergeCell ref="T183:T184"/>
    <mergeCell ref="T149:T150"/>
    <mergeCell ref="T151:T152"/>
    <mergeCell ref="T153:T154"/>
    <mergeCell ref="T155:T156"/>
    <mergeCell ref="T157:T158"/>
    <mergeCell ref="T159:T160"/>
    <mergeCell ref="T161:T162"/>
    <mergeCell ref="T163:T164"/>
    <mergeCell ref="T165:T166"/>
    <mergeCell ref="T131:T132"/>
    <mergeCell ref="T133:T134"/>
    <mergeCell ref="T135:T136"/>
    <mergeCell ref="T137:T138"/>
    <mergeCell ref="T139:T140"/>
    <mergeCell ref="T141:T142"/>
    <mergeCell ref="T143:T144"/>
    <mergeCell ref="T145:T146"/>
    <mergeCell ref="T147:T148"/>
    <mergeCell ref="T113:T114"/>
    <mergeCell ref="T115:T116"/>
    <mergeCell ref="T117:T118"/>
    <mergeCell ref="T119:T120"/>
    <mergeCell ref="T121:T122"/>
    <mergeCell ref="T123:T124"/>
    <mergeCell ref="T125:T126"/>
    <mergeCell ref="T127:T128"/>
    <mergeCell ref="T129:T130"/>
    <mergeCell ref="T95:T96"/>
    <mergeCell ref="T97:T98"/>
    <mergeCell ref="T99:T100"/>
    <mergeCell ref="T101:T102"/>
    <mergeCell ref="T103:T104"/>
    <mergeCell ref="T105:T106"/>
    <mergeCell ref="T107:T108"/>
    <mergeCell ref="T109:T110"/>
    <mergeCell ref="T111:T112"/>
    <mergeCell ref="T77:T78"/>
    <mergeCell ref="T79:T80"/>
    <mergeCell ref="T81:T82"/>
    <mergeCell ref="T83:T84"/>
    <mergeCell ref="T85:T86"/>
    <mergeCell ref="T87:T88"/>
    <mergeCell ref="T89:T90"/>
    <mergeCell ref="T91:T92"/>
    <mergeCell ref="T93:T94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49:T50"/>
    <mergeCell ref="T51:T52"/>
    <mergeCell ref="T53:T54"/>
    <mergeCell ref="T55:T56"/>
    <mergeCell ref="T57:T5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C2:T2"/>
    <mergeCell ref="C3:T3"/>
    <mergeCell ref="E5:F5"/>
    <mergeCell ref="C6:C9"/>
    <mergeCell ref="E6:F6"/>
    <mergeCell ref="E7:F7"/>
    <mergeCell ref="E8:F8"/>
    <mergeCell ref="E9:F9"/>
    <mergeCell ref="S19:S20"/>
    <mergeCell ref="S21:S22"/>
    <mergeCell ref="S23:S24"/>
    <mergeCell ref="S25:S26"/>
    <mergeCell ref="S27:S28"/>
    <mergeCell ref="S29:S30"/>
    <mergeCell ref="E11:F11"/>
    <mergeCell ref="C12:C13"/>
    <mergeCell ref="E14:E15"/>
    <mergeCell ref="F12:F15"/>
    <mergeCell ref="C14:C15"/>
    <mergeCell ref="E12:E13"/>
    <mergeCell ref="S43:S44"/>
    <mergeCell ref="S45:S46"/>
    <mergeCell ref="S47:S48"/>
    <mergeCell ref="S49:S50"/>
    <mergeCell ref="S51:S52"/>
    <mergeCell ref="S53:S54"/>
    <mergeCell ref="S31:S32"/>
    <mergeCell ref="S33:S34"/>
    <mergeCell ref="S35:S36"/>
    <mergeCell ref="S37:S38"/>
    <mergeCell ref="S39:S40"/>
    <mergeCell ref="S41:S42"/>
    <mergeCell ref="S67:S68"/>
    <mergeCell ref="S69:S70"/>
    <mergeCell ref="S71:S72"/>
    <mergeCell ref="S73:S74"/>
    <mergeCell ref="S75:S76"/>
    <mergeCell ref="S77:S78"/>
    <mergeCell ref="S55:S56"/>
    <mergeCell ref="S57:S58"/>
    <mergeCell ref="S59:S60"/>
    <mergeCell ref="S61:S62"/>
    <mergeCell ref="S63:S64"/>
    <mergeCell ref="S65:S66"/>
    <mergeCell ref="S91:S92"/>
    <mergeCell ref="S93:S94"/>
    <mergeCell ref="S95:S96"/>
    <mergeCell ref="S97:S98"/>
    <mergeCell ref="S99:S100"/>
    <mergeCell ref="S101:S102"/>
    <mergeCell ref="S79:S80"/>
    <mergeCell ref="S81:S82"/>
    <mergeCell ref="S83:S84"/>
    <mergeCell ref="S85:S86"/>
    <mergeCell ref="S87:S88"/>
    <mergeCell ref="S89:S90"/>
    <mergeCell ref="S115:S116"/>
    <mergeCell ref="S117:S118"/>
    <mergeCell ref="S119:S120"/>
    <mergeCell ref="S121:S122"/>
    <mergeCell ref="S123:S124"/>
    <mergeCell ref="S125:S126"/>
    <mergeCell ref="S103:S104"/>
    <mergeCell ref="S105:S106"/>
    <mergeCell ref="S107:S108"/>
    <mergeCell ref="S109:S110"/>
    <mergeCell ref="S111:S112"/>
    <mergeCell ref="S113:S114"/>
    <mergeCell ref="S139:S140"/>
    <mergeCell ref="S141:S142"/>
    <mergeCell ref="S143:S144"/>
    <mergeCell ref="S145:S146"/>
    <mergeCell ref="S147:S148"/>
    <mergeCell ref="S149:S150"/>
    <mergeCell ref="S127:S128"/>
    <mergeCell ref="S129:S130"/>
    <mergeCell ref="S131:S132"/>
    <mergeCell ref="S133:S134"/>
    <mergeCell ref="S135:S136"/>
    <mergeCell ref="S137:S138"/>
    <mergeCell ref="S163:S164"/>
    <mergeCell ref="S165:S166"/>
    <mergeCell ref="S167:S168"/>
    <mergeCell ref="S169:S170"/>
    <mergeCell ref="S171:S172"/>
    <mergeCell ref="S173:S174"/>
    <mergeCell ref="S151:S152"/>
    <mergeCell ref="S153:S154"/>
    <mergeCell ref="S155:S156"/>
    <mergeCell ref="S157:S158"/>
    <mergeCell ref="S159:S160"/>
    <mergeCell ref="S161:S162"/>
    <mergeCell ref="S187:S188"/>
    <mergeCell ref="S189:S190"/>
    <mergeCell ref="S191:S192"/>
    <mergeCell ref="S193:S194"/>
    <mergeCell ref="S195:S196"/>
    <mergeCell ref="S197:S198"/>
    <mergeCell ref="S175:S176"/>
    <mergeCell ref="S177:S178"/>
    <mergeCell ref="S179:S180"/>
    <mergeCell ref="S181:S182"/>
    <mergeCell ref="S183:S184"/>
    <mergeCell ref="S185:S186"/>
    <mergeCell ref="S211:S212"/>
    <mergeCell ref="S213:S214"/>
    <mergeCell ref="S215:S216"/>
    <mergeCell ref="S217:S218"/>
    <mergeCell ref="S219:S220"/>
    <mergeCell ref="S221:S222"/>
    <mergeCell ref="S199:S200"/>
    <mergeCell ref="S201:S202"/>
    <mergeCell ref="S203:S204"/>
    <mergeCell ref="S205:S206"/>
    <mergeCell ref="S207:S208"/>
    <mergeCell ref="S209:S210"/>
    <mergeCell ref="S235:S236"/>
    <mergeCell ref="S237:S238"/>
    <mergeCell ref="S239:S240"/>
    <mergeCell ref="S241:S242"/>
    <mergeCell ref="S243:S244"/>
    <mergeCell ref="S245:S246"/>
    <mergeCell ref="S223:S224"/>
    <mergeCell ref="S225:S226"/>
    <mergeCell ref="S227:S228"/>
    <mergeCell ref="S229:S230"/>
    <mergeCell ref="S231:S232"/>
    <mergeCell ref="S233:S234"/>
    <mergeCell ref="S259:S260"/>
    <mergeCell ref="S261:S262"/>
    <mergeCell ref="S263:S264"/>
    <mergeCell ref="S265:S266"/>
    <mergeCell ref="S267:S268"/>
    <mergeCell ref="S269:S270"/>
    <mergeCell ref="S247:S248"/>
    <mergeCell ref="S249:S250"/>
    <mergeCell ref="S251:S252"/>
    <mergeCell ref="S253:S254"/>
    <mergeCell ref="S255:S256"/>
    <mergeCell ref="S257:S258"/>
    <mergeCell ref="C278:E279"/>
    <mergeCell ref="C275:E275"/>
    <mergeCell ref="C276:E277"/>
    <mergeCell ref="C280:F280"/>
    <mergeCell ref="S271:S272"/>
    <mergeCell ref="C271:E272"/>
    <mergeCell ref="N271:N272"/>
    <mergeCell ref="O271:O272"/>
    <mergeCell ref="P271:P272"/>
    <mergeCell ref="Q271:Q272"/>
    <mergeCell ref="R271:R27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91"/>
  <sheetViews>
    <sheetView workbookViewId="0">
      <selection sqref="A1:XFD1048576"/>
    </sheetView>
  </sheetViews>
  <sheetFormatPr baseColWidth="10" defaultRowHeight="7.95" customHeight="1"/>
  <cols>
    <col min="1" max="1" width="11.6640625" style="351" customWidth="1"/>
    <col min="2" max="2" width="33.21875" style="351" customWidth="1"/>
    <col min="3" max="3" width="12.21875" style="351" customWidth="1"/>
    <col min="4" max="16384" width="11.5546875" style="351"/>
  </cols>
  <sheetData>
    <row r="1" spans="1:9" ht="7.95" customHeight="1" thickBot="1"/>
    <row r="2" spans="1:9" ht="21.6" customHeight="1" thickBot="1">
      <c r="A2" s="352" t="s">
        <v>246</v>
      </c>
      <c r="B2" s="353" t="s">
        <v>247</v>
      </c>
      <c r="C2" s="353" t="s">
        <v>248</v>
      </c>
      <c r="D2" s="354" t="s">
        <v>251</v>
      </c>
      <c r="E2" s="355" t="s">
        <v>4</v>
      </c>
      <c r="F2" s="355" t="s">
        <v>5</v>
      </c>
      <c r="G2" s="355" t="s">
        <v>6</v>
      </c>
      <c r="H2" s="355" t="s">
        <v>7</v>
      </c>
      <c r="I2" s="356" t="s">
        <v>252</v>
      </c>
    </row>
    <row r="3" spans="1:9" ht="7.95" customHeight="1">
      <c r="A3" s="832" t="s">
        <v>253</v>
      </c>
      <c r="B3" s="829" t="s">
        <v>394</v>
      </c>
      <c r="C3" s="788" t="s">
        <v>254</v>
      </c>
      <c r="D3" s="930">
        <v>40.8016061736</v>
      </c>
      <c r="E3" s="844">
        <v>0</v>
      </c>
      <c r="F3" s="844">
        <v>40.8016061736</v>
      </c>
      <c r="G3" s="844">
        <v>4.2759999999999998</v>
      </c>
      <c r="H3" s="844">
        <v>36.525606173599996</v>
      </c>
      <c r="I3" s="846">
        <v>0.10479979591506165</v>
      </c>
    </row>
    <row r="4" spans="1:9" ht="7.95" customHeight="1">
      <c r="A4" s="833"/>
      <c r="B4" s="835"/>
      <c r="C4" s="788"/>
      <c r="D4" s="930"/>
      <c r="E4" s="844"/>
      <c r="F4" s="844"/>
      <c r="G4" s="844"/>
      <c r="H4" s="844"/>
      <c r="I4" s="846"/>
    </row>
    <row r="5" spans="1:9" ht="7.95" customHeight="1">
      <c r="A5" s="833"/>
      <c r="B5" s="829" t="s">
        <v>255</v>
      </c>
      <c r="C5" s="788">
        <v>4452</v>
      </c>
      <c r="D5" s="930">
        <v>4.6848050832000006</v>
      </c>
      <c r="E5" s="844">
        <v>0</v>
      </c>
      <c r="F5" s="844">
        <v>4.6848050832000006</v>
      </c>
      <c r="G5" s="844">
        <v>0</v>
      </c>
      <c r="H5" s="844">
        <v>4.6848050832000006</v>
      </c>
      <c r="I5" s="846">
        <v>0</v>
      </c>
    </row>
    <row r="6" spans="1:9" ht="7.95" customHeight="1">
      <c r="A6" s="833"/>
      <c r="B6" s="829"/>
      <c r="C6" s="788"/>
      <c r="D6" s="931"/>
      <c r="E6" s="845"/>
      <c r="F6" s="844"/>
      <c r="G6" s="845"/>
      <c r="H6" s="845"/>
      <c r="I6" s="847"/>
    </row>
    <row r="7" spans="1:9" ht="7.95" customHeight="1">
      <c r="A7" s="833"/>
      <c r="B7" s="829" t="s">
        <v>256</v>
      </c>
      <c r="C7" s="788">
        <v>4309</v>
      </c>
      <c r="D7" s="905">
        <v>58.656962122199999</v>
      </c>
      <c r="E7" s="845">
        <v>0</v>
      </c>
      <c r="F7" s="845">
        <v>58.656962122199999</v>
      </c>
      <c r="G7" s="845">
        <v>4.2229999999999999</v>
      </c>
      <c r="H7" s="845">
        <v>54.433962122200001</v>
      </c>
      <c r="I7" s="847">
        <v>7.1994863818590327E-2</v>
      </c>
    </row>
    <row r="8" spans="1:9" ht="7.95" customHeight="1">
      <c r="A8" s="833"/>
      <c r="B8" s="829"/>
      <c r="C8" s="788"/>
      <c r="D8" s="909"/>
      <c r="E8" s="852"/>
      <c r="F8" s="852"/>
      <c r="G8" s="852"/>
      <c r="H8" s="852"/>
      <c r="I8" s="853"/>
    </row>
    <row r="9" spans="1:9" ht="7.95" customHeight="1">
      <c r="A9" s="833"/>
      <c r="B9" s="829" t="s">
        <v>257</v>
      </c>
      <c r="C9" s="788">
        <v>4370</v>
      </c>
      <c r="D9" s="905">
        <v>54.7751827206</v>
      </c>
      <c r="E9" s="845">
        <v>0</v>
      </c>
      <c r="F9" s="845">
        <v>54.7751827206</v>
      </c>
      <c r="G9" s="845">
        <v>2.7029999999999998</v>
      </c>
      <c r="H9" s="845">
        <v>52.072182720599997</v>
      </c>
      <c r="I9" s="847">
        <v>4.9347165372091918E-2</v>
      </c>
    </row>
    <row r="10" spans="1:9" ht="7.95" customHeight="1">
      <c r="A10" s="833"/>
      <c r="B10" s="829"/>
      <c r="C10" s="788"/>
      <c r="D10" s="909"/>
      <c r="E10" s="852"/>
      <c r="F10" s="852"/>
      <c r="G10" s="852"/>
      <c r="H10" s="852"/>
      <c r="I10" s="853"/>
    </row>
    <row r="11" spans="1:9" ht="7.95" customHeight="1">
      <c r="A11" s="833"/>
      <c r="B11" s="829" t="s">
        <v>411</v>
      </c>
      <c r="C11" s="788" t="s">
        <v>258</v>
      </c>
      <c r="D11" s="905">
        <v>179.14193665319999</v>
      </c>
      <c r="E11" s="845">
        <v>0</v>
      </c>
      <c r="F11" s="845">
        <v>179.14193665319999</v>
      </c>
      <c r="G11" s="845">
        <v>8.3610000000000007</v>
      </c>
      <c r="H11" s="845">
        <v>170.7809366532</v>
      </c>
      <c r="I11" s="847">
        <v>4.6672488621053707E-2</v>
      </c>
    </row>
    <row r="12" spans="1:9" ht="7.95" customHeight="1">
      <c r="A12" s="833"/>
      <c r="B12" s="829"/>
      <c r="C12" s="788"/>
      <c r="D12" s="909"/>
      <c r="E12" s="852"/>
      <c r="F12" s="852"/>
      <c r="G12" s="852"/>
      <c r="H12" s="852"/>
      <c r="I12" s="853"/>
    </row>
    <row r="13" spans="1:9" ht="7.95" customHeight="1">
      <c r="A13" s="833"/>
      <c r="B13" s="829" t="s">
        <v>261</v>
      </c>
      <c r="C13" s="788" t="s">
        <v>262</v>
      </c>
      <c r="D13" s="905">
        <v>197.34786436799999</v>
      </c>
      <c r="E13" s="845">
        <v>0</v>
      </c>
      <c r="F13" s="845">
        <v>197.34786436799999</v>
      </c>
      <c r="G13" s="845">
        <v>17.329999999999998</v>
      </c>
      <c r="H13" s="845">
        <v>180.01786436800001</v>
      </c>
      <c r="I13" s="847">
        <v>8.7814479551115238E-2</v>
      </c>
    </row>
    <row r="14" spans="1:9" ht="7.95" customHeight="1">
      <c r="A14" s="833"/>
      <c r="B14" s="829"/>
      <c r="C14" s="788"/>
      <c r="D14" s="909"/>
      <c r="E14" s="852"/>
      <c r="F14" s="852"/>
      <c r="G14" s="852"/>
      <c r="H14" s="852"/>
      <c r="I14" s="853"/>
    </row>
    <row r="15" spans="1:9" ht="7.95" customHeight="1">
      <c r="A15" s="833"/>
      <c r="B15" s="831" t="s">
        <v>416</v>
      </c>
      <c r="C15" s="831" t="s">
        <v>259</v>
      </c>
      <c r="D15" s="924">
        <v>50.662283559000002</v>
      </c>
      <c r="E15" s="926">
        <v>-50.661999999999999</v>
      </c>
      <c r="F15" s="926">
        <v>2.8355900000320844E-4</v>
      </c>
      <c r="G15" s="926">
        <v>0</v>
      </c>
      <c r="H15" s="926">
        <v>2.8355900000320844E-4</v>
      </c>
      <c r="I15" s="928">
        <v>0</v>
      </c>
    </row>
    <row r="16" spans="1:9" ht="7.95" customHeight="1">
      <c r="A16" s="833"/>
      <c r="B16" s="831"/>
      <c r="C16" s="831"/>
      <c r="D16" s="925"/>
      <c r="E16" s="927"/>
      <c r="F16" s="927"/>
      <c r="G16" s="927"/>
      <c r="H16" s="927"/>
      <c r="I16" s="929"/>
    </row>
    <row r="17" spans="1:9" ht="7.95" customHeight="1">
      <c r="A17" s="833"/>
      <c r="B17" s="831" t="s">
        <v>426</v>
      </c>
      <c r="C17" s="831" t="s">
        <v>264</v>
      </c>
      <c r="D17" s="916">
        <v>60.076508443799995</v>
      </c>
      <c r="E17" s="918">
        <v>-59.545000000000002</v>
      </c>
      <c r="F17" s="918">
        <v>0.53150844379999285</v>
      </c>
      <c r="G17" s="918">
        <v>1.556</v>
      </c>
      <c r="H17" s="920">
        <v>-1.0244915562000072</v>
      </c>
      <c r="I17" s="922">
        <v>2.9275169908411169</v>
      </c>
    </row>
    <row r="18" spans="1:9" ht="7.95" customHeight="1">
      <c r="A18" s="833"/>
      <c r="B18" s="831"/>
      <c r="C18" s="831"/>
      <c r="D18" s="917"/>
      <c r="E18" s="919"/>
      <c r="F18" s="919"/>
      <c r="G18" s="919"/>
      <c r="H18" s="921"/>
      <c r="I18" s="923"/>
    </row>
    <row r="19" spans="1:9" ht="7.95" customHeight="1">
      <c r="A19" s="833"/>
      <c r="B19" s="831" t="s">
        <v>427</v>
      </c>
      <c r="C19" s="828" t="s">
        <v>265</v>
      </c>
      <c r="D19" s="910">
        <v>62.183011077000003</v>
      </c>
      <c r="E19" s="912">
        <v>-62.183</v>
      </c>
      <c r="F19" s="912">
        <v>1.1077000003467674E-5</v>
      </c>
      <c r="G19" s="912">
        <v>0</v>
      </c>
      <c r="H19" s="912">
        <v>1.1077000003467674E-5</v>
      </c>
      <c r="I19" s="914">
        <v>0</v>
      </c>
    </row>
    <row r="20" spans="1:9" ht="7.95" customHeight="1">
      <c r="A20" s="833"/>
      <c r="B20" s="831"/>
      <c r="C20" s="828"/>
      <c r="D20" s="911"/>
      <c r="E20" s="913"/>
      <c r="F20" s="913"/>
      <c r="G20" s="913"/>
      <c r="H20" s="913"/>
      <c r="I20" s="915"/>
    </row>
    <row r="21" spans="1:9" ht="7.95" customHeight="1">
      <c r="A21" s="833"/>
      <c r="B21" s="788" t="s">
        <v>410</v>
      </c>
      <c r="C21" s="788" t="s">
        <v>268</v>
      </c>
      <c r="D21" s="905">
        <v>22.462840452000002</v>
      </c>
      <c r="E21" s="845">
        <v>0</v>
      </c>
      <c r="F21" s="845">
        <v>22.462840452000002</v>
      </c>
      <c r="G21" s="845">
        <v>0</v>
      </c>
      <c r="H21" s="845">
        <v>22.462840452000002</v>
      </c>
      <c r="I21" s="847">
        <v>0</v>
      </c>
    </row>
    <row r="22" spans="1:9" ht="7.95" customHeight="1">
      <c r="A22" s="833"/>
      <c r="B22" s="788"/>
      <c r="C22" s="788"/>
      <c r="D22" s="909"/>
      <c r="E22" s="852"/>
      <c r="F22" s="852"/>
      <c r="G22" s="852"/>
      <c r="H22" s="852"/>
      <c r="I22" s="853"/>
    </row>
    <row r="23" spans="1:9" ht="7.95" customHeight="1">
      <c r="A23" s="833"/>
      <c r="B23" s="829" t="s">
        <v>414</v>
      </c>
      <c r="C23" s="788" t="s">
        <v>269</v>
      </c>
      <c r="D23" s="905">
        <v>6.2960555088000003</v>
      </c>
      <c r="E23" s="845">
        <v>0</v>
      </c>
      <c r="F23" s="845">
        <v>6.2960555088000003</v>
      </c>
      <c r="G23" s="845">
        <v>0</v>
      </c>
      <c r="H23" s="845">
        <v>6.2960555088000003</v>
      </c>
      <c r="I23" s="847">
        <v>0</v>
      </c>
    </row>
    <row r="24" spans="1:9" ht="7.95" customHeight="1">
      <c r="A24" s="833"/>
      <c r="B24" s="829"/>
      <c r="C24" s="788"/>
      <c r="D24" s="909"/>
      <c r="E24" s="852"/>
      <c r="F24" s="852"/>
      <c r="G24" s="852"/>
      <c r="H24" s="852"/>
      <c r="I24" s="853"/>
    </row>
    <row r="25" spans="1:9" ht="7.95" customHeight="1">
      <c r="A25" s="833"/>
      <c r="B25" s="830" t="s">
        <v>413</v>
      </c>
      <c r="C25" s="788" t="s">
        <v>267</v>
      </c>
      <c r="D25" s="905">
        <v>13.251046134000001</v>
      </c>
      <c r="E25" s="845">
        <v>0</v>
      </c>
      <c r="F25" s="845">
        <v>13.251046134000001</v>
      </c>
      <c r="G25" s="845">
        <v>0.54900000000000004</v>
      </c>
      <c r="H25" s="845">
        <v>12.702046134000001</v>
      </c>
      <c r="I25" s="847">
        <v>4.1430691165685138E-2</v>
      </c>
    </row>
    <row r="26" spans="1:9" ht="7.95" customHeight="1">
      <c r="A26" s="833"/>
      <c r="B26" s="830"/>
      <c r="C26" s="788"/>
      <c r="D26" s="909"/>
      <c r="E26" s="852"/>
      <c r="F26" s="852"/>
      <c r="G26" s="852"/>
      <c r="H26" s="852"/>
      <c r="I26" s="853"/>
    </row>
    <row r="27" spans="1:9" ht="7.95" customHeight="1">
      <c r="A27" s="833"/>
      <c r="B27" s="829" t="s">
        <v>393</v>
      </c>
      <c r="C27" s="788" t="s">
        <v>260</v>
      </c>
      <c r="D27" s="905">
        <v>91.226262464399994</v>
      </c>
      <c r="E27" s="845">
        <v>0</v>
      </c>
      <c r="F27" s="845">
        <v>91.226262464399994</v>
      </c>
      <c r="G27" s="845">
        <v>1.5555555555555556</v>
      </c>
      <c r="H27" s="845">
        <v>89.670706908844437</v>
      </c>
      <c r="I27" s="847">
        <v>1.7051619934145536E-2</v>
      </c>
    </row>
    <row r="28" spans="1:9" ht="7.95" customHeight="1">
      <c r="A28" s="833"/>
      <c r="B28" s="829"/>
      <c r="C28" s="788"/>
      <c r="D28" s="909"/>
      <c r="E28" s="852"/>
      <c r="F28" s="852"/>
      <c r="G28" s="852"/>
      <c r="H28" s="852"/>
      <c r="I28" s="853"/>
    </row>
    <row r="29" spans="1:9" ht="7.95" customHeight="1">
      <c r="A29" s="833"/>
      <c r="B29" s="830" t="s">
        <v>415</v>
      </c>
      <c r="C29" s="788" t="s">
        <v>263</v>
      </c>
      <c r="D29" s="905">
        <v>9.2933421551999995</v>
      </c>
      <c r="E29" s="845">
        <v>0</v>
      </c>
      <c r="F29" s="845">
        <v>9.2933421551999995</v>
      </c>
      <c r="G29" s="845">
        <v>0</v>
      </c>
      <c r="H29" s="845">
        <v>9.2933421551999995</v>
      </c>
      <c r="I29" s="847">
        <v>0</v>
      </c>
    </row>
    <row r="30" spans="1:9" ht="7.95" customHeight="1">
      <c r="A30" s="833"/>
      <c r="B30" s="830"/>
      <c r="C30" s="788"/>
      <c r="D30" s="909"/>
      <c r="E30" s="852"/>
      <c r="F30" s="852"/>
      <c r="G30" s="852"/>
      <c r="H30" s="852"/>
      <c r="I30" s="853"/>
    </row>
    <row r="31" spans="1:9" ht="7.95" customHeight="1">
      <c r="A31" s="833"/>
      <c r="B31" s="830" t="s">
        <v>412</v>
      </c>
      <c r="C31" s="788" t="s">
        <v>266</v>
      </c>
      <c r="D31" s="905">
        <v>5.6656016382000001</v>
      </c>
      <c r="E31" s="845">
        <v>0</v>
      </c>
      <c r="F31" s="845">
        <v>5.6656016382000001</v>
      </c>
      <c r="G31" s="845">
        <v>0</v>
      </c>
      <c r="H31" s="845">
        <v>5.6656016382000001</v>
      </c>
      <c r="I31" s="847">
        <v>0</v>
      </c>
    </row>
    <row r="32" spans="1:9" ht="7.95" customHeight="1">
      <c r="A32" s="833"/>
      <c r="B32" s="830"/>
      <c r="C32" s="788"/>
      <c r="D32" s="909"/>
      <c r="E32" s="852"/>
      <c r="F32" s="852"/>
      <c r="G32" s="852"/>
      <c r="H32" s="852"/>
      <c r="I32" s="853"/>
    </row>
    <row r="33" spans="1:9" ht="7.95" customHeight="1">
      <c r="A33" s="833"/>
      <c r="B33" s="830" t="s">
        <v>270</v>
      </c>
      <c r="C33" s="788"/>
      <c r="D33" s="905">
        <v>45.446832186600005</v>
      </c>
      <c r="E33" s="845">
        <v>0</v>
      </c>
      <c r="F33" s="845">
        <v>45.446832186600005</v>
      </c>
      <c r="G33" s="845">
        <v>7.87</v>
      </c>
      <c r="H33" s="845">
        <v>37.576832186600008</v>
      </c>
      <c r="I33" s="847">
        <v>0.17316938544113683</v>
      </c>
    </row>
    <row r="34" spans="1:9" ht="7.95" customHeight="1" thickBot="1">
      <c r="A34" s="834"/>
      <c r="B34" s="830"/>
      <c r="C34" s="788"/>
      <c r="D34" s="906"/>
      <c r="E34" s="907"/>
      <c r="F34" s="907"/>
      <c r="G34" s="907"/>
      <c r="H34" s="907"/>
      <c r="I34" s="908"/>
    </row>
    <row r="35" spans="1:9" ht="7.95" customHeight="1">
      <c r="A35" s="357" t="s">
        <v>271</v>
      </c>
      <c r="B35" s="358"/>
      <c r="C35" s="359"/>
      <c r="D35" s="836">
        <v>901.9721407397999</v>
      </c>
      <c r="E35" s="899">
        <v>-172.39</v>
      </c>
      <c r="F35" s="901">
        <v>729.58214073979991</v>
      </c>
      <c r="G35" s="901">
        <v>48.423555555555552</v>
      </c>
      <c r="H35" s="901">
        <v>681.15858518424432</v>
      </c>
      <c r="I35" s="903">
        <v>6.637162952817599E-2</v>
      </c>
    </row>
    <row r="36" spans="1:9" ht="7.95" customHeight="1" thickBot="1">
      <c r="A36" s="360"/>
      <c r="B36" s="361"/>
      <c r="C36" s="362"/>
      <c r="D36" s="837"/>
      <c r="E36" s="900"/>
      <c r="F36" s="902"/>
      <c r="G36" s="902"/>
      <c r="H36" s="902"/>
      <c r="I36" s="904"/>
    </row>
    <row r="37" spans="1:9" ht="7.95" customHeight="1">
      <c r="A37" s="363"/>
      <c r="B37" s="364"/>
      <c r="C37" s="363"/>
      <c r="D37" s="363"/>
      <c r="E37" s="363"/>
      <c r="F37" s="363"/>
      <c r="G37" s="363"/>
      <c r="H37" s="363"/>
      <c r="I37" s="363"/>
    </row>
    <row r="38" spans="1:9" ht="7.95" customHeight="1" thickBot="1">
      <c r="A38" s="363"/>
      <c r="B38" s="364"/>
      <c r="C38" s="363"/>
      <c r="D38" s="363"/>
      <c r="E38" s="363"/>
      <c r="F38" s="363"/>
      <c r="G38" s="363"/>
      <c r="H38" s="363"/>
      <c r="I38" s="363"/>
    </row>
    <row r="39" spans="1:9" ht="7.95" customHeight="1" thickBot="1">
      <c r="A39" s="365" t="s">
        <v>246</v>
      </c>
      <c r="B39" s="366" t="s">
        <v>247</v>
      </c>
      <c r="C39" s="367" t="s">
        <v>248</v>
      </c>
      <c r="D39" s="354" t="s">
        <v>251</v>
      </c>
      <c r="E39" s="355" t="s">
        <v>4</v>
      </c>
      <c r="F39" s="355" t="s">
        <v>5</v>
      </c>
      <c r="G39" s="355" t="s">
        <v>6</v>
      </c>
      <c r="H39" s="355" t="s">
        <v>7</v>
      </c>
      <c r="I39" s="356" t="s">
        <v>252</v>
      </c>
    </row>
    <row r="40" spans="1:9" ht="7.95" customHeight="1">
      <c r="A40" s="823" t="s">
        <v>272</v>
      </c>
      <c r="B40" s="826" t="s">
        <v>395</v>
      </c>
      <c r="C40" s="791" t="s">
        <v>273</v>
      </c>
      <c r="D40" s="896">
        <v>225.17807252400002</v>
      </c>
      <c r="E40" s="897">
        <v>-207.38</v>
      </c>
      <c r="F40" s="897">
        <v>17.79807252400002</v>
      </c>
      <c r="G40" s="897">
        <v>0</v>
      </c>
      <c r="H40" s="897">
        <v>17.79807252400002</v>
      </c>
      <c r="I40" s="898">
        <v>0</v>
      </c>
    </row>
    <row r="41" spans="1:9" ht="7.95" customHeight="1">
      <c r="A41" s="824"/>
      <c r="B41" s="822"/>
      <c r="C41" s="780"/>
      <c r="D41" s="887"/>
      <c r="E41" s="889"/>
      <c r="F41" s="889"/>
      <c r="G41" s="889"/>
      <c r="H41" s="889"/>
      <c r="I41" s="891"/>
    </row>
    <row r="42" spans="1:9" ht="7.95" customHeight="1">
      <c r="A42" s="824"/>
      <c r="B42" s="806" t="s">
        <v>274</v>
      </c>
      <c r="C42" s="827">
        <v>4312</v>
      </c>
      <c r="D42" s="896">
        <v>7.7656677143999993</v>
      </c>
      <c r="E42" s="897">
        <v>0</v>
      </c>
      <c r="F42" s="897">
        <v>7.7656677143999993</v>
      </c>
      <c r="G42" s="897">
        <v>1.778</v>
      </c>
      <c r="H42" s="897">
        <v>5.9876677143999988</v>
      </c>
      <c r="I42" s="898">
        <v>0.22895648711610808</v>
      </c>
    </row>
    <row r="43" spans="1:9" ht="7.95" customHeight="1">
      <c r="A43" s="824"/>
      <c r="B43" s="805"/>
      <c r="C43" s="777"/>
      <c r="D43" s="887"/>
      <c r="E43" s="889"/>
      <c r="F43" s="889"/>
      <c r="G43" s="889"/>
      <c r="H43" s="889"/>
      <c r="I43" s="891"/>
    </row>
    <row r="44" spans="1:9" ht="7.95" customHeight="1">
      <c r="A44" s="824"/>
      <c r="B44" s="821" t="s">
        <v>396</v>
      </c>
      <c r="C44" s="780" t="s">
        <v>275</v>
      </c>
      <c r="D44" s="887">
        <v>53.069193950399992</v>
      </c>
      <c r="E44" s="889">
        <v>-13.84</v>
      </c>
      <c r="F44" s="889">
        <v>39.229193950399988</v>
      </c>
      <c r="G44" s="889">
        <v>1.0389999999999999</v>
      </c>
      <c r="H44" s="889">
        <v>38.190193950399987</v>
      </c>
      <c r="I44" s="891">
        <v>2.648537722476977E-2</v>
      </c>
    </row>
    <row r="45" spans="1:9" ht="7.95" customHeight="1">
      <c r="A45" s="824"/>
      <c r="B45" s="822"/>
      <c r="C45" s="780"/>
      <c r="D45" s="887"/>
      <c r="E45" s="889"/>
      <c r="F45" s="889"/>
      <c r="G45" s="889"/>
      <c r="H45" s="889"/>
      <c r="I45" s="891"/>
    </row>
    <row r="46" spans="1:9" ht="7.95" customHeight="1">
      <c r="A46" s="824"/>
      <c r="B46" s="821" t="s">
        <v>436</v>
      </c>
      <c r="C46" s="780" t="s">
        <v>276</v>
      </c>
      <c r="D46" s="893">
        <v>13.99661493</v>
      </c>
      <c r="E46" s="894">
        <v>-13.997</v>
      </c>
      <c r="F46" s="894">
        <v>-3.8507000000009839E-4</v>
      </c>
      <c r="G46" s="894">
        <v>0</v>
      </c>
      <c r="H46" s="894">
        <v>-3.8507000000009839E-4</v>
      </c>
      <c r="I46" s="895">
        <v>0</v>
      </c>
    </row>
    <row r="47" spans="1:9" ht="7.95" customHeight="1">
      <c r="A47" s="824"/>
      <c r="B47" s="822"/>
      <c r="C47" s="780"/>
      <c r="D47" s="893"/>
      <c r="E47" s="894"/>
      <c r="F47" s="894"/>
      <c r="G47" s="894"/>
      <c r="H47" s="894"/>
      <c r="I47" s="895"/>
    </row>
    <row r="48" spans="1:9" ht="7.95" customHeight="1">
      <c r="A48" s="824"/>
      <c r="B48" s="821" t="s">
        <v>397</v>
      </c>
      <c r="C48" s="779" t="s">
        <v>277</v>
      </c>
      <c r="D48" s="887">
        <v>41.141341276200002</v>
      </c>
      <c r="E48" s="889">
        <v>-54.293999999999997</v>
      </c>
      <c r="F48" s="889">
        <v>-13.152658723799995</v>
      </c>
      <c r="G48" s="889">
        <v>0</v>
      </c>
      <c r="H48" s="889">
        <v>-13.152658723799995</v>
      </c>
      <c r="I48" s="891">
        <v>0</v>
      </c>
    </row>
    <row r="49" spans="1:9" ht="7.95" customHeight="1">
      <c r="A49" s="824"/>
      <c r="B49" s="822"/>
      <c r="C49" s="779"/>
      <c r="D49" s="887"/>
      <c r="E49" s="889"/>
      <c r="F49" s="889"/>
      <c r="G49" s="889"/>
      <c r="H49" s="889"/>
      <c r="I49" s="891"/>
    </row>
    <row r="50" spans="1:9" ht="7.95" customHeight="1">
      <c r="A50" s="824"/>
      <c r="B50" s="782" t="s">
        <v>398</v>
      </c>
      <c r="C50" s="777" t="s">
        <v>278</v>
      </c>
      <c r="D50" s="887">
        <v>74.443126333800009</v>
      </c>
      <c r="E50" s="889">
        <v>0</v>
      </c>
      <c r="F50" s="889">
        <v>74.443126333800009</v>
      </c>
      <c r="G50" s="889">
        <v>0</v>
      </c>
      <c r="H50" s="889">
        <v>74.443126333800009</v>
      </c>
      <c r="I50" s="891">
        <v>0</v>
      </c>
    </row>
    <row r="51" spans="1:9" ht="7.95" customHeight="1">
      <c r="A51" s="824"/>
      <c r="B51" s="805"/>
      <c r="C51" s="777"/>
      <c r="D51" s="887"/>
      <c r="E51" s="889"/>
      <c r="F51" s="889"/>
      <c r="G51" s="889"/>
      <c r="H51" s="889"/>
      <c r="I51" s="891"/>
    </row>
    <row r="52" spans="1:9" ht="7.95" customHeight="1">
      <c r="A52" s="824"/>
      <c r="B52" s="821" t="s">
        <v>281</v>
      </c>
      <c r="C52" s="780" t="s">
        <v>282</v>
      </c>
      <c r="D52" s="887">
        <v>22.9479077658</v>
      </c>
      <c r="E52" s="889">
        <v>-22.302</v>
      </c>
      <c r="F52" s="889">
        <v>0.64590776580000053</v>
      </c>
      <c r="G52" s="889">
        <v>0</v>
      </c>
      <c r="H52" s="889">
        <v>0.64590776580000053</v>
      </c>
      <c r="I52" s="891">
        <v>0</v>
      </c>
    </row>
    <row r="53" spans="1:9" ht="7.95" customHeight="1">
      <c r="A53" s="824"/>
      <c r="B53" s="822"/>
      <c r="C53" s="780"/>
      <c r="D53" s="887"/>
      <c r="E53" s="889"/>
      <c r="F53" s="889"/>
      <c r="G53" s="889"/>
      <c r="H53" s="889"/>
      <c r="I53" s="891"/>
    </row>
    <row r="54" spans="1:9" ht="7.95" customHeight="1">
      <c r="A54" s="824"/>
      <c r="B54" s="821" t="s">
        <v>283</v>
      </c>
      <c r="C54" s="780" t="s">
        <v>284</v>
      </c>
      <c r="D54" s="887">
        <v>51.766474818000006</v>
      </c>
      <c r="E54" s="889">
        <v>-67.206999999999994</v>
      </c>
      <c r="F54" s="889">
        <v>-15.440525181999988</v>
      </c>
      <c r="G54" s="889">
        <v>0</v>
      </c>
      <c r="H54" s="889">
        <v>-15.440525181999988</v>
      </c>
      <c r="I54" s="891">
        <v>0</v>
      </c>
    </row>
    <row r="55" spans="1:9" ht="7.95" customHeight="1">
      <c r="A55" s="824"/>
      <c r="B55" s="822"/>
      <c r="C55" s="780"/>
      <c r="D55" s="887"/>
      <c r="E55" s="889"/>
      <c r="F55" s="889"/>
      <c r="G55" s="889"/>
      <c r="H55" s="889"/>
      <c r="I55" s="891"/>
    </row>
    <row r="56" spans="1:9" ht="7.95" customHeight="1">
      <c r="A56" s="824"/>
      <c r="B56" s="821" t="s">
        <v>399</v>
      </c>
      <c r="C56" s="779" t="s">
        <v>285</v>
      </c>
      <c r="D56" s="887">
        <v>66.109467467999991</v>
      </c>
      <c r="E56" s="889">
        <v>-66.11</v>
      </c>
      <c r="F56" s="889">
        <v>-5.3253200000824563E-4</v>
      </c>
      <c r="G56" s="889">
        <v>0</v>
      </c>
      <c r="H56" s="889">
        <v>-5.3253200000824563E-4</v>
      </c>
      <c r="I56" s="891">
        <v>0</v>
      </c>
    </row>
    <row r="57" spans="1:9" ht="7.95" customHeight="1">
      <c r="A57" s="824"/>
      <c r="B57" s="822"/>
      <c r="C57" s="779"/>
      <c r="D57" s="887"/>
      <c r="E57" s="889"/>
      <c r="F57" s="889"/>
      <c r="G57" s="889"/>
      <c r="H57" s="889"/>
      <c r="I57" s="891"/>
    </row>
    <row r="58" spans="1:9" ht="7.95" customHeight="1">
      <c r="A58" s="824"/>
      <c r="B58" s="782" t="s">
        <v>400</v>
      </c>
      <c r="C58" s="777" t="s">
        <v>286</v>
      </c>
      <c r="D58" s="887">
        <v>89.091814493399994</v>
      </c>
      <c r="E58" s="889">
        <v>0</v>
      </c>
      <c r="F58" s="889">
        <v>89.091814493399994</v>
      </c>
      <c r="G58" s="889">
        <v>5.94</v>
      </c>
      <c r="H58" s="889">
        <v>83.151814493399996</v>
      </c>
      <c r="I58" s="891">
        <v>6.6672791813439172E-2</v>
      </c>
    </row>
    <row r="59" spans="1:9" ht="7.95" customHeight="1">
      <c r="A59" s="824"/>
      <c r="B59" s="805"/>
      <c r="C59" s="777"/>
      <c r="D59" s="887"/>
      <c r="E59" s="889"/>
      <c r="F59" s="889"/>
      <c r="G59" s="889"/>
      <c r="H59" s="889"/>
      <c r="I59" s="891"/>
    </row>
    <row r="60" spans="1:9" ht="7.95" customHeight="1">
      <c r="A60" s="824"/>
      <c r="B60" s="819" t="s">
        <v>401</v>
      </c>
      <c r="C60" s="798" t="s">
        <v>287</v>
      </c>
      <c r="D60" s="887">
        <v>110.8836339714</v>
      </c>
      <c r="E60" s="889">
        <v>-97.352000000000004</v>
      </c>
      <c r="F60" s="889">
        <v>13.531633971399998</v>
      </c>
      <c r="G60" s="889">
        <v>1.2</v>
      </c>
      <c r="H60" s="889">
        <v>12.331633971399999</v>
      </c>
      <c r="I60" s="891">
        <v>8.8681086300167383E-2</v>
      </c>
    </row>
    <row r="61" spans="1:9" ht="7.95" customHeight="1">
      <c r="A61" s="824"/>
      <c r="B61" s="820"/>
      <c r="C61" s="798"/>
      <c r="D61" s="887"/>
      <c r="E61" s="889"/>
      <c r="F61" s="889"/>
      <c r="G61" s="889"/>
      <c r="H61" s="889"/>
      <c r="I61" s="891"/>
    </row>
    <row r="62" spans="1:9" ht="7.95" customHeight="1">
      <c r="A62" s="824"/>
      <c r="B62" s="821" t="s">
        <v>437</v>
      </c>
      <c r="C62" s="780" t="s">
        <v>288</v>
      </c>
      <c r="D62" s="887">
        <v>76.429125146999993</v>
      </c>
      <c r="E62" s="889">
        <v>-49.030999999999999</v>
      </c>
      <c r="F62" s="889">
        <v>27.398125146999995</v>
      </c>
      <c r="G62" s="889">
        <v>1.778</v>
      </c>
      <c r="H62" s="889">
        <v>25.620125146999996</v>
      </c>
      <c r="I62" s="891">
        <v>6.4894951404902437E-2</v>
      </c>
    </row>
    <row r="63" spans="1:9" ht="7.95" customHeight="1">
      <c r="A63" s="824"/>
      <c r="B63" s="822"/>
      <c r="C63" s="780"/>
      <c r="D63" s="887"/>
      <c r="E63" s="889"/>
      <c r="F63" s="889"/>
      <c r="G63" s="889"/>
      <c r="H63" s="889"/>
      <c r="I63" s="891"/>
    </row>
    <row r="64" spans="1:9" ht="7.95" customHeight="1">
      <c r="A64" s="824"/>
      <c r="B64" s="821" t="s">
        <v>402</v>
      </c>
      <c r="C64" s="780" t="s">
        <v>289</v>
      </c>
      <c r="D64" s="887">
        <v>29.732017331999998</v>
      </c>
      <c r="E64" s="889">
        <v>-24.238</v>
      </c>
      <c r="F64" s="889">
        <v>5.4940173319999985</v>
      </c>
      <c r="G64" s="889">
        <v>0</v>
      </c>
      <c r="H64" s="889">
        <v>5.4940173319999985</v>
      </c>
      <c r="I64" s="891">
        <v>0</v>
      </c>
    </row>
    <row r="65" spans="1:9" ht="7.95" customHeight="1">
      <c r="A65" s="824"/>
      <c r="B65" s="822"/>
      <c r="C65" s="780"/>
      <c r="D65" s="887"/>
      <c r="E65" s="889"/>
      <c r="F65" s="889"/>
      <c r="G65" s="889"/>
      <c r="H65" s="889"/>
      <c r="I65" s="891"/>
    </row>
    <row r="66" spans="1:9" ht="7.95" customHeight="1">
      <c r="A66" s="824"/>
      <c r="B66" s="782" t="s">
        <v>403</v>
      </c>
      <c r="C66" s="777" t="s">
        <v>290</v>
      </c>
      <c r="D66" s="887">
        <v>14.111729100600002</v>
      </c>
      <c r="E66" s="889">
        <v>0</v>
      </c>
      <c r="F66" s="889">
        <v>14.111729100600002</v>
      </c>
      <c r="G66" s="889">
        <v>7.2999999999999995E-2</v>
      </c>
      <c r="H66" s="889">
        <v>14.038729100600001</v>
      </c>
      <c r="I66" s="891">
        <v>5.1730017972706254E-3</v>
      </c>
    </row>
    <row r="67" spans="1:9" ht="7.95" customHeight="1">
      <c r="A67" s="824"/>
      <c r="B67" s="805"/>
      <c r="C67" s="777"/>
      <c r="D67" s="887"/>
      <c r="E67" s="889"/>
      <c r="F67" s="889"/>
      <c r="G67" s="889"/>
      <c r="H67" s="889"/>
      <c r="I67" s="891"/>
    </row>
    <row r="68" spans="1:9" ht="7.95" customHeight="1">
      <c r="A68" s="824"/>
      <c r="B68" s="821" t="s">
        <v>404</v>
      </c>
      <c r="C68" s="779" t="s">
        <v>291</v>
      </c>
      <c r="D68" s="887">
        <v>4.3165728840000002</v>
      </c>
      <c r="E68" s="889">
        <v>-4.3159999999999998</v>
      </c>
      <c r="F68" s="889">
        <v>5.728840000003288E-4</v>
      </c>
      <c r="G68" s="889">
        <v>0</v>
      </c>
      <c r="H68" s="889">
        <v>5.728840000003288E-4</v>
      </c>
      <c r="I68" s="891">
        <v>0</v>
      </c>
    </row>
    <row r="69" spans="1:9" ht="7.95" customHeight="1">
      <c r="A69" s="824"/>
      <c r="B69" s="822"/>
      <c r="C69" s="779"/>
      <c r="D69" s="887"/>
      <c r="E69" s="889"/>
      <c r="F69" s="889"/>
      <c r="G69" s="889"/>
      <c r="H69" s="889"/>
      <c r="I69" s="891"/>
    </row>
    <row r="70" spans="1:9" ht="7.95" customHeight="1">
      <c r="A70" s="824"/>
      <c r="B70" s="782" t="s">
        <v>405</v>
      </c>
      <c r="C70" s="788" t="s">
        <v>292</v>
      </c>
      <c r="D70" s="887">
        <v>11.694490026</v>
      </c>
      <c r="E70" s="889">
        <v>0</v>
      </c>
      <c r="F70" s="889">
        <v>11.694490026</v>
      </c>
      <c r="G70" s="889">
        <v>0.55200000000000005</v>
      </c>
      <c r="H70" s="889">
        <v>11.142490026000001</v>
      </c>
      <c r="I70" s="891">
        <v>4.7201716258918121E-2</v>
      </c>
    </row>
    <row r="71" spans="1:9" ht="7.95" customHeight="1">
      <c r="A71" s="824"/>
      <c r="B71" s="805"/>
      <c r="C71" s="788"/>
      <c r="D71" s="887"/>
      <c r="E71" s="889"/>
      <c r="F71" s="889"/>
      <c r="G71" s="889"/>
      <c r="H71" s="889"/>
      <c r="I71" s="891"/>
    </row>
    <row r="72" spans="1:9" ht="7.95" customHeight="1">
      <c r="A72" s="824"/>
      <c r="B72" s="782" t="s">
        <v>293</v>
      </c>
      <c r="C72" s="777"/>
      <c r="D72" s="887">
        <v>8.253402114</v>
      </c>
      <c r="E72" s="889">
        <v>0</v>
      </c>
      <c r="F72" s="889">
        <v>8.253402114</v>
      </c>
      <c r="G72" s="889">
        <v>0</v>
      </c>
      <c r="H72" s="889">
        <v>8.253402114</v>
      </c>
      <c r="I72" s="891">
        <v>0</v>
      </c>
    </row>
    <row r="73" spans="1:9" ht="7.95" customHeight="1" thickBot="1">
      <c r="A73" s="825"/>
      <c r="B73" s="806"/>
      <c r="C73" s="783"/>
      <c r="D73" s="888"/>
      <c r="E73" s="890"/>
      <c r="F73" s="890"/>
      <c r="G73" s="890"/>
      <c r="H73" s="890"/>
      <c r="I73" s="892"/>
    </row>
    <row r="74" spans="1:9" ht="7.95" customHeight="1">
      <c r="A74" s="807" t="s">
        <v>294</v>
      </c>
      <c r="B74" s="808"/>
      <c r="C74" s="809"/>
      <c r="D74" s="836">
        <v>900.93065184900001</v>
      </c>
      <c r="E74" s="838">
        <v>-620.06700000000001</v>
      </c>
      <c r="F74" s="838">
        <v>280.86365184900001</v>
      </c>
      <c r="G74" s="838">
        <v>12.360000000000001</v>
      </c>
      <c r="H74" s="838">
        <v>268.50365184899999</v>
      </c>
      <c r="I74" s="840">
        <v>4.4007118467024264E-2</v>
      </c>
    </row>
    <row r="75" spans="1:9" ht="7.95" customHeight="1" thickBot="1">
      <c r="A75" s="810"/>
      <c r="B75" s="811"/>
      <c r="C75" s="812"/>
      <c r="D75" s="837"/>
      <c r="E75" s="839"/>
      <c r="F75" s="839"/>
      <c r="G75" s="839"/>
      <c r="H75" s="839"/>
      <c r="I75" s="841"/>
    </row>
    <row r="76" spans="1:9" ht="7.95" customHeight="1">
      <c r="A76" s="368"/>
      <c r="B76" s="369"/>
      <c r="C76" s="368"/>
      <c r="D76" s="368"/>
      <c r="E76" s="368"/>
      <c r="F76" s="368"/>
      <c r="G76" s="368"/>
      <c r="H76" s="368"/>
      <c r="I76" s="368"/>
    </row>
    <row r="77" spans="1:9" ht="7.95" customHeight="1" thickBot="1">
      <c r="A77" s="368"/>
      <c r="B77" s="369"/>
      <c r="C77" s="368"/>
      <c r="D77" s="368"/>
      <c r="E77" s="368"/>
      <c r="F77" s="368"/>
      <c r="G77" s="368"/>
      <c r="H77" s="368"/>
      <c r="I77" s="368"/>
    </row>
    <row r="78" spans="1:9" ht="7.95" customHeight="1" thickBot="1">
      <c r="A78" s="357" t="s">
        <v>246</v>
      </c>
      <c r="B78" s="370" t="s">
        <v>247</v>
      </c>
      <c r="C78" s="367" t="s">
        <v>248</v>
      </c>
      <c r="D78" s="371" t="s">
        <v>251</v>
      </c>
      <c r="E78" s="372" t="s">
        <v>4</v>
      </c>
      <c r="F78" s="372" t="s">
        <v>5</v>
      </c>
      <c r="G78" s="372" t="s">
        <v>6</v>
      </c>
      <c r="H78" s="372" t="s">
        <v>7</v>
      </c>
      <c r="I78" s="373" t="s">
        <v>252</v>
      </c>
    </row>
    <row r="79" spans="1:9" ht="7.95" customHeight="1">
      <c r="A79" s="813" t="s">
        <v>295</v>
      </c>
      <c r="B79" s="816" t="s">
        <v>406</v>
      </c>
      <c r="C79" s="818" t="s">
        <v>296</v>
      </c>
      <c r="D79" s="877">
        <v>38.908963288800003</v>
      </c>
      <c r="E79" s="878">
        <v>-40.853999999999999</v>
      </c>
      <c r="F79" s="879">
        <v>-1.9450367111999967</v>
      </c>
      <c r="G79" s="880">
        <v>0</v>
      </c>
      <c r="H79" s="879">
        <v>-1.9450367111999967</v>
      </c>
      <c r="I79" s="881">
        <v>0</v>
      </c>
    </row>
    <row r="80" spans="1:9" ht="7.95" customHeight="1">
      <c r="A80" s="814"/>
      <c r="B80" s="817"/>
      <c r="C80" s="798"/>
      <c r="D80" s="877"/>
      <c r="E80" s="878"/>
      <c r="F80" s="879"/>
      <c r="G80" s="880"/>
      <c r="H80" s="879"/>
      <c r="I80" s="881"/>
    </row>
    <row r="81" spans="1:9" ht="7.95" customHeight="1">
      <c r="A81" s="814"/>
      <c r="B81" s="802" t="s">
        <v>407</v>
      </c>
      <c r="C81" s="777" t="s">
        <v>297</v>
      </c>
      <c r="D81" s="862">
        <v>1.5319186812000001</v>
      </c>
      <c r="E81" s="864">
        <v>0</v>
      </c>
      <c r="F81" s="866">
        <v>1.5319186812000001</v>
      </c>
      <c r="G81" s="868">
        <v>0</v>
      </c>
      <c r="H81" s="866">
        <v>1.5319186812000001</v>
      </c>
      <c r="I81" s="870">
        <v>0</v>
      </c>
    </row>
    <row r="82" spans="1:9" ht="7.95" customHeight="1">
      <c r="A82" s="814"/>
      <c r="B82" s="802"/>
      <c r="C82" s="777"/>
      <c r="D82" s="862"/>
      <c r="E82" s="864"/>
      <c r="F82" s="866"/>
      <c r="G82" s="868"/>
      <c r="H82" s="866"/>
      <c r="I82" s="870"/>
    </row>
    <row r="83" spans="1:9" ht="7.95" customHeight="1">
      <c r="A83" s="814"/>
      <c r="B83" s="802" t="s">
        <v>298</v>
      </c>
      <c r="C83" s="777" t="s">
        <v>299</v>
      </c>
      <c r="D83" s="862">
        <v>2.4402382080000002</v>
      </c>
      <c r="E83" s="864">
        <v>0</v>
      </c>
      <c r="F83" s="866">
        <v>2.4402382080000002</v>
      </c>
      <c r="G83" s="868">
        <v>2.3530000000000002</v>
      </c>
      <c r="H83" s="866">
        <v>8.7238208000000039E-2</v>
      </c>
      <c r="I83" s="870">
        <v>0.96425012619095918</v>
      </c>
    </row>
    <row r="84" spans="1:9" ht="7.95" customHeight="1">
      <c r="A84" s="814"/>
      <c r="B84" s="802"/>
      <c r="C84" s="777"/>
      <c r="D84" s="862"/>
      <c r="E84" s="864"/>
      <c r="F84" s="866"/>
      <c r="G84" s="868"/>
      <c r="H84" s="866"/>
      <c r="I84" s="870"/>
    </row>
    <row r="85" spans="1:9" ht="7.95" customHeight="1">
      <c r="A85" s="814"/>
      <c r="B85" s="802" t="s">
        <v>300</v>
      </c>
      <c r="C85" s="777" t="s">
        <v>301</v>
      </c>
      <c r="D85" s="862">
        <v>2.5910325294000001</v>
      </c>
      <c r="E85" s="864">
        <v>0</v>
      </c>
      <c r="F85" s="866">
        <v>2.5910325294000001</v>
      </c>
      <c r="G85" s="868">
        <v>0.46</v>
      </c>
      <c r="H85" s="866">
        <v>2.1310325294000001</v>
      </c>
      <c r="I85" s="870">
        <v>0.17753540134307819</v>
      </c>
    </row>
    <row r="86" spans="1:9" ht="7.95" customHeight="1">
      <c r="A86" s="814"/>
      <c r="B86" s="802"/>
      <c r="C86" s="777"/>
      <c r="D86" s="862"/>
      <c r="E86" s="864"/>
      <c r="F86" s="866"/>
      <c r="G86" s="868"/>
      <c r="H86" s="866"/>
      <c r="I86" s="870"/>
    </row>
    <row r="87" spans="1:9" ht="7.95" customHeight="1">
      <c r="A87" s="814"/>
      <c r="B87" s="802" t="s">
        <v>302</v>
      </c>
      <c r="C87" s="777" t="s">
        <v>303</v>
      </c>
      <c r="D87" s="862">
        <v>5.5977696492</v>
      </c>
      <c r="E87" s="864">
        <v>0</v>
      </c>
      <c r="F87" s="866">
        <v>5.5977696492</v>
      </c>
      <c r="G87" s="868">
        <v>0</v>
      </c>
      <c r="H87" s="866">
        <v>5.5977696492</v>
      </c>
      <c r="I87" s="870">
        <v>0</v>
      </c>
    </row>
    <row r="88" spans="1:9" ht="7.95" customHeight="1">
      <c r="A88" s="814"/>
      <c r="B88" s="802"/>
      <c r="C88" s="777"/>
      <c r="D88" s="862"/>
      <c r="E88" s="864"/>
      <c r="F88" s="866"/>
      <c r="G88" s="868"/>
      <c r="H88" s="866"/>
      <c r="I88" s="870"/>
    </row>
    <row r="89" spans="1:9" ht="7.95" customHeight="1">
      <c r="A89" s="814"/>
      <c r="B89" s="799" t="s">
        <v>304</v>
      </c>
      <c r="C89" s="780" t="s">
        <v>305</v>
      </c>
      <c r="D89" s="862">
        <v>7.728258316799999</v>
      </c>
      <c r="E89" s="864">
        <v>-7.7279999999999998</v>
      </c>
      <c r="F89" s="866">
        <v>2.583167999992142E-4</v>
      </c>
      <c r="G89" s="868">
        <v>0</v>
      </c>
      <c r="H89" s="866">
        <v>2.583167999992142E-4</v>
      </c>
      <c r="I89" s="870">
        <v>0</v>
      </c>
    </row>
    <row r="90" spans="1:9" ht="7.95" customHeight="1">
      <c r="A90" s="814"/>
      <c r="B90" s="800"/>
      <c r="C90" s="780"/>
      <c r="D90" s="862"/>
      <c r="E90" s="864"/>
      <c r="F90" s="866"/>
      <c r="G90" s="868"/>
      <c r="H90" s="866"/>
      <c r="I90" s="870"/>
    </row>
    <row r="91" spans="1:9" ht="7.95" customHeight="1">
      <c r="A91" s="814"/>
      <c r="B91" s="799" t="s">
        <v>306</v>
      </c>
      <c r="C91" s="780" t="s">
        <v>307</v>
      </c>
      <c r="D91" s="862">
        <v>9.3792312245999998</v>
      </c>
      <c r="E91" s="864">
        <v>-5</v>
      </c>
      <c r="F91" s="866">
        <v>4.3792312245999998</v>
      </c>
      <c r="G91" s="868">
        <v>0</v>
      </c>
      <c r="H91" s="866">
        <v>4.3792312245999998</v>
      </c>
      <c r="I91" s="870">
        <v>0</v>
      </c>
    </row>
    <row r="92" spans="1:9" ht="7.95" customHeight="1">
      <c r="A92" s="814"/>
      <c r="B92" s="800"/>
      <c r="C92" s="780"/>
      <c r="D92" s="862"/>
      <c r="E92" s="864"/>
      <c r="F92" s="866"/>
      <c r="G92" s="868"/>
      <c r="H92" s="866"/>
      <c r="I92" s="870"/>
    </row>
    <row r="93" spans="1:9" ht="7.95" customHeight="1">
      <c r="A93" s="814"/>
      <c r="B93" s="801" t="s">
        <v>308</v>
      </c>
      <c r="C93" s="780" t="s">
        <v>309</v>
      </c>
      <c r="D93" s="877">
        <v>9.4275093648000006</v>
      </c>
      <c r="E93" s="878">
        <v>-9.4269999999999996</v>
      </c>
      <c r="F93" s="879">
        <v>5.0936480000096651E-4</v>
      </c>
      <c r="G93" s="880">
        <v>0.27</v>
      </c>
      <c r="H93" s="879">
        <v>-0.26949063519999905</v>
      </c>
      <c r="I93" s="881">
        <v>530.0719641394295</v>
      </c>
    </row>
    <row r="94" spans="1:9" ht="7.95" customHeight="1">
      <c r="A94" s="814"/>
      <c r="B94" s="801"/>
      <c r="C94" s="780"/>
      <c r="D94" s="877"/>
      <c r="E94" s="878"/>
      <c r="F94" s="879"/>
      <c r="G94" s="880"/>
      <c r="H94" s="879"/>
      <c r="I94" s="881"/>
    </row>
    <row r="95" spans="1:9" ht="7.95" customHeight="1">
      <c r="A95" s="814"/>
      <c r="B95" s="802" t="s">
        <v>310</v>
      </c>
      <c r="C95" s="777" t="s">
        <v>311</v>
      </c>
      <c r="D95" s="862">
        <v>5.2894991394000002</v>
      </c>
      <c r="E95" s="864">
        <v>0</v>
      </c>
      <c r="F95" s="866">
        <v>5.2894991394000002</v>
      </c>
      <c r="G95" s="868">
        <v>0</v>
      </c>
      <c r="H95" s="866">
        <v>5.2894991394000002</v>
      </c>
      <c r="I95" s="870">
        <v>0</v>
      </c>
    </row>
    <row r="96" spans="1:9" ht="7.95" customHeight="1">
      <c r="A96" s="814"/>
      <c r="B96" s="802"/>
      <c r="C96" s="777"/>
      <c r="D96" s="862"/>
      <c r="E96" s="864"/>
      <c r="F96" s="866"/>
      <c r="G96" s="868"/>
      <c r="H96" s="866"/>
      <c r="I96" s="870"/>
    </row>
    <row r="97" spans="1:9" ht="7.95" customHeight="1">
      <c r="A97" s="814"/>
      <c r="B97" s="802" t="s">
        <v>312</v>
      </c>
      <c r="C97" s="777" t="s">
        <v>313</v>
      </c>
      <c r="D97" s="862">
        <v>17.853778794</v>
      </c>
      <c r="E97" s="864">
        <v>0</v>
      </c>
      <c r="F97" s="866">
        <v>17.853778794</v>
      </c>
      <c r="G97" s="868">
        <v>0</v>
      </c>
      <c r="H97" s="866">
        <v>17.853778794</v>
      </c>
      <c r="I97" s="870">
        <v>0</v>
      </c>
    </row>
    <row r="98" spans="1:9" ht="7.95" customHeight="1">
      <c r="A98" s="814"/>
      <c r="B98" s="802"/>
      <c r="C98" s="777"/>
      <c r="D98" s="862"/>
      <c r="E98" s="864"/>
      <c r="F98" s="866"/>
      <c r="G98" s="868"/>
      <c r="H98" s="866"/>
      <c r="I98" s="870"/>
    </row>
    <row r="99" spans="1:9" ht="7.95" customHeight="1">
      <c r="A99" s="814"/>
      <c r="B99" s="802" t="s">
        <v>409</v>
      </c>
      <c r="C99" s="777" t="s">
        <v>314</v>
      </c>
      <c r="D99" s="862">
        <v>14.430730601999999</v>
      </c>
      <c r="E99" s="864">
        <v>0</v>
      </c>
      <c r="F99" s="866">
        <v>14.430730601999999</v>
      </c>
      <c r="G99" s="868">
        <v>0</v>
      </c>
      <c r="H99" s="866">
        <v>14.430730601999999</v>
      </c>
      <c r="I99" s="870">
        <v>0</v>
      </c>
    </row>
    <row r="100" spans="1:9" ht="7.95" customHeight="1">
      <c r="A100" s="814"/>
      <c r="B100" s="802"/>
      <c r="C100" s="777"/>
      <c r="D100" s="862"/>
      <c r="E100" s="864"/>
      <c r="F100" s="866"/>
      <c r="G100" s="868"/>
      <c r="H100" s="866"/>
      <c r="I100" s="870"/>
    </row>
    <row r="101" spans="1:9" ht="7.95" customHeight="1">
      <c r="A101" s="814"/>
      <c r="B101" s="799" t="s">
        <v>315</v>
      </c>
      <c r="C101" s="780" t="s">
        <v>316</v>
      </c>
      <c r="D101" s="862">
        <v>6.8288797734000006</v>
      </c>
      <c r="E101" s="864">
        <v>-17.853999999999999</v>
      </c>
      <c r="F101" s="866">
        <v>-11.025120226599999</v>
      </c>
      <c r="G101" s="868">
        <v>0</v>
      </c>
      <c r="H101" s="866">
        <v>-11.025120226599999</v>
      </c>
      <c r="I101" s="870">
        <v>0</v>
      </c>
    </row>
    <row r="102" spans="1:9" ht="7.95" customHeight="1">
      <c r="A102" s="814"/>
      <c r="B102" s="800"/>
      <c r="C102" s="780"/>
      <c r="D102" s="862"/>
      <c r="E102" s="864"/>
      <c r="F102" s="866"/>
      <c r="G102" s="868"/>
      <c r="H102" s="866"/>
      <c r="I102" s="870"/>
    </row>
    <row r="103" spans="1:9" ht="7.95" customHeight="1">
      <c r="A103" s="814"/>
      <c r="B103" s="801" t="s">
        <v>317</v>
      </c>
      <c r="C103" s="780" t="s">
        <v>318</v>
      </c>
      <c r="D103" s="862">
        <v>49.589861832000004</v>
      </c>
      <c r="E103" s="864">
        <v>-44.368000000000002</v>
      </c>
      <c r="F103" s="866">
        <v>5.2218618320000019</v>
      </c>
      <c r="G103" s="868">
        <v>0</v>
      </c>
      <c r="H103" s="866">
        <v>5.2218618320000019</v>
      </c>
      <c r="I103" s="870">
        <v>0</v>
      </c>
    </row>
    <row r="104" spans="1:9" ht="7.95" customHeight="1">
      <c r="A104" s="814"/>
      <c r="B104" s="801"/>
      <c r="C104" s="780"/>
      <c r="D104" s="862"/>
      <c r="E104" s="864"/>
      <c r="F104" s="866"/>
      <c r="G104" s="868"/>
      <c r="H104" s="866"/>
      <c r="I104" s="870"/>
    </row>
    <row r="105" spans="1:9" ht="7.95" customHeight="1">
      <c r="A105" s="814"/>
      <c r="B105" s="803" t="s">
        <v>408</v>
      </c>
      <c r="C105" s="798" t="s">
        <v>319</v>
      </c>
      <c r="D105" s="882">
        <v>34.480564143000002</v>
      </c>
      <c r="E105" s="883">
        <v>-34.481000000000002</v>
      </c>
      <c r="F105" s="884">
        <v>-4.3585699999937333E-4</v>
      </c>
      <c r="G105" s="885">
        <v>0</v>
      </c>
      <c r="H105" s="884">
        <v>-4.3585699999937333E-4</v>
      </c>
      <c r="I105" s="886">
        <v>0</v>
      </c>
    </row>
    <row r="106" spans="1:9" ht="7.95" customHeight="1">
      <c r="A106" s="814"/>
      <c r="B106" s="804"/>
      <c r="C106" s="798"/>
      <c r="D106" s="882"/>
      <c r="E106" s="883"/>
      <c r="F106" s="884"/>
      <c r="G106" s="885"/>
      <c r="H106" s="884"/>
      <c r="I106" s="886"/>
    </row>
    <row r="107" spans="1:9" ht="7.95" customHeight="1">
      <c r="A107" s="814"/>
      <c r="B107" s="802" t="s">
        <v>320</v>
      </c>
      <c r="C107" s="777" t="s">
        <v>321</v>
      </c>
      <c r="D107" s="862">
        <v>22.613021121000003</v>
      </c>
      <c r="E107" s="864">
        <v>0</v>
      </c>
      <c r="F107" s="866">
        <v>22.613021121000003</v>
      </c>
      <c r="G107" s="868">
        <v>0</v>
      </c>
      <c r="H107" s="866">
        <v>22.613021121000003</v>
      </c>
      <c r="I107" s="870">
        <v>0</v>
      </c>
    </row>
    <row r="108" spans="1:9" ht="7.95" customHeight="1">
      <c r="A108" s="814"/>
      <c r="B108" s="802"/>
      <c r="C108" s="777"/>
      <c r="D108" s="862"/>
      <c r="E108" s="864"/>
      <c r="F108" s="866"/>
      <c r="G108" s="868"/>
      <c r="H108" s="866"/>
      <c r="I108" s="870"/>
    </row>
    <row r="109" spans="1:9" ht="7.95" customHeight="1">
      <c r="A109" s="814"/>
      <c r="B109" s="801" t="s">
        <v>322</v>
      </c>
      <c r="C109" s="780" t="s">
        <v>323</v>
      </c>
      <c r="D109" s="877">
        <v>44.919671941199994</v>
      </c>
      <c r="E109" s="878">
        <v>-49.555999999999997</v>
      </c>
      <c r="F109" s="879">
        <v>-4.6363280588000038</v>
      </c>
      <c r="G109" s="880">
        <v>0</v>
      </c>
      <c r="H109" s="879">
        <v>-4.6363280588000038</v>
      </c>
      <c r="I109" s="881">
        <v>0</v>
      </c>
    </row>
    <row r="110" spans="1:9" ht="7.95" customHeight="1">
      <c r="A110" s="814"/>
      <c r="B110" s="801"/>
      <c r="C110" s="780"/>
      <c r="D110" s="877"/>
      <c r="E110" s="878"/>
      <c r="F110" s="879"/>
      <c r="G110" s="880"/>
      <c r="H110" s="879"/>
      <c r="I110" s="881"/>
    </row>
    <row r="111" spans="1:9" ht="7.95" customHeight="1">
      <c r="A111" s="814"/>
      <c r="B111" s="803" t="s">
        <v>428</v>
      </c>
      <c r="C111" s="798" t="s">
        <v>324</v>
      </c>
      <c r="D111" s="882">
        <v>46.204785741000002</v>
      </c>
      <c r="E111" s="883">
        <v>-46.204999999999998</v>
      </c>
      <c r="F111" s="884">
        <v>-2.1425899999627518E-4</v>
      </c>
      <c r="G111" s="885">
        <v>0</v>
      </c>
      <c r="H111" s="884">
        <v>-2.1425899999627518E-4</v>
      </c>
      <c r="I111" s="886">
        <v>0</v>
      </c>
    </row>
    <row r="112" spans="1:9" ht="7.95" customHeight="1">
      <c r="A112" s="814"/>
      <c r="B112" s="804"/>
      <c r="C112" s="798"/>
      <c r="D112" s="882"/>
      <c r="E112" s="883"/>
      <c r="F112" s="884"/>
      <c r="G112" s="885"/>
      <c r="H112" s="884"/>
      <c r="I112" s="886"/>
    </row>
    <row r="113" spans="1:9" ht="7.95" customHeight="1">
      <c r="A113" s="814"/>
      <c r="B113" s="801" t="s">
        <v>325</v>
      </c>
      <c r="C113" s="780" t="s">
        <v>326</v>
      </c>
      <c r="D113" s="862">
        <v>85.008878249999995</v>
      </c>
      <c r="E113" s="864">
        <v>-86.635000000000005</v>
      </c>
      <c r="F113" s="866">
        <v>-1.62612175000001</v>
      </c>
      <c r="G113" s="868">
        <v>0</v>
      </c>
      <c r="H113" s="866">
        <v>-1.62612175000001</v>
      </c>
      <c r="I113" s="870">
        <v>1</v>
      </c>
    </row>
    <row r="114" spans="1:9" ht="7.95" customHeight="1">
      <c r="A114" s="814"/>
      <c r="B114" s="801"/>
      <c r="C114" s="780"/>
      <c r="D114" s="862"/>
      <c r="E114" s="864"/>
      <c r="F114" s="866"/>
      <c r="G114" s="868"/>
      <c r="H114" s="866"/>
      <c r="I114" s="870"/>
    </row>
    <row r="115" spans="1:9" ht="7.95" customHeight="1">
      <c r="A115" s="814"/>
      <c r="B115" s="796" t="s">
        <v>327</v>
      </c>
      <c r="C115" s="780" t="s">
        <v>328</v>
      </c>
      <c r="D115" s="862">
        <v>74.017981837200011</v>
      </c>
      <c r="E115" s="864">
        <v>-79.787999999999997</v>
      </c>
      <c r="F115" s="866">
        <v>-5.7700181627999854</v>
      </c>
      <c r="G115" s="868">
        <v>0</v>
      </c>
      <c r="H115" s="866">
        <v>-5.7700181627999854</v>
      </c>
      <c r="I115" s="870">
        <v>0</v>
      </c>
    </row>
    <row r="116" spans="1:9" ht="7.95" customHeight="1">
      <c r="A116" s="814"/>
      <c r="B116" s="796"/>
      <c r="C116" s="780"/>
      <c r="D116" s="862"/>
      <c r="E116" s="864"/>
      <c r="F116" s="866"/>
      <c r="G116" s="868"/>
      <c r="H116" s="866"/>
      <c r="I116" s="870"/>
    </row>
    <row r="117" spans="1:9" ht="7.95" customHeight="1">
      <c r="A117" s="814"/>
      <c r="B117" s="794" t="s">
        <v>329</v>
      </c>
      <c r="C117" s="795" t="s">
        <v>330</v>
      </c>
      <c r="D117" s="862">
        <v>49.387404847200003</v>
      </c>
      <c r="E117" s="864">
        <v>-46.652000000000001</v>
      </c>
      <c r="F117" s="866">
        <v>2.7354048472000017</v>
      </c>
      <c r="G117" s="868">
        <v>0</v>
      </c>
      <c r="H117" s="866">
        <v>2.7354048472000017</v>
      </c>
      <c r="I117" s="870">
        <v>0</v>
      </c>
    </row>
    <row r="118" spans="1:9" ht="7.95" customHeight="1">
      <c r="A118" s="814"/>
      <c r="B118" s="794"/>
      <c r="C118" s="795"/>
      <c r="D118" s="862"/>
      <c r="E118" s="864"/>
      <c r="F118" s="866"/>
      <c r="G118" s="868"/>
      <c r="H118" s="866"/>
      <c r="I118" s="870"/>
    </row>
    <row r="119" spans="1:9" ht="7.95" customHeight="1">
      <c r="A119" s="814"/>
      <c r="B119" s="796" t="s">
        <v>331</v>
      </c>
      <c r="C119" s="780" t="s">
        <v>332</v>
      </c>
      <c r="D119" s="862">
        <v>53.3005526046</v>
      </c>
      <c r="E119" s="864">
        <v>-49.481000000000002</v>
      </c>
      <c r="F119" s="866">
        <v>3.8195526045999983</v>
      </c>
      <c r="G119" s="868">
        <v>0.111</v>
      </c>
      <c r="H119" s="866">
        <v>3.7085526045999981</v>
      </c>
      <c r="I119" s="870">
        <v>2.9060995223974522E-2</v>
      </c>
    </row>
    <row r="120" spans="1:9" ht="7.95" customHeight="1">
      <c r="A120" s="814"/>
      <c r="B120" s="796"/>
      <c r="C120" s="780"/>
      <c r="D120" s="862"/>
      <c r="E120" s="864"/>
      <c r="F120" s="866"/>
      <c r="G120" s="868"/>
      <c r="H120" s="866"/>
      <c r="I120" s="870"/>
    </row>
    <row r="121" spans="1:9" ht="7.95" customHeight="1">
      <c r="A121" s="814"/>
      <c r="B121" s="799" t="s">
        <v>333</v>
      </c>
      <c r="C121" s="780" t="s">
        <v>334</v>
      </c>
      <c r="D121" s="862">
        <v>75.880806348000007</v>
      </c>
      <c r="E121" s="864">
        <v>-75.88</v>
      </c>
      <c r="F121" s="866">
        <v>8.0634800001178064E-4</v>
      </c>
      <c r="G121" s="868">
        <v>0</v>
      </c>
      <c r="H121" s="866">
        <v>8.0634800001178064E-4</v>
      </c>
      <c r="I121" s="870">
        <v>0</v>
      </c>
    </row>
    <row r="122" spans="1:9" ht="7.95" customHeight="1">
      <c r="A122" s="814"/>
      <c r="B122" s="800"/>
      <c r="C122" s="780"/>
      <c r="D122" s="862"/>
      <c r="E122" s="864"/>
      <c r="F122" s="866"/>
      <c r="G122" s="868"/>
      <c r="H122" s="866"/>
      <c r="I122" s="870"/>
    </row>
    <row r="123" spans="1:9" ht="7.95" customHeight="1">
      <c r="A123" s="814"/>
      <c r="B123" s="781" t="s">
        <v>335</v>
      </c>
      <c r="C123" s="777" t="s">
        <v>336</v>
      </c>
      <c r="D123" s="862">
        <v>66.296763540000001</v>
      </c>
      <c r="E123" s="864">
        <v>0</v>
      </c>
      <c r="F123" s="866">
        <v>66.296763540000001</v>
      </c>
      <c r="G123" s="868">
        <v>0</v>
      </c>
      <c r="H123" s="866">
        <v>66.296763540000001</v>
      </c>
      <c r="I123" s="870">
        <v>0</v>
      </c>
    </row>
    <row r="124" spans="1:9" ht="7.95" customHeight="1">
      <c r="A124" s="814"/>
      <c r="B124" s="781"/>
      <c r="C124" s="777"/>
      <c r="D124" s="862"/>
      <c r="E124" s="864"/>
      <c r="F124" s="866"/>
      <c r="G124" s="868"/>
      <c r="H124" s="866"/>
      <c r="I124" s="870"/>
    </row>
    <row r="125" spans="1:9" ht="7.95" customHeight="1">
      <c r="A125" s="814"/>
      <c r="B125" s="797" t="s">
        <v>337</v>
      </c>
      <c r="C125" s="798" t="s">
        <v>338</v>
      </c>
      <c r="D125" s="877">
        <v>67.608476114400005</v>
      </c>
      <c r="E125" s="878">
        <v>-73.206000000000003</v>
      </c>
      <c r="F125" s="879">
        <v>-5.5975238855999976</v>
      </c>
      <c r="G125" s="880">
        <v>0</v>
      </c>
      <c r="H125" s="879">
        <v>-5.5975238855999976</v>
      </c>
      <c r="I125" s="881">
        <v>0</v>
      </c>
    </row>
    <row r="126" spans="1:9" ht="7.95" customHeight="1">
      <c r="A126" s="814"/>
      <c r="B126" s="797"/>
      <c r="C126" s="798"/>
      <c r="D126" s="877"/>
      <c r="E126" s="878"/>
      <c r="F126" s="879"/>
      <c r="G126" s="880"/>
      <c r="H126" s="879"/>
      <c r="I126" s="881"/>
    </row>
    <row r="127" spans="1:9" ht="7.95" customHeight="1">
      <c r="A127" s="814"/>
      <c r="B127" s="794" t="s">
        <v>424</v>
      </c>
      <c r="C127" s="795" t="s">
        <v>339</v>
      </c>
      <c r="D127" s="877">
        <v>108.77422950959999</v>
      </c>
      <c r="E127" s="878">
        <v>-108.84</v>
      </c>
      <c r="F127" s="879">
        <v>-6.5770490400012704E-2</v>
      </c>
      <c r="G127" s="880">
        <v>0</v>
      </c>
      <c r="H127" s="879">
        <v>-6.5770490400012704E-2</v>
      </c>
      <c r="I127" s="881">
        <v>0</v>
      </c>
    </row>
    <row r="128" spans="1:9" ht="7.95" customHeight="1">
      <c r="A128" s="814"/>
      <c r="B128" s="794"/>
      <c r="C128" s="795"/>
      <c r="D128" s="877"/>
      <c r="E128" s="878"/>
      <c r="F128" s="879"/>
      <c r="G128" s="880"/>
      <c r="H128" s="879"/>
      <c r="I128" s="881"/>
    </row>
    <row r="129" spans="1:9" ht="7.95" customHeight="1">
      <c r="A129" s="814"/>
      <c r="B129" s="797" t="s">
        <v>340</v>
      </c>
      <c r="C129" s="798" t="s">
        <v>341</v>
      </c>
      <c r="D129" s="862">
        <v>102.7894429536</v>
      </c>
      <c r="E129" s="864">
        <v>-93.686999999999998</v>
      </c>
      <c r="F129" s="866">
        <v>9.1024429536000042</v>
      </c>
      <c r="G129" s="868">
        <v>0</v>
      </c>
      <c r="H129" s="866">
        <v>9.1024429536000042</v>
      </c>
      <c r="I129" s="870">
        <v>0</v>
      </c>
    </row>
    <row r="130" spans="1:9" ht="7.95" customHeight="1">
      <c r="A130" s="814"/>
      <c r="B130" s="797"/>
      <c r="C130" s="798"/>
      <c r="D130" s="862"/>
      <c r="E130" s="864"/>
      <c r="F130" s="866"/>
      <c r="G130" s="868"/>
      <c r="H130" s="866"/>
      <c r="I130" s="870"/>
    </row>
    <row r="131" spans="1:9" ht="7.95" customHeight="1">
      <c r="A131" s="814"/>
      <c r="B131" s="781" t="s">
        <v>342</v>
      </c>
      <c r="C131" s="777" t="s">
        <v>343</v>
      </c>
      <c r="D131" s="862">
        <v>12.747989671799999</v>
      </c>
      <c r="E131" s="864">
        <v>0</v>
      </c>
      <c r="F131" s="866">
        <v>12.747989671799999</v>
      </c>
      <c r="G131" s="868">
        <v>0</v>
      </c>
      <c r="H131" s="866">
        <v>12.747989671799999</v>
      </c>
      <c r="I131" s="870">
        <v>0</v>
      </c>
    </row>
    <row r="132" spans="1:9" ht="7.95" customHeight="1">
      <c r="A132" s="814"/>
      <c r="B132" s="781"/>
      <c r="C132" s="777"/>
      <c r="D132" s="862"/>
      <c r="E132" s="864"/>
      <c r="F132" s="866"/>
      <c r="G132" s="868"/>
      <c r="H132" s="866"/>
      <c r="I132" s="870"/>
    </row>
    <row r="133" spans="1:9" ht="7.95" customHeight="1">
      <c r="A133" s="814"/>
      <c r="B133" s="797" t="s">
        <v>344</v>
      </c>
      <c r="C133" s="798" t="s">
        <v>345</v>
      </c>
      <c r="D133" s="872">
        <v>23.3307117564</v>
      </c>
      <c r="E133" s="873">
        <v>-23.331</v>
      </c>
      <c r="F133" s="874">
        <v>-2.8824360000001548E-4</v>
      </c>
      <c r="G133" s="875">
        <v>0</v>
      </c>
      <c r="H133" s="874">
        <v>-2.8824360000001548E-4</v>
      </c>
      <c r="I133" s="876">
        <v>0</v>
      </c>
    </row>
    <row r="134" spans="1:9" ht="7.95" customHeight="1">
      <c r="A134" s="814"/>
      <c r="B134" s="797"/>
      <c r="C134" s="798"/>
      <c r="D134" s="872"/>
      <c r="E134" s="873"/>
      <c r="F134" s="874"/>
      <c r="G134" s="875"/>
      <c r="H134" s="874"/>
      <c r="I134" s="876"/>
    </row>
    <row r="135" spans="1:9" ht="7.95" customHeight="1">
      <c r="A135" s="814"/>
      <c r="B135" s="797" t="s">
        <v>346</v>
      </c>
      <c r="C135" s="798" t="s">
        <v>347</v>
      </c>
      <c r="D135" s="872">
        <v>21.248772957</v>
      </c>
      <c r="E135" s="873">
        <v>-21.248999999999999</v>
      </c>
      <c r="F135" s="874">
        <v>-2.2704299999887212E-4</v>
      </c>
      <c r="G135" s="875">
        <v>0</v>
      </c>
      <c r="H135" s="874">
        <v>-2.2704299999887212E-4</v>
      </c>
      <c r="I135" s="876">
        <v>0</v>
      </c>
    </row>
    <row r="136" spans="1:9" ht="7.95" customHeight="1">
      <c r="A136" s="814"/>
      <c r="B136" s="797"/>
      <c r="C136" s="798"/>
      <c r="D136" s="872"/>
      <c r="E136" s="873"/>
      <c r="F136" s="874"/>
      <c r="G136" s="875"/>
      <c r="H136" s="874"/>
      <c r="I136" s="876"/>
    </row>
    <row r="137" spans="1:9" ht="7.95" customHeight="1">
      <c r="A137" s="814"/>
      <c r="B137" s="796" t="s">
        <v>348</v>
      </c>
      <c r="C137" s="780" t="s">
        <v>349</v>
      </c>
      <c r="D137" s="862">
        <v>5.1335536853999999</v>
      </c>
      <c r="E137" s="864">
        <v>-5.133</v>
      </c>
      <c r="F137" s="866">
        <v>5.5368539999989252E-4</v>
      </c>
      <c r="G137" s="868">
        <v>0</v>
      </c>
      <c r="H137" s="866">
        <v>5.5368539999989252E-4</v>
      </c>
      <c r="I137" s="870">
        <v>0</v>
      </c>
    </row>
    <row r="138" spans="1:9" ht="7.95" customHeight="1">
      <c r="A138" s="814"/>
      <c r="B138" s="796"/>
      <c r="C138" s="780"/>
      <c r="D138" s="862"/>
      <c r="E138" s="864"/>
      <c r="F138" s="866"/>
      <c r="G138" s="868"/>
      <c r="H138" s="866"/>
      <c r="I138" s="870"/>
    </row>
    <row r="139" spans="1:9" ht="7.95" customHeight="1">
      <c r="A139" s="814"/>
      <c r="B139" s="781" t="s">
        <v>350</v>
      </c>
      <c r="C139" s="777" t="s">
        <v>351</v>
      </c>
      <c r="D139" s="862">
        <v>6.7321268675999999</v>
      </c>
      <c r="E139" s="864">
        <v>0</v>
      </c>
      <c r="F139" s="866">
        <v>6.7321268675999999</v>
      </c>
      <c r="G139" s="868">
        <v>0</v>
      </c>
      <c r="H139" s="866">
        <v>6.7321268675999999</v>
      </c>
      <c r="I139" s="870">
        <v>0</v>
      </c>
    </row>
    <row r="140" spans="1:9" ht="7.95" customHeight="1">
      <c r="A140" s="814"/>
      <c r="B140" s="781"/>
      <c r="C140" s="777"/>
      <c r="D140" s="862"/>
      <c r="E140" s="864"/>
      <c r="F140" s="866"/>
      <c r="G140" s="868"/>
      <c r="H140" s="866"/>
      <c r="I140" s="870"/>
    </row>
    <row r="141" spans="1:9" ht="7.95" customHeight="1">
      <c r="A141" s="814"/>
      <c r="B141" s="781" t="s">
        <v>352</v>
      </c>
      <c r="C141" s="777" t="s">
        <v>353</v>
      </c>
      <c r="D141" s="862">
        <v>15.924253361999998</v>
      </c>
      <c r="E141" s="864">
        <v>0</v>
      </c>
      <c r="F141" s="866">
        <v>15.924253361999998</v>
      </c>
      <c r="G141" s="868">
        <v>0</v>
      </c>
      <c r="H141" s="866">
        <v>15.924253361999998</v>
      </c>
      <c r="I141" s="870">
        <v>0</v>
      </c>
    </row>
    <row r="142" spans="1:9" ht="7.95" customHeight="1">
      <c r="A142" s="814"/>
      <c r="B142" s="781"/>
      <c r="C142" s="777"/>
      <c r="D142" s="862"/>
      <c r="E142" s="864"/>
      <c r="F142" s="866"/>
      <c r="G142" s="868"/>
      <c r="H142" s="866"/>
      <c r="I142" s="870"/>
    </row>
    <row r="143" spans="1:9" ht="7.95" customHeight="1">
      <c r="A143" s="814"/>
      <c r="B143" s="794" t="s">
        <v>354</v>
      </c>
      <c r="C143" s="795" t="s">
        <v>423</v>
      </c>
      <c r="D143" s="872">
        <v>3.661651794</v>
      </c>
      <c r="E143" s="864">
        <v>-3.6619999999999999</v>
      </c>
      <c r="F143" s="866">
        <v>-3.4820599999996205E-4</v>
      </c>
      <c r="G143" s="868">
        <v>0</v>
      </c>
      <c r="H143" s="866">
        <v>-3.4820599999996205E-4</v>
      </c>
      <c r="I143" s="870">
        <v>0</v>
      </c>
    </row>
    <row r="144" spans="1:9" ht="7.95" customHeight="1">
      <c r="A144" s="814"/>
      <c r="B144" s="794"/>
      <c r="C144" s="795"/>
      <c r="D144" s="872"/>
      <c r="E144" s="864"/>
      <c r="F144" s="866"/>
      <c r="G144" s="868"/>
      <c r="H144" s="866"/>
      <c r="I144" s="870"/>
    </row>
    <row r="145" spans="1:9" ht="7.95" customHeight="1">
      <c r="A145" s="814"/>
      <c r="B145" s="781" t="s">
        <v>355</v>
      </c>
      <c r="C145" s="777"/>
      <c r="D145" s="862">
        <v>6.5286237299999996</v>
      </c>
      <c r="E145" s="864">
        <v>0</v>
      </c>
      <c r="F145" s="866">
        <v>6.5286237299999996</v>
      </c>
      <c r="G145" s="868">
        <v>1.308888888888889</v>
      </c>
      <c r="H145" s="866">
        <v>5.2197348411111104</v>
      </c>
      <c r="I145" s="870">
        <v>0.20048465695370823</v>
      </c>
    </row>
    <row r="146" spans="1:9" ht="7.95" customHeight="1">
      <c r="A146" s="814"/>
      <c r="B146" s="781"/>
      <c r="C146" s="777"/>
      <c r="D146" s="862"/>
      <c r="E146" s="864"/>
      <c r="F146" s="866"/>
      <c r="G146" s="868"/>
      <c r="H146" s="866"/>
      <c r="I146" s="870"/>
    </row>
    <row r="147" spans="1:9" ht="7.95" customHeight="1">
      <c r="A147" s="814"/>
      <c r="B147" s="781" t="s">
        <v>356</v>
      </c>
      <c r="C147" s="777"/>
      <c r="D147" s="862">
        <v>4.3289327339999994</v>
      </c>
      <c r="E147" s="864">
        <v>0</v>
      </c>
      <c r="F147" s="866">
        <v>4.3289327339999994</v>
      </c>
      <c r="G147" s="868">
        <v>0.27</v>
      </c>
      <c r="H147" s="866">
        <v>4.058932733999999</v>
      </c>
      <c r="I147" s="870">
        <v>6.2371031519936768E-2</v>
      </c>
    </row>
    <row r="148" spans="1:9" ht="7.95" customHeight="1">
      <c r="A148" s="814"/>
      <c r="B148" s="781"/>
      <c r="C148" s="777"/>
      <c r="D148" s="862"/>
      <c r="E148" s="864"/>
      <c r="F148" s="866"/>
      <c r="G148" s="868"/>
      <c r="H148" s="866"/>
      <c r="I148" s="870"/>
    </row>
    <row r="149" spans="1:9" ht="7.95" customHeight="1">
      <c r="A149" s="814"/>
      <c r="B149" s="781" t="s">
        <v>357</v>
      </c>
      <c r="C149" s="777"/>
      <c r="D149" s="862">
        <v>3.1038357240000001</v>
      </c>
      <c r="E149" s="864">
        <v>0</v>
      </c>
      <c r="F149" s="866">
        <v>3.1038357240000001</v>
      </c>
      <c r="G149" s="868">
        <v>1.111</v>
      </c>
      <c r="H149" s="866">
        <v>1.9928357240000001</v>
      </c>
      <c r="I149" s="870">
        <v>0.35794420155981166</v>
      </c>
    </row>
    <row r="150" spans="1:9" ht="7.95" customHeight="1" thickBot="1">
      <c r="A150" s="815"/>
      <c r="B150" s="782"/>
      <c r="C150" s="783"/>
      <c r="D150" s="863"/>
      <c r="E150" s="865"/>
      <c r="F150" s="867"/>
      <c r="G150" s="869"/>
      <c r="H150" s="867"/>
      <c r="I150" s="871"/>
    </row>
    <row r="151" spans="1:9" ht="7.95" customHeight="1">
      <c r="A151" s="357" t="s">
        <v>358</v>
      </c>
      <c r="B151" s="374"/>
      <c r="C151" s="375"/>
      <c r="D151" s="854">
        <v>1105.6207026366001</v>
      </c>
      <c r="E151" s="856">
        <v>-923.01700000000017</v>
      </c>
      <c r="F151" s="858">
        <v>182.60370263659991</v>
      </c>
      <c r="G151" s="858">
        <v>5.8838888888888894</v>
      </c>
      <c r="H151" s="858">
        <v>176.71981374771102</v>
      </c>
      <c r="I151" s="860">
        <v>3.2222177337764238E-2</v>
      </c>
    </row>
    <row r="152" spans="1:9" ht="7.95" customHeight="1" thickBot="1">
      <c r="A152" s="360"/>
      <c r="B152" s="361"/>
      <c r="C152" s="362"/>
      <c r="D152" s="855"/>
      <c r="E152" s="857"/>
      <c r="F152" s="859"/>
      <c r="G152" s="859"/>
      <c r="H152" s="859"/>
      <c r="I152" s="861"/>
    </row>
    <row r="153" spans="1:9" ht="7.95" customHeight="1">
      <c r="A153" s="376"/>
      <c r="B153" s="377"/>
      <c r="C153" s="378"/>
      <c r="D153" s="379"/>
      <c r="E153" s="379"/>
      <c r="F153" s="379"/>
      <c r="G153" s="379"/>
      <c r="H153" s="379"/>
      <c r="I153" s="379"/>
    </row>
    <row r="154" spans="1:9" ht="7.95" customHeight="1" thickBot="1">
      <c r="A154" s="378"/>
      <c r="B154" s="377"/>
      <c r="C154" s="378"/>
      <c r="D154" s="378"/>
      <c r="E154" s="378"/>
      <c r="F154" s="378"/>
      <c r="G154" s="378"/>
      <c r="H154" s="378"/>
      <c r="I154" s="378"/>
    </row>
    <row r="155" spans="1:9" ht="7.95" customHeight="1" thickBot="1">
      <c r="A155" s="352" t="s">
        <v>246</v>
      </c>
      <c r="B155" s="370" t="s">
        <v>247</v>
      </c>
      <c r="C155" s="367" t="s">
        <v>248</v>
      </c>
      <c r="D155" s="380" t="s">
        <v>251</v>
      </c>
      <c r="E155" s="367" t="s">
        <v>4</v>
      </c>
      <c r="F155" s="367" t="s">
        <v>5</v>
      </c>
      <c r="G155" s="367" t="s">
        <v>6</v>
      </c>
      <c r="H155" s="367" t="s">
        <v>7</v>
      </c>
      <c r="I155" s="381" t="s">
        <v>252</v>
      </c>
    </row>
    <row r="156" spans="1:9" ht="7.95" customHeight="1">
      <c r="A156" s="784" t="s">
        <v>359</v>
      </c>
      <c r="B156" s="787" t="s">
        <v>360</v>
      </c>
      <c r="C156" s="787">
        <v>4313</v>
      </c>
      <c r="D156" s="842">
        <v>30.409280879400001</v>
      </c>
      <c r="E156" s="844">
        <v>0</v>
      </c>
      <c r="F156" s="844">
        <v>30.409280879400001</v>
      </c>
      <c r="G156" s="844">
        <v>0</v>
      </c>
      <c r="H156" s="844">
        <v>30.409280879400001</v>
      </c>
      <c r="I156" s="846">
        <v>0</v>
      </c>
    </row>
    <row r="157" spans="1:9" ht="7.95" customHeight="1">
      <c r="A157" s="785"/>
      <c r="B157" s="788"/>
      <c r="C157" s="788"/>
      <c r="D157" s="842"/>
      <c r="E157" s="844"/>
      <c r="F157" s="844"/>
      <c r="G157" s="844"/>
      <c r="H157" s="844"/>
      <c r="I157" s="846"/>
    </row>
    <row r="158" spans="1:9" ht="7.95" customHeight="1">
      <c r="A158" s="785"/>
      <c r="B158" s="788" t="s">
        <v>361</v>
      </c>
      <c r="C158" s="788">
        <v>4410</v>
      </c>
      <c r="D158" s="842">
        <v>34.765354711800001</v>
      </c>
      <c r="E158" s="844">
        <v>0</v>
      </c>
      <c r="F158" s="844">
        <v>34.765354711800001</v>
      </c>
      <c r="G158" s="844">
        <v>0</v>
      </c>
      <c r="H158" s="844">
        <v>34.765354711800001</v>
      </c>
      <c r="I158" s="846">
        <v>0</v>
      </c>
    </row>
    <row r="159" spans="1:9" ht="7.95" customHeight="1">
      <c r="A159" s="785"/>
      <c r="B159" s="788"/>
      <c r="C159" s="788"/>
      <c r="D159" s="842"/>
      <c r="E159" s="844"/>
      <c r="F159" s="844"/>
      <c r="G159" s="844"/>
      <c r="H159" s="844"/>
      <c r="I159" s="846"/>
    </row>
    <row r="160" spans="1:9" ht="7.95" customHeight="1">
      <c r="A160" s="785"/>
      <c r="B160" s="788" t="s">
        <v>362</v>
      </c>
      <c r="C160" s="788" t="s">
        <v>363</v>
      </c>
      <c r="D160" s="842">
        <v>95.263733329800004</v>
      </c>
      <c r="E160" s="844">
        <v>0</v>
      </c>
      <c r="F160" s="844">
        <v>95.263733329800004</v>
      </c>
      <c r="G160" s="844">
        <v>1.7310000000000001</v>
      </c>
      <c r="H160" s="844">
        <v>93.53273332980001</v>
      </c>
      <c r="I160" s="846">
        <v>1.8170608472873231E-2</v>
      </c>
    </row>
    <row r="161" spans="1:9" ht="7.95" customHeight="1">
      <c r="A161" s="785"/>
      <c r="B161" s="788"/>
      <c r="C161" s="788"/>
      <c r="D161" s="842"/>
      <c r="E161" s="844"/>
      <c r="F161" s="844"/>
      <c r="G161" s="844"/>
      <c r="H161" s="844"/>
      <c r="I161" s="846"/>
    </row>
    <row r="162" spans="1:9" ht="7.95" customHeight="1">
      <c r="A162" s="785"/>
      <c r="B162" s="789" t="s">
        <v>425</v>
      </c>
      <c r="C162" s="789" t="s">
        <v>364</v>
      </c>
      <c r="D162" s="842">
        <v>34.725800550000002</v>
      </c>
      <c r="E162" s="844">
        <v>-34.725000000000001</v>
      </c>
      <c r="F162" s="844">
        <v>8.0055000000101018E-4</v>
      </c>
      <c r="G162" s="844">
        <v>0</v>
      </c>
      <c r="H162" s="844">
        <v>8.0055000000101018E-4</v>
      </c>
      <c r="I162" s="846">
        <v>0</v>
      </c>
    </row>
    <row r="163" spans="1:9" ht="7.95" customHeight="1">
      <c r="A163" s="785"/>
      <c r="B163" s="789"/>
      <c r="C163" s="789"/>
      <c r="D163" s="842"/>
      <c r="E163" s="844"/>
      <c r="F163" s="844"/>
      <c r="G163" s="844"/>
      <c r="H163" s="844"/>
      <c r="I163" s="846"/>
    </row>
    <row r="164" spans="1:9" ht="7.95" customHeight="1">
      <c r="A164" s="785"/>
      <c r="B164" s="790" t="s">
        <v>435</v>
      </c>
      <c r="C164" s="791" t="s">
        <v>365</v>
      </c>
      <c r="D164" s="851">
        <v>79.787716815600007</v>
      </c>
      <c r="E164" s="852">
        <v>-61.341999999999999</v>
      </c>
      <c r="F164" s="852">
        <v>18.445716815600008</v>
      </c>
      <c r="G164" s="852">
        <v>0</v>
      </c>
      <c r="H164" s="852">
        <v>18.445716815600008</v>
      </c>
      <c r="I164" s="853">
        <v>0</v>
      </c>
    </row>
    <row r="165" spans="1:9" ht="7.95" customHeight="1">
      <c r="A165" s="785"/>
      <c r="B165" s="779"/>
      <c r="C165" s="780"/>
      <c r="D165" s="842"/>
      <c r="E165" s="844"/>
      <c r="F165" s="844"/>
      <c r="G165" s="844"/>
      <c r="H165" s="844"/>
      <c r="I165" s="846"/>
    </row>
    <row r="166" spans="1:9" ht="7.95" customHeight="1">
      <c r="A166" s="785"/>
      <c r="B166" s="792" t="s">
        <v>434</v>
      </c>
      <c r="C166" s="792" t="s">
        <v>366</v>
      </c>
      <c r="D166" s="842">
        <v>119.51966383019999</v>
      </c>
      <c r="E166" s="844">
        <v>-119.51900000000001</v>
      </c>
      <c r="F166" s="844">
        <v>6.6383019998283999E-4</v>
      </c>
      <c r="G166" s="844">
        <v>0</v>
      </c>
      <c r="H166" s="844">
        <v>6.6383019998283999E-4</v>
      </c>
      <c r="I166" s="846">
        <v>0</v>
      </c>
    </row>
    <row r="167" spans="1:9" ht="7.95" customHeight="1">
      <c r="A167" s="785"/>
      <c r="B167" s="792"/>
      <c r="C167" s="792"/>
      <c r="D167" s="842"/>
      <c r="E167" s="844"/>
      <c r="F167" s="844"/>
      <c r="G167" s="844"/>
      <c r="H167" s="844"/>
      <c r="I167" s="846"/>
    </row>
    <row r="168" spans="1:9" ht="7.95" customHeight="1">
      <c r="A168" s="785"/>
      <c r="B168" s="779" t="s">
        <v>385</v>
      </c>
      <c r="C168" s="779" t="s">
        <v>367</v>
      </c>
      <c r="D168" s="848">
        <v>26.096358963</v>
      </c>
      <c r="E168" s="849">
        <v>-26.097000000000001</v>
      </c>
      <c r="F168" s="849">
        <v>-6.4103700000117669E-4</v>
      </c>
      <c r="G168" s="849">
        <v>0</v>
      </c>
      <c r="H168" s="849">
        <v>-6.4103700000117669E-4</v>
      </c>
      <c r="I168" s="850">
        <v>0</v>
      </c>
    </row>
    <row r="169" spans="1:9" ht="7.95" customHeight="1">
      <c r="A169" s="785"/>
      <c r="B169" s="779"/>
      <c r="C169" s="779"/>
      <c r="D169" s="848"/>
      <c r="E169" s="849"/>
      <c r="F169" s="849"/>
      <c r="G169" s="849"/>
      <c r="H169" s="849"/>
      <c r="I169" s="850"/>
    </row>
    <row r="170" spans="1:9" ht="7.95" customHeight="1">
      <c r="A170" s="785"/>
      <c r="B170" s="779" t="s">
        <v>386</v>
      </c>
      <c r="C170" s="780" t="s">
        <v>368</v>
      </c>
      <c r="D170" s="842">
        <v>69.151522057199998</v>
      </c>
      <c r="E170" s="844">
        <v>-69.150999999999996</v>
      </c>
      <c r="F170" s="844">
        <v>5.220572000013135E-4</v>
      </c>
      <c r="G170" s="844">
        <v>0</v>
      </c>
      <c r="H170" s="844">
        <v>5.220572000013135E-4</v>
      </c>
      <c r="I170" s="846">
        <v>0</v>
      </c>
    </row>
    <row r="171" spans="1:9" ht="7.95" customHeight="1">
      <c r="A171" s="785"/>
      <c r="B171" s="779"/>
      <c r="C171" s="780"/>
      <c r="D171" s="842"/>
      <c r="E171" s="844"/>
      <c r="F171" s="844"/>
      <c r="G171" s="844"/>
      <c r="H171" s="844"/>
      <c r="I171" s="846"/>
    </row>
    <row r="172" spans="1:9" ht="7.95" customHeight="1">
      <c r="A172" s="785"/>
      <c r="B172" s="779" t="s">
        <v>387</v>
      </c>
      <c r="C172" s="780" t="s">
        <v>369</v>
      </c>
      <c r="D172" s="842">
        <v>90.336337413600006</v>
      </c>
      <c r="E172" s="844">
        <v>-90.335999999999999</v>
      </c>
      <c r="F172" s="844">
        <v>3.3741360000760778E-4</v>
      </c>
      <c r="G172" s="844">
        <v>0</v>
      </c>
      <c r="H172" s="844">
        <v>3.3741360000760778E-4</v>
      </c>
      <c r="I172" s="846">
        <v>1</v>
      </c>
    </row>
    <row r="173" spans="1:9" ht="7.95" customHeight="1">
      <c r="A173" s="785"/>
      <c r="B173" s="779"/>
      <c r="C173" s="780"/>
      <c r="D173" s="842"/>
      <c r="E173" s="844"/>
      <c r="F173" s="844"/>
      <c r="G173" s="844"/>
      <c r="H173" s="844"/>
      <c r="I173" s="846"/>
    </row>
    <row r="174" spans="1:9" ht="7.95" customHeight="1">
      <c r="A174" s="785"/>
      <c r="B174" s="788" t="s">
        <v>388</v>
      </c>
      <c r="C174" s="788" t="s">
        <v>370</v>
      </c>
      <c r="D174" s="842">
        <v>63.4971865638</v>
      </c>
      <c r="E174" s="844">
        <v>0</v>
      </c>
      <c r="F174" s="844">
        <v>63.4971865638</v>
      </c>
      <c r="G174" s="844">
        <v>0</v>
      </c>
      <c r="H174" s="844">
        <v>63.4971865638</v>
      </c>
      <c r="I174" s="846">
        <v>0</v>
      </c>
    </row>
    <row r="175" spans="1:9" ht="7.95" customHeight="1">
      <c r="A175" s="785"/>
      <c r="B175" s="788"/>
      <c r="C175" s="788"/>
      <c r="D175" s="842"/>
      <c r="E175" s="844"/>
      <c r="F175" s="844"/>
      <c r="G175" s="844"/>
      <c r="H175" s="844"/>
      <c r="I175" s="846"/>
    </row>
    <row r="176" spans="1:9" ht="7.95" customHeight="1">
      <c r="A176" s="785"/>
      <c r="B176" s="779" t="s">
        <v>389</v>
      </c>
      <c r="C176" s="779" t="s">
        <v>371</v>
      </c>
      <c r="D176" s="842">
        <v>40.4475766686</v>
      </c>
      <c r="E176" s="844">
        <v>-37.067999999999998</v>
      </c>
      <c r="F176" s="844">
        <v>3.3795766686000022</v>
      </c>
      <c r="G176" s="844">
        <v>0</v>
      </c>
      <c r="H176" s="844">
        <v>3.3795766686000022</v>
      </c>
      <c r="I176" s="846">
        <v>0</v>
      </c>
    </row>
    <row r="177" spans="1:9" ht="7.95" customHeight="1">
      <c r="A177" s="785"/>
      <c r="B177" s="779"/>
      <c r="C177" s="779"/>
      <c r="D177" s="842"/>
      <c r="E177" s="844"/>
      <c r="F177" s="844"/>
      <c r="G177" s="844"/>
      <c r="H177" s="844"/>
      <c r="I177" s="846"/>
    </row>
    <row r="178" spans="1:9" ht="7.95" customHeight="1">
      <c r="A178" s="785"/>
      <c r="B178" s="779" t="s">
        <v>390</v>
      </c>
      <c r="C178" s="779" t="s">
        <v>372</v>
      </c>
      <c r="D178" s="842">
        <v>48.4133271444</v>
      </c>
      <c r="E178" s="844">
        <v>-48.412999999999997</v>
      </c>
      <c r="F178" s="844">
        <v>3.2714440000347622E-4</v>
      </c>
      <c r="G178" s="844">
        <v>0</v>
      </c>
      <c r="H178" s="844">
        <v>3.2714440000347622E-4</v>
      </c>
      <c r="I178" s="846">
        <v>0</v>
      </c>
    </row>
    <row r="179" spans="1:9" ht="7.95" customHeight="1">
      <c r="A179" s="785"/>
      <c r="B179" s="779"/>
      <c r="C179" s="779"/>
      <c r="D179" s="842"/>
      <c r="E179" s="844"/>
      <c r="F179" s="844"/>
      <c r="G179" s="844"/>
      <c r="H179" s="844"/>
      <c r="I179" s="846"/>
    </row>
    <row r="180" spans="1:9" ht="7.95" customHeight="1">
      <c r="A180" s="785"/>
      <c r="B180" s="779" t="s">
        <v>432</v>
      </c>
      <c r="C180" s="779" t="s">
        <v>373</v>
      </c>
      <c r="D180" s="848">
        <v>35.898225351600004</v>
      </c>
      <c r="E180" s="849">
        <v>-35.898000000000003</v>
      </c>
      <c r="F180" s="849">
        <v>2.253516000010336E-4</v>
      </c>
      <c r="G180" s="849">
        <v>0</v>
      </c>
      <c r="H180" s="849">
        <v>2.253516000010336E-4</v>
      </c>
      <c r="I180" s="850">
        <v>0</v>
      </c>
    </row>
    <row r="181" spans="1:9" ht="7.95" customHeight="1">
      <c r="A181" s="785"/>
      <c r="B181" s="779"/>
      <c r="C181" s="779"/>
      <c r="D181" s="848"/>
      <c r="E181" s="849"/>
      <c r="F181" s="849"/>
      <c r="G181" s="849"/>
      <c r="H181" s="849"/>
      <c r="I181" s="850"/>
    </row>
    <row r="182" spans="1:9" ht="7.95" customHeight="1">
      <c r="A182" s="785"/>
      <c r="B182" s="779" t="s">
        <v>391</v>
      </c>
      <c r="C182" s="779" t="s">
        <v>374</v>
      </c>
      <c r="D182" s="848">
        <v>20.890371650399999</v>
      </c>
      <c r="E182" s="849">
        <v>-20.89</v>
      </c>
      <c r="F182" s="849">
        <v>3.7165039999820237E-4</v>
      </c>
      <c r="G182" s="849">
        <v>0</v>
      </c>
      <c r="H182" s="849">
        <v>3.7165039999820237E-4</v>
      </c>
      <c r="I182" s="850">
        <v>0</v>
      </c>
    </row>
    <row r="183" spans="1:9" ht="7.95" customHeight="1">
      <c r="A183" s="785"/>
      <c r="B183" s="779"/>
      <c r="C183" s="779"/>
      <c r="D183" s="848"/>
      <c r="E183" s="849"/>
      <c r="F183" s="849"/>
      <c r="G183" s="849"/>
      <c r="H183" s="849"/>
      <c r="I183" s="850"/>
    </row>
    <row r="184" spans="1:9" ht="7.95" customHeight="1">
      <c r="A184" s="785"/>
      <c r="B184" s="779" t="s">
        <v>392</v>
      </c>
      <c r="C184" s="780" t="s">
        <v>375</v>
      </c>
      <c r="D184" s="842">
        <v>57.424165020000004</v>
      </c>
      <c r="E184" s="844">
        <v>-57.423999999999999</v>
      </c>
      <c r="F184" s="844">
        <v>1.6502000000429007E-4</v>
      </c>
      <c r="G184" s="844">
        <v>0</v>
      </c>
      <c r="H184" s="844">
        <v>1.6502000000429007E-4</v>
      </c>
      <c r="I184" s="846">
        <v>0</v>
      </c>
    </row>
    <row r="185" spans="1:9" ht="7.95" customHeight="1">
      <c r="A185" s="785"/>
      <c r="B185" s="779"/>
      <c r="C185" s="780"/>
      <c r="D185" s="842"/>
      <c r="E185" s="844"/>
      <c r="F185" s="844"/>
      <c r="G185" s="844"/>
      <c r="H185" s="844"/>
      <c r="I185" s="846"/>
    </row>
    <row r="186" spans="1:9" ht="7.95" customHeight="1">
      <c r="A186" s="785"/>
      <c r="B186" s="779" t="s">
        <v>433</v>
      </c>
      <c r="C186" s="780" t="s">
        <v>376</v>
      </c>
      <c r="D186" s="842">
        <v>2.5573197647999999</v>
      </c>
      <c r="E186" s="844">
        <v>-2.5569999999999999</v>
      </c>
      <c r="F186" s="844">
        <v>3.1976479999995533E-4</v>
      </c>
      <c r="G186" s="844">
        <v>0</v>
      </c>
      <c r="H186" s="844">
        <v>3.1976479999995533E-4</v>
      </c>
      <c r="I186" s="846">
        <v>0</v>
      </c>
    </row>
    <row r="187" spans="1:9" ht="7.95" customHeight="1">
      <c r="A187" s="785"/>
      <c r="B187" s="779"/>
      <c r="C187" s="780"/>
      <c r="D187" s="842"/>
      <c r="E187" s="844"/>
      <c r="F187" s="844"/>
      <c r="G187" s="844"/>
      <c r="H187" s="844"/>
      <c r="I187" s="846"/>
    </row>
    <row r="188" spans="1:9" ht="7.95" customHeight="1">
      <c r="A188" s="785"/>
      <c r="B188" s="788" t="s">
        <v>377</v>
      </c>
      <c r="C188" s="777"/>
      <c r="D188" s="842">
        <v>16.292562928200002</v>
      </c>
      <c r="E188" s="844">
        <v>0</v>
      </c>
      <c r="F188" s="844">
        <v>16.292562928200002</v>
      </c>
      <c r="G188" s="844">
        <v>0.98699999999999999</v>
      </c>
      <c r="H188" s="844">
        <v>15.305562928200002</v>
      </c>
      <c r="I188" s="846">
        <v>6.0579787498727403E-2</v>
      </c>
    </row>
    <row r="189" spans="1:9" ht="7.95" customHeight="1" thickBot="1">
      <c r="A189" s="786"/>
      <c r="B189" s="793"/>
      <c r="C189" s="778"/>
      <c r="D189" s="843"/>
      <c r="E189" s="845"/>
      <c r="F189" s="845"/>
      <c r="G189" s="845"/>
      <c r="H189" s="845"/>
      <c r="I189" s="847"/>
    </row>
    <row r="190" spans="1:9" ht="7.95" customHeight="1">
      <c r="A190" s="357" t="s">
        <v>378</v>
      </c>
      <c r="B190" s="374"/>
      <c r="C190" s="375"/>
      <c r="D190" s="836">
        <v>865.47650364240019</v>
      </c>
      <c r="E190" s="838">
        <v>-603.41999999999996</v>
      </c>
      <c r="F190" s="838">
        <v>262.05650364240023</v>
      </c>
      <c r="G190" s="838">
        <v>2.718</v>
      </c>
      <c r="H190" s="838">
        <v>259.33850364240004</v>
      </c>
      <c r="I190" s="840">
        <v>1.0371808988602536E-2</v>
      </c>
    </row>
    <row r="191" spans="1:9" ht="7.95" customHeight="1" thickBot="1">
      <c r="A191" s="360"/>
      <c r="B191" s="361"/>
      <c r="C191" s="362"/>
      <c r="D191" s="837"/>
      <c r="E191" s="839"/>
      <c r="F191" s="839"/>
      <c r="G191" s="839"/>
      <c r="H191" s="839"/>
      <c r="I191" s="841"/>
    </row>
  </sheetData>
  <autoFilter ref="B2:I2"/>
  <mergeCells count="717">
    <mergeCell ref="D5:D6"/>
    <mergeCell ref="E5:E6"/>
    <mergeCell ref="F5:F6"/>
    <mergeCell ref="G5:G6"/>
    <mergeCell ref="H5:H6"/>
    <mergeCell ref="I5:I6"/>
    <mergeCell ref="D3:D4"/>
    <mergeCell ref="E3:E4"/>
    <mergeCell ref="F3:F4"/>
    <mergeCell ref="G3:G4"/>
    <mergeCell ref="H3:H4"/>
    <mergeCell ref="I3:I4"/>
    <mergeCell ref="D9:D10"/>
    <mergeCell ref="E9:E10"/>
    <mergeCell ref="F9:F10"/>
    <mergeCell ref="G9:G10"/>
    <mergeCell ref="H9:H10"/>
    <mergeCell ref="I9:I10"/>
    <mergeCell ref="D7:D8"/>
    <mergeCell ref="E7:E8"/>
    <mergeCell ref="F7:F8"/>
    <mergeCell ref="G7:G8"/>
    <mergeCell ref="H7:H8"/>
    <mergeCell ref="I7:I8"/>
    <mergeCell ref="D13:D14"/>
    <mergeCell ref="E13:E14"/>
    <mergeCell ref="F13:F14"/>
    <mergeCell ref="G13:G14"/>
    <mergeCell ref="H13:H14"/>
    <mergeCell ref="I13:I14"/>
    <mergeCell ref="D11:D12"/>
    <mergeCell ref="E11:E12"/>
    <mergeCell ref="F11:F12"/>
    <mergeCell ref="G11:G12"/>
    <mergeCell ref="H11:H12"/>
    <mergeCell ref="I11:I12"/>
    <mergeCell ref="D17:D18"/>
    <mergeCell ref="E17:E18"/>
    <mergeCell ref="F17:F18"/>
    <mergeCell ref="G17:G18"/>
    <mergeCell ref="H17:H18"/>
    <mergeCell ref="I17:I18"/>
    <mergeCell ref="D15:D16"/>
    <mergeCell ref="E15:E16"/>
    <mergeCell ref="F15:F16"/>
    <mergeCell ref="G15:G16"/>
    <mergeCell ref="H15:H16"/>
    <mergeCell ref="I15:I16"/>
    <mergeCell ref="D21:D22"/>
    <mergeCell ref="E21:E22"/>
    <mergeCell ref="F21:F22"/>
    <mergeCell ref="G21:G22"/>
    <mergeCell ref="H21:H22"/>
    <mergeCell ref="I21:I22"/>
    <mergeCell ref="D19:D20"/>
    <mergeCell ref="E19:E20"/>
    <mergeCell ref="F19:F20"/>
    <mergeCell ref="G19:G20"/>
    <mergeCell ref="H19:H20"/>
    <mergeCell ref="I19:I20"/>
    <mergeCell ref="D25:D26"/>
    <mergeCell ref="E25:E26"/>
    <mergeCell ref="F25:F26"/>
    <mergeCell ref="G25:G26"/>
    <mergeCell ref="H25:H26"/>
    <mergeCell ref="I25:I26"/>
    <mergeCell ref="D23:D24"/>
    <mergeCell ref="E23:E24"/>
    <mergeCell ref="F23:F24"/>
    <mergeCell ref="G23:G24"/>
    <mergeCell ref="H23:H24"/>
    <mergeCell ref="I23:I24"/>
    <mergeCell ref="D29:D30"/>
    <mergeCell ref="E29:E30"/>
    <mergeCell ref="F29:F30"/>
    <mergeCell ref="G29:G30"/>
    <mergeCell ref="H29:H30"/>
    <mergeCell ref="I29:I30"/>
    <mergeCell ref="D27:D28"/>
    <mergeCell ref="E27:E28"/>
    <mergeCell ref="F27:F28"/>
    <mergeCell ref="G27:G28"/>
    <mergeCell ref="H27:H28"/>
    <mergeCell ref="I27:I28"/>
    <mergeCell ref="D33:D34"/>
    <mergeCell ref="E33:E34"/>
    <mergeCell ref="F33:F34"/>
    <mergeCell ref="G33:G34"/>
    <mergeCell ref="H33:H34"/>
    <mergeCell ref="I33:I34"/>
    <mergeCell ref="D31:D32"/>
    <mergeCell ref="E31:E32"/>
    <mergeCell ref="F31:F32"/>
    <mergeCell ref="G31:G32"/>
    <mergeCell ref="H31:H32"/>
    <mergeCell ref="I31:I32"/>
    <mergeCell ref="D40:D41"/>
    <mergeCell ref="E40:E41"/>
    <mergeCell ref="F40:F41"/>
    <mergeCell ref="G40:G41"/>
    <mergeCell ref="H40:H41"/>
    <mergeCell ref="I40:I41"/>
    <mergeCell ref="D35:D36"/>
    <mergeCell ref="E35:E36"/>
    <mergeCell ref="F35:F36"/>
    <mergeCell ref="G35:G36"/>
    <mergeCell ref="H35:H36"/>
    <mergeCell ref="I35:I36"/>
    <mergeCell ref="D44:D45"/>
    <mergeCell ref="E44:E45"/>
    <mergeCell ref="F44:F45"/>
    <mergeCell ref="G44:G45"/>
    <mergeCell ref="H44:H45"/>
    <mergeCell ref="I44:I45"/>
    <mergeCell ref="D42:D43"/>
    <mergeCell ref="E42:E43"/>
    <mergeCell ref="F42:F43"/>
    <mergeCell ref="G42:G43"/>
    <mergeCell ref="H42:H43"/>
    <mergeCell ref="I42:I43"/>
    <mergeCell ref="D48:D49"/>
    <mergeCell ref="E48:E49"/>
    <mergeCell ref="F48:F49"/>
    <mergeCell ref="G48:G49"/>
    <mergeCell ref="H48:H49"/>
    <mergeCell ref="I48:I49"/>
    <mergeCell ref="D46:D47"/>
    <mergeCell ref="E46:E47"/>
    <mergeCell ref="F46:F47"/>
    <mergeCell ref="G46:G47"/>
    <mergeCell ref="H46:H47"/>
    <mergeCell ref="I46:I47"/>
    <mergeCell ref="D52:D53"/>
    <mergeCell ref="E52:E53"/>
    <mergeCell ref="F52:F53"/>
    <mergeCell ref="G52:G53"/>
    <mergeCell ref="H52:H53"/>
    <mergeCell ref="I52:I53"/>
    <mergeCell ref="D50:D51"/>
    <mergeCell ref="E50:E51"/>
    <mergeCell ref="F50:F51"/>
    <mergeCell ref="G50:G51"/>
    <mergeCell ref="H50:H51"/>
    <mergeCell ref="I50:I51"/>
    <mergeCell ref="D56:D57"/>
    <mergeCell ref="E56:E57"/>
    <mergeCell ref="F56:F57"/>
    <mergeCell ref="G56:G57"/>
    <mergeCell ref="H56:H57"/>
    <mergeCell ref="I56:I57"/>
    <mergeCell ref="D54:D55"/>
    <mergeCell ref="E54:E55"/>
    <mergeCell ref="F54:F55"/>
    <mergeCell ref="G54:G55"/>
    <mergeCell ref="H54:H55"/>
    <mergeCell ref="I54:I55"/>
    <mergeCell ref="D60:D61"/>
    <mergeCell ref="E60:E61"/>
    <mergeCell ref="F60:F61"/>
    <mergeCell ref="G60:G61"/>
    <mergeCell ref="H60:H61"/>
    <mergeCell ref="I60:I61"/>
    <mergeCell ref="D58:D59"/>
    <mergeCell ref="E58:E59"/>
    <mergeCell ref="F58:F59"/>
    <mergeCell ref="G58:G59"/>
    <mergeCell ref="H58:H59"/>
    <mergeCell ref="I58:I59"/>
    <mergeCell ref="D64:D65"/>
    <mergeCell ref="E64:E65"/>
    <mergeCell ref="F64:F65"/>
    <mergeCell ref="G64:G65"/>
    <mergeCell ref="H64:H65"/>
    <mergeCell ref="I64:I65"/>
    <mergeCell ref="D62:D63"/>
    <mergeCell ref="E62:E63"/>
    <mergeCell ref="F62:F63"/>
    <mergeCell ref="G62:G63"/>
    <mergeCell ref="H62:H63"/>
    <mergeCell ref="I62:I63"/>
    <mergeCell ref="D68:D69"/>
    <mergeCell ref="E68:E69"/>
    <mergeCell ref="F68:F69"/>
    <mergeCell ref="G68:G69"/>
    <mergeCell ref="H68:H69"/>
    <mergeCell ref="I68:I69"/>
    <mergeCell ref="D66:D67"/>
    <mergeCell ref="E66:E67"/>
    <mergeCell ref="F66:F67"/>
    <mergeCell ref="G66:G67"/>
    <mergeCell ref="H66:H67"/>
    <mergeCell ref="I66:I67"/>
    <mergeCell ref="D72:D73"/>
    <mergeCell ref="E72:E73"/>
    <mergeCell ref="F72:F73"/>
    <mergeCell ref="G72:G73"/>
    <mergeCell ref="H72:H73"/>
    <mergeCell ref="I72:I73"/>
    <mergeCell ref="D70:D71"/>
    <mergeCell ref="E70:E71"/>
    <mergeCell ref="F70:F71"/>
    <mergeCell ref="G70:G71"/>
    <mergeCell ref="H70:H71"/>
    <mergeCell ref="I70:I71"/>
    <mergeCell ref="D79:D80"/>
    <mergeCell ref="E79:E80"/>
    <mergeCell ref="F79:F80"/>
    <mergeCell ref="G79:G80"/>
    <mergeCell ref="H79:H80"/>
    <mergeCell ref="I79:I80"/>
    <mergeCell ref="D74:D75"/>
    <mergeCell ref="E74:E75"/>
    <mergeCell ref="F74:F75"/>
    <mergeCell ref="G74:G75"/>
    <mergeCell ref="H74:H75"/>
    <mergeCell ref="I74:I75"/>
    <mergeCell ref="D83:D84"/>
    <mergeCell ref="E83:E84"/>
    <mergeCell ref="F83:F84"/>
    <mergeCell ref="G83:G84"/>
    <mergeCell ref="H83:H84"/>
    <mergeCell ref="I83:I84"/>
    <mergeCell ref="D81:D82"/>
    <mergeCell ref="E81:E82"/>
    <mergeCell ref="F81:F82"/>
    <mergeCell ref="G81:G82"/>
    <mergeCell ref="H81:H82"/>
    <mergeCell ref="I81:I82"/>
    <mergeCell ref="D87:D88"/>
    <mergeCell ref="E87:E88"/>
    <mergeCell ref="F87:F88"/>
    <mergeCell ref="G87:G88"/>
    <mergeCell ref="H87:H88"/>
    <mergeCell ref="I87:I88"/>
    <mergeCell ref="D85:D86"/>
    <mergeCell ref="E85:E86"/>
    <mergeCell ref="F85:F86"/>
    <mergeCell ref="G85:G86"/>
    <mergeCell ref="H85:H86"/>
    <mergeCell ref="I85:I86"/>
    <mergeCell ref="D91:D92"/>
    <mergeCell ref="E91:E92"/>
    <mergeCell ref="F91:F92"/>
    <mergeCell ref="G91:G92"/>
    <mergeCell ref="H91:H92"/>
    <mergeCell ref="I91:I92"/>
    <mergeCell ref="D89:D90"/>
    <mergeCell ref="E89:E90"/>
    <mergeCell ref="F89:F90"/>
    <mergeCell ref="G89:G90"/>
    <mergeCell ref="H89:H90"/>
    <mergeCell ref="I89:I90"/>
    <mergeCell ref="D95:D96"/>
    <mergeCell ref="E95:E96"/>
    <mergeCell ref="F95:F96"/>
    <mergeCell ref="G95:G96"/>
    <mergeCell ref="H95:H96"/>
    <mergeCell ref="I95:I96"/>
    <mergeCell ref="D93:D94"/>
    <mergeCell ref="E93:E94"/>
    <mergeCell ref="F93:F94"/>
    <mergeCell ref="G93:G94"/>
    <mergeCell ref="H93:H94"/>
    <mergeCell ref="I93:I94"/>
    <mergeCell ref="D99:D100"/>
    <mergeCell ref="E99:E100"/>
    <mergeCell ref="F99:F100"/>
    <mergeCell ref="G99:G100"/>
    <mergeCell ref="H99:H100"/>
    <mergeCell ref="I99:I100"/>
    <mergeCell ref="D97:D98"/>
    <mergeCell ref="E97:E98"/>
    <mergeCell ref="F97:F98"/>
    <mergeCell ref="G97:G98"/>
    <mergeCell ref="H97:H98"/>
    <mergeCell ref="I97:I98"/>
    <mergeCell ref="D103:D104"/>
    <mergeCell ref="E103:E104"/>
    <mergeCell ref="F103:F104"/>
    <mergeCell ref="G103:G104"/>
    <mergeCell ref="H103:H104"/>
    <mergeCell ref="I103:I104"/>
    <mergeCell ref="D101:D102"/>
    <mergeCell ref="E101:E102"/>
    <mergeCell ref="F101:F102"/>
    <mergeCell ref="G101:G102"/>
    <mergeCell ref="H101:H102"/>
    <mergeCell ref="I101:I102"/>
    <mergeCell ref="D107:D108"/>
    <mergeCell ref="E107:E108"/>
    <mergeCell ref="F107:F108"/>
    <mergeCell ref="G107:G108"/>
    <mergeCell ref="H107:H108"/>
    <mergeCell ref="I107:I108"/>
    <mergeCell ref="D105:D106"/>
    <mergeCell ref="E105:E106"/>
    <mergeCell ref="F105:F106"/>
    <mergeCell ref="G105:G106"/>
    <mergeCell ref="H105:H106"/>
    <mergeCell ref="I105:I106"/>
    <mergeCell ref="D111:D112"/>
    <mergeCell ref="E111:E112"/>
    <mergeCell ref="F111:F112"/>
    <mergeCell ref="G111:G112"/>
    <mergeCell ref="H111:H112"/>
    <mergeCell ref="I111:I112"/>
    <mergeCell ref="D109:D110"/>
    <mergeCell ref="E109:E110"/>
    <mergeCell ref="F109:F110"/>
    <mergeCell ref="G109:G110"/>
    <mergeCell ref="H109:H110"/>
    <mergeCell ref="I109:I110"/>
    <mergeCell ref="D115:D116"/>
    <mergeCell ref="E115:E116"/>
    <mergeCell ref="F115:F116"/>
    <mergeCell ref="G115:G116"/>
    <mergeCell ref="H115:H116"/>
    <mergeCell ref="I115:I116"/>
    <mergeCell ref="D113:D114"/>
    <mergeCell ref="E113:E114"/>
    <mergeCell ref="F113:F114"/>
    <mergeCell ref="G113:G114"/>
    <mergeCell ref="H113:H114"/>
    <mergeCell ref="I113:I114"/>
    <mergeCell ref="D119:D120"/>
    <mergeCell ref="E119:E120"/>
    <mergeCell ref="F119:F120"/>
    <mergeCell ref="G119:G120"/>
    <mergeCell ref="H119:H120"/>
    <mergeCell ref="I119:I120"/>
    <mergeCell ref="D117:D118"/>
    <mergeCell ref="E117:E118"/>
    <mergeCell ref="F117:F118"/>
    <mergeCell ref="G117:G118"/>
    <mergeCell ref="H117:H118"/>
    <mergeCell ref="I117:I118"/>
    <mergeCell ref="D123:D124"/>
    <mergeCell ref="E123:E124"/>
    <mergeCell ref="F123:F124"/>
    <mergeCell ref="G123:G124"/>
    <mergeCell ref="H123:H124"/>
    <mergeCell ref="I123:I124"/>
    <mergeCell ref="D121:D122"/>
    <mergeCell ref="E121:E122"/>
    <mergeCell ref="F121:F122"/>
    <mergeCell ref="G121:G122"/>
    <mergeCell ref="H121:H122"/>
    <mergeCell ref="I121:I122"/>
    <mergeCell ref="D127:D128"/>
    <mergeCell ref="E127:E128"/>
    <mergeCell ref="F127:F128"/>
    <mergeCell ref="G127:G128"/>
    <mergeCell ref="H127:H128"/>
    <mergeCell ref="I127:I128"/>
    <mergeCell ref="D125:D126"/>
    <mergeCell ref="E125:E126"/>
    <mergeCell ref="F125:F126"/>
    <mergeCell ref="G125:G126"/>
    <mergeCell ref="H125:H126"/>
    <mergeCell ref="I125:I126"/>
    <mergeCell ref="D131:D132"/>
    <mergeCell ref="E131:E132"/>
    <mergeCell ref="F131:F132"/>
    <mergeCell ref="G131:G132"/>
    <mergeCell ref="H131:H132"/>
    <mergeCell ref="I131:I132"/>
    <mergeCell ref="D129:D130"/>
    <mergeCell ref="E129:E130"/>
    <mergeCell ref="F129:F130"/>
    <mergeCell ref="G129:G130"/>
    <mergeCell ref="H129:H130"/>
    <mergeCell ref="I129:I130"/>
    <mergeCell ref="D135:D136"/>
    <mergeCell ref="E135:E136"/>
    <mergeCell ref="F135:F136"/>
    <mergeCell ref="G135:G136"/>
    <mergeCell ref="H135:H136"/>
    <mergeCell ref="I135:I136"/>
    <mergeCell ref="D133:D134"/>
    <mergeCell ref="E133:E134"/>
    <mergeCell ref="F133:F134"/>
    <mergeCell ref="G133:G134"/>
    <mergeCell ref="H133:H134"/>
    <mergeCell ref="I133:I134"/>
    <mergeCell ref="D139:D140"/>
    <mergeCell ref="E139:E140"/>
    <mergeCell ref="F139:F140"/>
    <mergeCell ref="G139:G140"/>
    <mergeCell ref="H139:H140"/>
    <mergeCell ref="I139:I140"/>
    <mergeCell ref="D137:D138"/>
    <mergeCell ref="E137:E138"/>
    <mergeCell ref="F137:F138"/>
    <mergeCell ref="G137:G138"/>
    <mergeCell ref="H137:H138"/>
    <mergeCell ref="I137:I138"/>
    <mergeCell ref="D143:D144"/>
    <mergeCell ref="E143:E144"/>
    <mergeCell ref="F143:F144"/>
    <mergeCell ref="G143:G144"/>
    <mergeCell ref="H143:H144"/>
    <mergeCell ref="I143:I144"/>
    <mergeCell ref="D141:D142"/>
    <mergeCell ref="E141:E142"/>
    <mergeCell ref="F141:F142"/>
    <mergeCell ref="G141:G142"/>
    <mergeCell ref="H141:H142"/>
    <mergeCell ref="I141:I142"/>
    <mergeCell ref="D147:D148"/>
    <mergeCell ref="E147:E148"/>
    <mergeCell ref="F147:F148"/>
    <mergeCell ref="G147:G148"/>
    <mergeCell ref="H147:H148"/>
    <mergeCell ref="I147:I148"/>
    <mergeCell ref="D145:D146"/>
    <mergeCell ref="E145:E146"/>
    <mergeCell ref="F145:F146"/>
    <mergeCell ref="G145:G146"/>
    <mergeCell ref="H145:H146"/>
    <mergeCell ref="I145:I146"/>
    <mergeCell ref="D151:D152"/>
    <mergeCell ref="E151:E152"/>
    <mergeCell ref="F151:F152"/>
    <mergeCell ref="G151:G152"/>
    <mergeCell ref="H151:H152"/>
    <mergeCell ref="I151:I152"/>
    <mergeCell ref="D149:D150"/>
    <mergeCell ref="E149:E150"/>
    <mergeCell ref="F149:F150"/>
    <mergeCell ref="G149:G150"/>
    <mergeCell ref="H149:H150"/>
    <mergeCell ref="I149:I150"/>
    <mergeCell ref="D158:D159"/>
    <mergeCell ref="E158:E159"/>
    <mergeCell ref="F158:F159"/>
    <mergeCell ref="G158:G159"/>
    <mergeCell ref="H158:H159"/>
    <mergeCell ref="I158:I159"/>
    <mergeCell ref="D156:D157"/>
    <mergeCell ref="E156:E157"/>
    <mergeCell ref="F156:F157"/>
    <mergeCell ref="G156:G157"/>
    <mergeCell ref="H156:H157"/>
    <mergeCell ref="I156:I157"/>
    <mergeCell ref="D162:D163"/>
    <mergeCell ref="E162:E163"/>
    <mergeCell ref="F162:F163"/>
    <mergeCell ref="G162:G163"/>
    <mergeCell ref="H162:H163"/>
    <mergeCell ref="I162:I163"/>
    <mergeCell ref="D160:D161"/>
    <mergeCell ref="E160:E161"/>
    <mergeCell ref="F160:F161"/>
    <mergeCell ref="G160:G161"/>
    <mergeCell ref="H160:H161"/>
    <mergeCell ref="I160:I161"/>
    <mergeCell ref="D166:D167"/>
    <mergeCell ref="E166:E167"/>
    <mergeCell ref="F166:F167"/>
    <mergeCell ref="G166:G167"/>
    <mergeCell ref="H166:H167"/>
    <mergeCell ref="I166:I167"/>
    <mergeCell ref="D164:D165"/>
    <mergeCell ref="E164:E165"/>
    <mergeCell ref="F164:F165"/>
    <mergeCell ref="G164:G165"/>
    <mergeCell ref="H164:H165"/>
    <mergeCell ref="I164:I165"/>
    <mergeCell ref="D170:D171"/>
    <mergeCell ref="E170:E171"/>
    <mergeCell ref="F170:F171"/>
    <mergeCell ref="G170:G171"/>
    <mergeCell ref="H170:H171"/>
    <mergeCell ref="I170:I171"/>
    <mergeCell ref="D168:D169"/>
    <mergeCell ref="E168:E169"/>
    <mergeCell ref="F168:F169"/>
    <mergeCell ref="G168:G169"/>
    <mergeCell ref="H168:H169"/>
    <mergeCell ref="I168:I169"/>
    <mergeCell ref="D174:D175"/>
    <mergeCell ref="E174:E175"/>
    <mergeCell ref="F174:F175"/>
    <mergeCell ref="G174:G175"/>
    <mergeCell ref="H174:H175"/>
    <mergeCell ref="I174:I175"/>
    <mergeCell ref="D172:D173"/>
    <mergeCell ref="E172:E173"/>
    <mergeCell ref="F172:F173"/>
    <mergeCell ref="G172:G173"/>
    <mergeCell ref="H172:H173"/>
    <mergeCell ref="I172:I173"/>
    <mergeCell ref="D178:D179"/>
    <mergeCell ref="E178:E179"/>
    <mergeCell ref="F178:F179"/>
    <mergeCell ref="G178:G179"/>
    <mergeCell ref="H178:H179"/>
    <mergeCell ref="I178:I179"/>
    <mergeCell ref="D176:D177"/>
    <mergeCell ref="E176:E177"/>
    <mergeCell ref="F176:F177"/>
    <mergeCell ref="G176:G177"/>
    <mergeCell ref="H176:H177"/>
    <mergeCell ref="I176:I177"/>
    <mergeCell ref="D182:D183"/>
    <mergeCell ref="E182:E183"/>
    <mergeCell ref="F182:F183"/>
    <mergeCell ref="G182:G183"/>
    <mergeCell ref="H182:H183"/>
    <mergeCell ref="I182:I183"/>
    <mergeCell ref="D180:D181"/>
    <mergeCell ref="E180:E181"/>
    <mergeCell ref="F180:F181"/>
    <mergeCell ref="G180:G181"/>
    <mergeCell ref="H180:H181"/>
    <mergeCell ref="I180:I181"/>
    <mergeCell ref="D186:D187"/>
    <mergeCell ref="E186:E187"/>
    <mergeCell ref="F186:F187"/>
    <mergeCell ref="G186:G187"/>
    <mergeCell ref="H186:H187"/>
    <mergeCell ref="I186:I187"/>
    <mergeCell ref="D184:D185"/>
    <mergeCell ref="E184:E185"/>
    <mergeCell ref="F184:F185"/>
    <mergeCell ref="G184:G185"/>
    <mergeCell ref="H184:H185"/>
    <mergeCell ref="I184:I185"/>
    <mergeCell ref="D190:D191"/>
    <mergeCell ref="E190:E191"/>
    <mergeCell ref="F190:F191"/>
    <mergeCell ref="G190:G191"/>
    <mergeCell ref="H190:H191"/>
    <mergeCell ref="I190:I191"/>
    <mergeCell ref="D188:D189"/>
    <mergeCell ref="E188:E189"/>
    <mergeCell ref="F188:F189"/>
    <mergeCell ref="G188:G189"/>
    <mergeCell ref="H188:H189"/>
    <mergeCell ref="I188:I189"/>
    <mergeCell ref="C11:C12"/>
    <mergeCell ref="B13:B14"/>
    <mergeCell ref="C13:C14"/>
    <mergeCell ref="B15:B16"/>
    <mergeCell ref="C15:C16"/>
    <mergeCell ref="B17:B18"/>
    <mergeCell ref="C17:C18"/>
    <mergeCell ref="A3:A34"/>
    <mergeCell ref="B3:B4"/>
    <mergeCell ref="C3:C4"/>
    <mergeCell ref="B5:B6"/>
    <mergeCell ref="C5:C6"/>
    <mergeCell ref="B7:B8"/>
    <mergeCell ref="C7:C8"/>
    <mergeCell ref="B9:B10"/>
    <mergeCell ref="C9:C10"/>
    <mergeCell ref="B11:B12"/>
    <mergeCell ref="B25:B26"/>
    <mergeCell ref="C25:C26"/>
    <mergeCell ref="B27:B28"/>
    <mergeCell ref="C27:C28"/>
    <mergeCell ref="B29:B30"/>
    <mergeCell ref="C29:C30"/>
    <mergeCell ref="B19:B20"/>
    <mergeCell ref="C19:C20"/>
    <mergeCell ref="B21:B22"/>
    <mergeCell ref="C21:C22"/>
    <mergeCell ref="B23:B24"/>
    <mergeCell ref="C23:C24"/>
    <mergeCell ref="B31:B32"/>
    <mergeCell ref="C31:C32"/>
    <mergeCell ref="B33:B34"/>
    <mergeCell ref="C33:C34"/>
    <mergeCell ref="A40:A73"/>
    <mergeCell ref="B40:B41"/>
    <mergeCell ref="C40:C41"/>
    <mergeCell ref="B42:B43"/>
    <mergeCell ref="C42:C43"/>
    <mergeCell ref="B44:B45"/>
    <mergeCell ref="B52:B53"/>
    <mergeCell ref="C52:C53"/>
    <mergeCell ref="B54:B55"/>
    <mergeCell ref="C54:C55"/>
    <mergeCell ref="B56:B57"/>
    <mergeCell ref="C56:C57"/>
    <mergeCell ref="C44:C45"/>
    <mergeCell ref="B46:B47"/>
    <mergeCell ref="C46:C47"/>
    <mergeCell ref="B48:B49"/>
    <mergeCell ref="C48:C49"/>
    <mergeCell ref="B50:B51"/>
    <mergeCell ref="C50:C51"/>
    <mergeCell ref="B64:B65"/>
    <mergeCell ref="C64:C65"/>
    <mergeCell ref="B66:B67"/>
    <mergeCell ref="C66:C67"/>
    <mergeCell ref="B68:B69"/>
    <mergeCell ref="C68:C69"/>
    <mergeCell ref="B58:B59"/>
    <mergeCell ref="C58:C59"/>
    <mergeCell ref="B60:B61"/>
    <mergeCell ref="C60:C61"/>
    <mergeCell ref="B62:B63"/>
    <mergeCell ref="C62:C63"/>
    <mergeCell ref="B83:B84"/>
    <mergeCell ref="C83:C84"/>
    <mergeCell ref="B85:B86"/>
    <mergeCell ref="C85:C86"/>
    <mergeCell ref="B87:B88"/>
    <mergeCell ref="C87:C88"/>
    <mergeCell ref="B70:B71"/>
    <mergeCell ref="C70:C71"/>
    <mergeCell ref="B72:B73"/>
    <mergeCell ref="C72:C73"/>
    <mergeCell ref="A74:C75"/>
    <mergeCell ref="A79:A150"/>
    <mergeCell ref="B79:B80"/>
    <mergeCell ref="C79:C80"/>
    <mergeCell ref="B81:B82"/>
    <mergeCell ref="C81:C82"/>
    <mergeCell ref="B95:B96"/>
    <mergeCell ref="C95:C96"/>
    <mergeCell ref="B97:B98"/>
    <mergeCell ref="C97:C98"/>
    <mergeCell ref="B99:B100"/>
    <mergeCell ref="C99:C100"/>
    <mergeCell ref="B89:B90"/>
    <mergeCell ref="C89:C90"/>
    <mergeCell ref="B91:B92"/>
    <mergeCell ref="C91:C92"/>
    <mergeCell ref="B93:B94"/>
    <mergeCell ref="C93:C94"/>
    <mergeCell ref="B107:B108"/>
    <mergeCell ref="C107:C108"/>
    <mergeCell ref="B109:B110"/>
    <mergeCell ref="C109:C110"/>
    <mergeCell ref="B111:B112"/>
    <mergeCell ref="C111:C112"/>
    <mergeCell ref="B101:B102"/>
    <mergeCell ref="C101:C102"/>
    <mergeCell ref="B103:B104"/>
    <mergeCell ref="C103:C104"/>
    <mergeCell ref="B105:B106"/>
    <mergeCell ref="C105:C106"/>
    <mergeCell ref="B119:B120"/>
    <mergeCell ref="C119:C120"/>
    <mergeCell ref="B121:B122"/>
    <mergeCell ref="C121:C122"/>
    <mergeCell ref="B123:B124"/>
    <mergeCell ref="C123:C124"/>
    <mergeCell ref="B113:B114"/>
    <mergeCell ref="C113:C114"/>
    <mergeCell ref="B115:B116"/>
    <mergeCell ref="C115:C116"/>
    <mergeCell ref="B117:B118"/>
    <mergeCell ref="C117:C118"/>
    <mergeCell ref="B131:B132"/>
    <mergeCell ref="C131:C132"/>
    <mergeCell ref="B133:B134"/>
    <mergeCell ref="C133:C134"/>
    <mergeCell ref="B135:B136"/>
    <mergeCell ref="C135:C136"/>
    <mergeCell ref="B125:B126"/>
    <mergeCell ref="C125:C126"/>
    <mergeCell ref="B127:B128"/>
    <mergeCell ref="C127:C128"/>
    <mergeCell ref="B129:B130"/>
    <mergeCell ref="C129:C130"/>
    <mergeCell ref="B143:B144"/>
    <mergeCell ref="C143:C144"/>
    <mergeCell ref="B145:B146"/>
    <mergeCell ref="C145:C146"/>
    <mergeCell ref="B147:B148"/>
    <mergeCell ref="C147:C148"/>
    <mergeCell ref="B137:B138"/>
    <mergeCell ref="C137:C138"/>
    <mergeCell ref="B139:B140"/>
    <mergeCell ref="C139:C140"/>
    <mergeCell ref="B141:B142"/>
    <mergeCell ref="C141:C142"/>
    <mergeCell ref="B149:B150"/>
    <mergeCell ref="C149:C150"/>
    <mergeCell ref="A156:A189"/>
    <mergeCell ref="B156:B157"/>
    <mergeCell ref="C156:C157"/>
    <mergeCell ref="B158:B159"/>
    <mergeCell ref="C158:C159"/>
    <mergeCell ref="B160:B161"/>
    <mergeCell ref="C160:C161"/>
    <mergeCell ref="B162:B163"/>
    <mergeCell ref="B170:B171"/>
    <mergeCell ref="C170:C171"/>
    <mergeCell ref="B172:B173"/>
    <mergeCell ref="C172:C173"/>
    <mergeCell ref="B174:B175"/>
    <mergeCell ref="C174:C175"/>
    <mergeCell ref="C162:C163"/>
    <mergeCell ref="B164:B165"/>
    <mergeCell ref="C164:C165"/>
    <mergeCell ref="B166:B167"/>
    <mergeCell ref="C166:C167"/>
    <mergeCell ref="B168:B169"/>
    <mergeCell ref="C168:C169"/>
    <mergeCell ref="B188:B189"/>
    <mergeCell ref="C188:C189"/>
    <mergeCell ref="B182:B183"/>
    <mergeCell ref="C182:C183"/>
    <mergeCell ref="B184:B185"/>
    <mergeCell ref="C184:C185"/>
    <mergeCell ref="B186:B187"/>
    <mergeCell ref="C186:C187"/>
    <mergeCell ref="B176:B177"/>
    <mergeCell ref="C176:C177"/>
    <mergeCell ref="B178:B179"/>
    <mergeCell ref="C178:C179"/>
    <mergeCell ref="B180:B181"/>
    <mergeCell ref="C180:C18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R173"/>
  <sheetViews>
    <sheetView zoomScale="63" zoomScaleNormal="63" workbookViewId="0">
      <selection activeCell="K182" sqref="K182"/>
    </sheetView>
  </sheetViews>
  <sheetFormatPr baseColWidth="10" defaultRowHeight="10.199999999999999"/>
  <cols>
    <col min="1" max="1" width="13.33203125" style="385" customWidth="1"/>
    <col min="2" max="2" width="23.77734375" style="385" customWidth="1"/>
    <col min="3" max="11" width="11.5546875" style="385"/>
    <col min="12" max="12" width="10.6640625" style="385" customWidth="1"/>
    <col min="13" max="16384" width="11.5546875" style="385"/>
  </cols>
  <sheetData>
    <row r="1" spans="1:18" ht="21" thickBot="1">
      <c r="A1" s="410" t="s">
        <v>246</v>
      </c>
      <c r="B1" s="411" t="s">
        <v>247</v>
      </c>
      <c r="C1" s="382" t="s">
        <v>248</v>
      </c>
      <c r="D1" s="401" t="s">
        <v>249</v>
      </c>
      <c r="E1" s="386" t="s">
        <v>250</v>
      </c>
      <c r="F1" s="386" t="s">
        <v>242</v>
      </c>
      <c r="G1" s="412" t="s">
        <v>4</v>
      </c>
      <c r="H1" s="386" t="s">
        <v>5</v>
      </c>
      <c r="I1" s="386" t="s">
        <v>243</v>
      </c>
      <c r="J1" s="386" t="s">
        <v>48</v>
      </c>
      <c r="K1" s="413" t="s">
        <v>49</v>
      </c>
      <c r="L1" s="414" t="s">
        <v>81</v>
      </c>
      <c r="M1" s="383" t="s">
        <v>251</v>
      </c>
      <c r="N1" s="384" t="s">
        <v>4</v>
      </c>
      <c r="O1" s="384" t="s">
        <v>5</v>
      </c>
      <c r="P1" s="384" t="s">
        <v>6</v>
      </c>
      <c r="Q1" s="384" t="s">
        <v>7</v>
      </c>
      <c r="R1" s="387" t="s">
        <v>252</v>
      </c>
    </row>
    <row r="2" spans="1:18" hidden="1">
      <c r="A2" s="1090" t="s">
        <v>253</v>
      </c>
      <c r="B2" s="1061" t="s">
        <v>394</v>
      </c>
      <c r="C2" s="935" t="s">
        <v>254</v>
      </c>
      <c r="D2" s="939">
        <v>1.08112364E-2</v>
      </c>
      <c r="E2" s="415" t="s">
        <v>38</v>
      </c>
      <c r="F2" s="416">
        <v>25.903722414400001</v>
      </c>
      <c r="G2" s="417"/>
      <c r="H2" s="418">
        <v>25.903722414400001</v>
      </c>
      <c r="I2" s="419">
        <v>4.2759999999999998</v>
      </c>
      <c r="J2" s="418">
        <v>21.627722414400001</v>
      </c>
      <c r="K2" s="420">
        <v>0.16507280041045186</v>
      </c>
      <c r="L2" s="421" t="s">
        <v>32</v>
      </c>
      <c r="M2" s="1088">
        <v>40.8016061736</v>
      </c>
      <c r="N2" s="934">
        <v>0</v>
      </c>
      <c r="O2" s="934">
        <v>40.8016061736</v>
      </c>
      <c r="P2" s="934">
        <v>4.2759999999999998</v>
      </c>
      <c r="Q2" s="934">
        <v>36.525606173599996</v>
      </c>
      <c r="R2" s="932">
        <v>0.10479979591506165</v>
      </c>
    </row>
    <row r="3" spans="1:18" hidden="1">
      <c r="A3" s="1091"/>
      <c r="B3" s="1093"/>
      <c r="C3" s="935"/>
      <c r="D3" s="939">
        <v>1.08112364E-2</v>
      </c>
      <c r="E3" s="422" t="s">
        <v>102</v>
      </c>
      <c r="F3" s="423">
        <v>14.897883759200001</v>
      </c>
      <c r="G3" s="424"/>
      <c r="H3" s="425">
        <v>36.525606173600004</v>
      </c>
      <c r="I3" s="426"/>
      <c r="J3" s="425">
        <v>36.525606173600004</v>
      </c>
      <c r="K3" s="427">
        <v>0</v>
      </c>
      <c r="L3" s="421" t="s">
        <v>32</v>
      </c>
      <c r="M3" s="1088"/>
      <c r="N3" s="934"/>
      <c r="O3" s="934"/>
      <c r="P3" s="934"/>
      <c r="Q3" s="934"/>
      <c r="R3" s="932"/>
    </row>
    <row r="4" spans="1:18" hidden="1">
      <c r="A4" s="1091"/>
      <c r="B4" s="1061" t="s">
        <v>255</v>
      </c>
      <c r="C4" s="935">
        <v>4452</v>
      </c>
      <c r="D4" s="939">
        <v>1.2413368000000001E-3</v>
      </c>
      <c r="E4" s="422" t="s">
        <v>38</v>
      </c>
      <c r="F4" s="423">
        <v>2.9742429727999999</v>
      </c>
      <c r="G4" s="424"/>
      <c r="H4" s="425">
        <v>2.9742429727999999</v>
      </c>
      <c r="I4" s="428"/>
      <c r="J4" s="425">
        <v>2.9742429727999999</v>
      </c>
      <c r="K4" s="427">
        <v>0</v>
      </c>
      <c r="L4" s="421" t="s">
        <v>32</v>
      </c>
      <c r="M4" s="1088">
        <v>4.6848050832000006</v>
      </c>
      <c r="N4" s="934">
        <v>0</v>
      </c>
      <c r="O4" s="934">
        <v>4.6848050832000006</v>
      </c>
      <c r="P4" s="934">
        <v>0</v>
      </c>
      <c r="Q4" s="934">
        <v>4.6848050832000006</v>
      </c>
      <c r="R4" s="932">
        <v>0</v>
      </c>
    </row>
    <row r="5" spans="1:18" hidden="1">
      <c r="A5" s="1091"/>
      <c r="B5" s="1061"/>
      <c r="C5" s="935"/>
      <c r="D5" s="939">
        <v>1.2413368000000001E-3</v>
      </c>
      <c r="E5" s="429" t="s">
        <v>102</v>
      </c>
      <c r="F5" s="430">
        <v>1.7105621104000002</v>
      </c>
      <c r="G5" s="431"/>
      <c r="H5" s="432">
        <v>4.6848050832000006</v>
      </c>
      <c r="I5" s="426"/>
      <c r="J5" s="433">
        <v>4.6848050832000006</v>
      </c>
      <c r="K5" s="434">
        <v>0</v>
      </c>
      <c r="L5" s="421" t="s">
        <v>32</v>
      </c>
      <c r="M5" s="1089"/>
      <c r="N5" s="943"/>
      <c r="O5" s="934"/>
      <c r="P5" s="943"/>
      <c r="Q5" s="943"/>
      <c r="R5" s="933"/>
    </row>
    <row r="6" spans="1:18" hidden="1">
      <c r="A6" s="1091"/>
      <c r="B6" s="1061" t="s">
        <v>256</v>
      </c>
      <c r="C6" s="935">
        <v>4309</v>
      </c>
      <c r="D6" s="939">
        <v>1.5542385299999999E-2</v>
      </c>
      <c r="E6" s="422" t="s">
        <v>38</v>
      </c>
      <c r="F6" s="423">
        <v>37.239555178799996</v>
      </c>
      <c r="G6" s="424"/>
      <c r="H6" s="425">
        <v>37.239555178799996</v>
      </c>
      <c r="I6" s="428">
        <v>4.2229999999999999</v>
      </c>
      <c r="J6" s="425">
        <v>33.016555178799997</v>
      </c>
      <c r="K6" s="435">
        <v>0.11340092489622701</v>
      </c>
      <c r="L6" s="421" t="s">
        <v>32</v>
      </c>
      <c r="M6" s="1058">
        <v>58.656962122199999</v>
      </c>
      <c r="N6" s="943">
        <v>0</v>
      </c>
      <c r="O6" s="943">
        <v>58.656962122199999</v>
      </c>
      <c r="P6" s="943">
        <v>4.2229999999999999</v>
      </c>
      <c r="Q6" s="943">
        <v>54.433962122200001</v>
      </c>
      <c r="R6" s="933">
        <v>7.1994863818590327E-2</v>
      </c>
    </row>
    <row r="7" spans="1:18" hidden="1">
      <c r="A7" s="1091"/>
      <c r="B7" s="1061"/>
      <c r="C7" s="935"/>
      <c r="D7" s="939"/>
      <c r="E7" s="422" t="s">
        <v>102</v>
      </c>
      <c r="F7" s="423">
        <v>21.4174069434</v>
      </c>
      <c r="G7" s="424"/>
      <c r="H7" s="425">
        <v>54.433962122200001</v>
      </c>
      <c r="I7" s="426"/>
      <c r="J7" s="425">
        <v>54.433962122200001</v>
      </c>
      <c r="K7" s="427">
        <v>0</v>
      </c>
      <c r="L7" s="421" t="s">
        <v>32</v>
      </c>
      <c r="M7" s="1060"/>
      <c r="N7" s="958"/>
      <c r="O7" s="958"/>
      <c r="P7" s="958"/>
      <c r="Q7" s="958"/>
      <c r="R7" s="951"/>
    </row>
    <row r="8" spans="1:18" hidden="1">
      <c r="A8" s="1091"/>
      <c r="B8" s="1061" t="s">
        <v>257</v>
      </c>
      <c r="C8" s="935">
        <v>4370</v>
      </c>
      <c r="D8" s="939">
        <v>1.45138269E-2</v>
      </c>
      <c r="E8" s="422" t="s">
        <v>38</v>
      </c>
      <c r="F8" s="423">
        <v>34.775129252399999</v>
      </c>
      <c r="G8" s="424"/>
      <c r="H8" s="425">
        <v>34.775129252399999</v>
      </c>
      <c r="I8" s="428">
        <v>2.7029999999999998</v>
      </c>
      <c r="J8" s="425">
        <v>32.072129252399996</v>
      </c>
      <c r="K8" s="427">
        <v>7.7727964154538767E-2</v>
      </c>
      <c r="L8" s="421" t="s">
        <v>32</v>
      </c>
      <c r="M8" s="1058">
        <v>54.7751827206</v>
      </c>
      <c r="N8" s="943">
        <v>0</v>
      </c>
      <c r="O8" s="943">
        <v>54.7751827206</v>
      </c>
      <c r="P8" s="943">
        <v>2.7029999999999998</v>
      </c>
      <c r="Q8" s="943">
        <v>52.072182720599997</v>
      </c>
      <c r="R8" s="933">
        <v>4.9347165372091918E-2</v>
      </c>
    </row>
    <row r="9" spans="1:18" hidden="1">
      <c r="A9" s="1091"/>
      <c r="B9" s="1061"/>
      <c r="C9" s="935"/>
      <c r="D9" s="939"/>
      <c r="E9" s="422" t="s">
        <v>102</v>
      </c>
      <c r="F9" s="423">
        <v>20.000053468200001</v>
      </c>
      <c r="G9" s="424"/>
      <c r="H9" s="425">
        <v>52.072182720599997</v>
      </c>
      <c r="I9" s="426"/>
      <c r="J9" s="425">
        <v>52.072182720599997</v>
      </c>
      <c r="K9" s="427">
        <v>0</v>
      </c>
      <c r="L9" s="421" t="s">
        <v>32</v>
      </c>
      <c r="M9" s="1060"/>
      <c r="N9" s="958"/>
      <c r="O9" s="958"/>
      <c r="P9" s="958"/>
      <c r="Q9" s="958"/>
      <c r="R9" s="951"/>
    </row>
    <row r="10" spans="1:18" hidden="1">
      <c r="A10" s="1091"/>
      <c r="B10" s="1061" t="s">
        <v>411</v>
      </c>
      <c r="C10" s="935" t="s">
        <v>258</v>
      </c>
      <c r="D10" s="939">
        <v>4.7467391800000001E-2</v>
      </c>
      <c r="E10" s="422" t="s">
        <v>38</v>
      </c>
      <c r="F10" s="423">
        <v>113.73187075280001</v>
      </c>
      <c r="G10" s="424"/>
      <c r="H10" s="425">
        <v>113.73187075280001</v>
      </c>
      <c r="I10" s="428">
        <v>8.3610000000000007</v>
      </c>
      <c r="J10" s="425">
        <v>105.3708707528</v>
      </c>
      <c r="K10" s="427">
        <v>7.351501337890512E-2</v>
      </c>
      <c r="L10" s="421" t="s">
        <v>32</v>
      </c>
      <c r="M10" s="1058">
        <v>179.14193665319999</v>
      </c>
      <c r="N10" s="943">
        <v>0</v>
      </c>
      <c r="O10" s="943">
        <v>179.14193665319999</v>
      </c>
      <c r="P10" s="943">
        <v>8.3610000000000007</v>
      </c>
      <c r="Q10" s="943">
        <v>170.7809366532</v>
      </c>
      <c r="R10" s="933">
        <v>4.6672488621053707E-2</v>
      </c>
    </row>
    <row r="11" spans="1:18" hidden="1">
      <c r="A11" s="1091"/>
      <c r="B11" s="1061"/>
      <c r="C11" s="935"/>
      <c r="D11" s="939"/>
      <c r="E11" s="429" t="s">
        <v>102</v>
      </c>
      <c r="F11" s="430">
        <v>65.410065900399999</v>
      </c>
      <c r="G11" s="436"/>
      <c r="H11" s="433">
        <v>170.7809366532</v>
      </c>
      <c r="I11" s="437"/>
      <c r="J11" s="433">
        <v>170.7809366532</v>
      </c>
      <c r="K11" s="438">
        <v>0</v>
      </c>
      <c r="L11" s="421" t="s">
        <v>32</v>
      </c>
      <c r="M11" s="1060"/>
      <c r="N11" s="958"/>
      <c r="O11" s="958"/>
      <c r="P11" s="958"/>
      <c r="Q11" s="958"/>
      <c r="R11" s="951"/>
    </row>
    <row r="12" spans="1:18" hidden="1">
      <c r="A12" s="1091"/>
      <c r="B12" s="1061" t="s">
        <v>261</v>
      </c>
      <c r="C12" s="935" t="s">
        <v>262</v>
      </c>
      <c r="D12" s="939">
        <v>5.2291431999999999E-2</v>
      </c>
      <c r="E12" s="439" t="s">
        <v>38</v>
      </c>
      <c r="F12" s="423">
        <v>125.290271072</v>
      </c>
      <c r="G12" s="424"/>
      <c r="H12" s="425">
        <v>125.290271072</v>
      </c>
      <c r="I12" s="428">
        <v>17.329999999999998</v>
      </c>
      <c r="J12" s="425">
        <v>107.960271072</v>
      </c>
      <c r="K12" s="427">
        <v>0.13831880042817565</v>
      </c>
      <c r="L12" s="421" t="s">
        <v>32</v>
      </c>
      <c r="M12" s="1058">
        <v>197.34786436799999</v>
      </c>
      <c r="N12" s="943">
        <v>0</v>
      </c>
      <c r="O12" s="943">
        <v>197.34786436799999</v>
      </c>
      <c r="P12" s="943">
        <v>17.329999999999998</v>
      </c>
      <c r="Q12" s="943">
        <v>180.01786436800001</v>
      </c>
      <c r="R12" s="933">
        <v>8.7814479551115238E-2</v>
      </c>
    </row>
    <row r="13" spans="1:18" hidden="1">
      <c r="A13" s="1091"/>
      <c r="B13" s="1061"/>
      <c r="C13" s="935"/>
      <c r="D13" s="939"/>
      <c r="E13" s="440" t="s">
        <v>102</v>
      </c>
      <c r="F13" s="430">
        <v>72.057593295999993</v>
      </c>
      <c r="G13" s="436"/>
      <c r="H13" s="433">
        <v>180.01786436800001</v>
      </c>
      <c r="I13" s="437"/>
      <c r="J13" s="433">
        <v>180.01786436800001</v>
      </c>
      <c r="K13" s="438">
        <v>0</v>
      </c>
      <c r="L13" s="421" t="s">
        <v>32</v>
      </c>
      <c r="M13" s="1060"/>
      <c r="N13" s="958"/>
      <c r="O13" s="958"/>
      <c r="P13" s="958"/>
      <c r="Q13" s="958"/>
      <c r="R13" s="951"/>
    </row>
    <row r="14" spans="1:18" hidden="1">
      <c r="A14" s="1091"/>
      <c r="B14" s="1072" t="s">
        <v>416</v>
      </c>
      <c r="C14" s="1072" t="s">
        <v>259</v>
      </c>
      <c r="D14" s="1085">
        <v>1.3424028500000001E-2</v>
      </c>
      <c r="E14" s="439" t="s">
        <v>38</v>
      </c>
      <c r="F14" s="423">
        <v>32.163972286000003</v>
      </c>
      <c r="G14" s="441">
        <v>-50.661999999999999</v>
      </c>
      <c r="H14" s="425">
        <v>-18.498027713999996</v>
      </c>
      <c r="I14" s="428"/>
      <c r="J14" s="425">
        <v>-18.498027713999996</v>
      </c>
      <c r="K14" s="427">
        <v>0</v>
      </c>
      <c r="L14" s="442">
        <v>43508</v>
      </c>
      <c r="M14" s="1086">
        <v>50.662283559000002</v>
      </c>
      <c r="N14" s="1077">
        <v>-50.661999999999999</v>
      </c>
      <c r="O14" s="1077">
        <v>2.8355900000320844E-4</v>
      </c>
      <c r="P14" s="1077">
        <v>0</v>
      </c>
      <c r="Q14" s="1077">
        <v>2.8355900000320844E-4</v>
      </c>
      <c r="R14" s="1079">
        <v>0</v>
      </c>
    </row>
    <row r="15" spans="1:18" hidden="1">
      <c r="A15" s="1091"/>
      <c r="B15" s="1072"/>
      <c r="C15" s="1072"/>
      <c r="D15" s="1085"/>
      <c r="E15" s="440" t="s">
        <v>102</v>
      </c>
      <c r="F15" s="430">
        <v>18.498311273000002</v>
      </c>
      <c r="G15" s="436"/>
      <c r="H15" s="433">
        <v>2.8355900000676115E-4</v>
      </c>
      <c r="I15" s="437"/>
      <c r="J15" s="433">
        <v>2.8355900000676115E-4</v>
      </c>
      <c r="K15" s="438">
        <v>0</v>
      </c>
      <c r="L15" s="442">
        <v>43508</v>
      </c>
      <c r="M15" s="1087"/>
      <c r="N15" s="1078"/>
      <c r="O15" s="1078"/>
      <c r="P15" s="1078"/>
      <c r="Q15" s="1078"/>
      <c r="R15" s="1080"/>
    </row>
    <row r="16" spans="1:18" hidden="1">
      <c r="A16" s="1091"/>
      <c r="B16" s="1081" t="s">
        <v>426</v>
      </c>
      <c r="C16" s="1081" t="s">
        <v>264</v>
      </c>
      <c r="D16" s="1082">
        <v>1.5918523699999999E-2</v>
      </c>
      <c r="E16" s="443" t="s">
        <v>38</v>
      </c>
      <c r="F16" s="444">
        <v>38.140782785199995</v>
      </c>
      <c r="G16" s="445">
        <v>-59.545000000000002</v>
      </c>
      <c r="H16" s="446">
        <v>-21.404217214800006</v>
      </c>
      <c r="I16" s="428">
        <v>1.556</v>
      </c>
      <c r="J16" s="446">
        <v>-22.960217214800007</v>
      </c>
      <c r="K16" s="447">
        <v>-7.2695954464716397E-2</v>
      </c>
      <c r="L16" s="448" t="s">
        <v>32</v>
      </c>
      <c r="M16" s="1083">
        <v>60.076508443799995</v>
      </c>
      <c r="N16" s="1066">
        <v>-59.545000000000002</v>
      </c>
      <c r="O16" s="1066">
        <v>0.53150844379999285</v>
      </c>
      <c r="P16" s="1066">
        <v>1.556</v>
      </c>
      <c r="Q16" s="1068">
        <v>-1.0244915562000072</v>
      </c>
      <c r="R16" s="1070">
        <v>2.9275169908411169</v>
      </c>
    </row>
    <row r="17" spans="1:18" hidden="1">
      <c r="A17" s="1091"/>
      <c r="B17" s="1081"/>
      <c r="C17" s="1081"/>
      <c r="D17" s="1082"/>
      <c r="E17" s="443" t="s">
        <v>102</v>
      </c>
      <c r="F17" s="444">
        <v>21.935725658599999</v>
      </c>
      <c r="G17" s="445"/>
      <c r="H17" s="446">
        <v>-1.0244915562000081</v>
      </c>
      <c r="I17" s="443"/>
      <c r="J17" s="446">
        <v>-1.0244915562000081</v>
      </c>
      <c r="K17" s="447">
        <v>0</v>
      </c>
      <c r="L17" s="448" t="s">
        <v>32</v>
      </c>
      <c r="M17" s="1084"/>
      <c r="N17" s="1067"/>
      <c r="O17" s="1067"/>
      <c r="P17" s="1067"/>
      <c r="Q17" s="1069"/>
      <c r="R17" s="1071"/>
    </row>
    <row r="18" spans="1:18" hidden="1">
      <c r="A18" s="1091"/>
      <c r="B18" s="1072" t="s">
        <v>427</v>
      </c>
      <c r="C18" s="1073" t="s">
        <v>265</v>
      </c>
      <c r="D18" s="1074">
        <v>1.6476685500000001E-2</v>
      </c>
      <c r="E18" s="449" t="s">
        <v>38</v>
      </c>
      <c r="F18" s="416">
        <v>39.478138458000004</v>
      </c>
      <c r="G18" s="450">
        <v>-62.183</v>
      </c>
      <c r="H18" s="451">
        <v>-22.704861541999996</v>
      </c>
      <c r="I18" s="419"/>
      <c r="J18" s="418">
        <v>-22.704861541999996</v>
      </c>
      <c r="K18" s="420">
        <v>0</v>
      </c>
      <c r="L18" s="442">
        <v>43508</v>
      </c>
      <c r="M18" s="1075">
        <v>62.183011077000003</v>
      </c>
      <c r="N18" s="1062">
        <v>-62.183</v>
      </c>
      <c r="O18" s="1062">
        <v>1.1077000003467674E-5</v>
      </c>
      <c r="P18" s="1062">
        <v>0</v>
      </c>
      <c r="Q18" s="1062">
        <v>1.1077000003467674E-5</v>
      </c>
      <c r="R18" s="1064">
        <v>0</v>
      </c>
    </row>
    <row r="19" spans="1:18" hidden="1">
      <c r="A19" s="1091"/>
      <c r="B19" s="1072"/>
      <c r="C19" s="1073"/>
      <c r="D19" s="1074"/>
      <c r="E19" s="439" t="s">
        <v>102</v>
      </c>
      <c r="F19" s="423">
        <v>22.704872619000003</v>
      </c>
      <c r="G19" s="424"/>
      <c r="H19" s="452">
        <v>1.1077000007020388E-5</v>
      </c>
      <c r="I19" s="426"/>
      <c r="J19" s="425">
        <v>1.1077000007020388E-5</v>
      </c>
      <c r="K19" s="427">
        <v>0</v>
      </c>
      <c r="L19" s="442">
        <v>43508</v>
      </c>
      <c r="M19" s="1076"/>
      <c r="N19" s="1063"/>
      <c r="O19" s="1063"/>
      <c r="P19" s="1063"/>
      <c r="Q19" s="1063"/>
      <c r="R19" s="1065"/>
    </row>
    <row r="20" spans="1:18" hidden="1">
      <c r="A20" s="1091"/>
      <c r="B20" s="935" t="s">
        <v>410</v>
      </c>
      <c r="C20" s="935" t="s">
        <v>268</v>
      </c>
      <c r="D20" s="939">
        <v>5.951998E-3</v>
      </c>
      <c r="E20" s="422" t="s">
        <v>38</v>
      </c>
      <c r="F20" s="423">
        <v>14.260987208</v>
      </c>
      <c r="G20" s="424"/>
      <c r="H20" s="425">
        <v>14.260987208</v>
      </c>
      <c r="I20" s="428"/>
      <c r="J20" s="425">
        <v>14.260987208</v>
      </c>
      <c r="K20" s="427">
        <v>0</v>
      </c>
      <c r="L20" s="421" t="s">
        <v>32</v>
      </c>
      <c r="M20" s="1058">
        <v>22.462840452000002</v>
      </c>
      <c r="N20" s="943">
        <v>0</v>
      </c>
      <c r="O20" s="943">
        <v>22.462840452000002</v>
      </c>
      <c r="P20" s="943">
        <v>0</v>
      </c>
      <c r="Q20" s="943">
        <v>22.462840452000002</v>
      </c>
      <c r="R20" s="933">
        <v>0</v>
      </c>
    </row>
    <row r="21" spans="1:18" hidden="1">
      <c r="A21" s="1091"/>
      <c r="B21" s="935"/>
      <c r="C21" s="935"/>
      <c r="D21" s="939"/>
      <c r="E21" s="422" t="s">
        <v>102</v>
      </c>
      <c r="F21" s="423">
        <v>8.2018532440000005</v>
      </c>
      <c r="G21" s="424"/>
      <c r="H21" s="425">
        <v>22.462840452000002</v>
      </c>
      <c r="I21" s="426"/>
      <c r="J21" s="425">
        <v>22.462840452000002</v>
      </c>
      <c r="K21" s="427">
        <v>0</v>
      </c>
      <c r="L21" s="421" t="s">
        <v>32</v>
      </c>
      <c r="M21" s="1060"/>
      <c r="N21" s="958"/>
      <c r="O21" s="958"/>
      <c r="P21" s="958"/>
      <c r="Q21" s="958"/>
      <c r="R21" s="951"/>
    </row>
    <row r="22" spans="1:18" hidden="1">
      <c r="A22" s="1091"/>
      <c r="B22" s="1061" t="s">
        <v>414</v>
      </c>
      <c r="C22" s="935" t="s">
        <v>269</v>
      </c>
      <c r="D22" s="939">
        <v>1.6682712000000001E-3</v>
      </c>
      <c r="E22" s="422" t="s">
        <v>38</v>
      </c>
      <c r="F22" s="423">
        <v>3.9971777952000003</v>
      </c>
      <c r="G22" s="424"/>
      <c r="H22" s="425">
        <v>3.9971777952000003</v>
      </c>
      <c r="I22" s="428"/>
      <c r="J22" s="425">
        <v>3.9971777952000003</v>
      </c>
      <c r="K22" s="427">
        <v>0</v>
      </c>
      <c r="L22" s="421" t="s">
        <v>32</v>
      </c>
      <c r="M22" s="1058">
        <v>6.2960555088000003</v>
      </c>
      <c r="N22" s="943">
        <v>0</v>
      </c>
      <c r="O22" s="943">
        <v>6.2960555088000003</v>
      </c>
      <c r="P22" s="943">
        <v>0</v>
      </c>
      <c r="Q22" s="943">
        <v>6.2960555088000003</v>
      </c>
      <c r="R22" s="933">
        <v>0</v>
      </c>
    </row>
    <row r="23" spans="1:18" hidden="1">
      <c r="A23" s="1091"/>
      <c r="B23" s="1061"/>
      <c r="C23" s="935"/>
      <c r="D23" s="939"/>
      <c r="E23" s="422" t="s">
        <v>102</v>
      </c>
      <c r="F23" s="423">
        <v>2.2988777136</v>
      </c>
      <c r="G23" s="424"/>
      <c r="H23" s="425">
        <v>6.2960555088000003</v>
      </c>
      <c r="I23" s="426"/>
      <c r="J23" s="425">
        <v>6.2960555088000003</v>
      </c>
      <c r="K23" s="427">
        <v>0</v>
      </c>
      <c r="L23" s="421" t="s">
        <v>32</v>
      </c>
      <c r="M23" s="1060"/>
      <c r="N23" s="958"/>
      <c r="O23" s="958"/>
      <c r="P23" s="958"/>
      <c r="Q23" s="958"/>
      <c r="R23" s="951"/>
    </row>
    <row r="24" spans="1:18" hidden="1">
      <c r="A24" s="1091"/>
      <c r="B24" s="1057" t="s">
        <v>413</v>
      </c>
      <c r="C24" s="935" t="s">
        <v>267</v>
      </c>
      <c r="D24" s="939">
        <v>3.5111410000000002E-3</v>
      </c>
      <c r="E24" s="422" t="s">
        <v>38</v>
      </c>
      <c r="F24" s="423">
        <v>8.4126938360000008</v>
      </c>
      <c r="G24" s="424"/>
      <c r="H24" s="425">
        <v>8.4126938360000008</v>
      </c>
      <c r="I24" s="428">
        <v>0.54900000000000004</v>
      </c>
      <c r="J24" s="425">
        <v>7.8636938360000004</v>
      </c>
      <c r="K24" s="427">
        <v>6.5258526068153466E-2</v>
      </c>
      <c r="L24" s="421" t="s">
        <v>32</v>
      </c>
      <c r="M24" s="1058">
        <v>13.251046134000001</v>
      </c>
      <c r="N24" s="943">
        <v>0</v>
      </c>
      <c r="O24" s="943">
        <v>13.251046134000001</v>
      </c>
      <c r="P24" s="943">
        <v>0.54900000000000004</v>
      </c>
      <c r="Q24" s="943">
        <v>12.702046134000001</v>
      </c>
      <c r="R24" s="933">
        <v>4.1430691165685138E-2</v>
      </c>
    </row>
    <row r="25" spans="1:18" hidden="1">
      <c r="A25" s="1091"/>
      <c r="B25" s="1057"/>
      <c r="C25" s="935"/>
      <c r="D25" s="939"/>
      <c r="E25" s="422" t="s">
        <v>102</v>
      </c>
      <c r="F25" s="423">
        <v>4.8383522980000002</v>
      </c>
      <c r="G25" s="424"/>
      <c r="H25" s="425">
        <v>12.702046134</v>
      </c>
      <c r="I25" s="426"/>
      <c r="J25" s="425">
        <v>12.702046134</v>
      </c>
      <c r="K25" s="427">
        <v>0</v>
      </c>
      <c r="L25" s="421" t="s">
        <v>32</v>
      </c>
      <c r="M25" s="1060"/>
      <c r="N25" s="958"/>
      <c r="O25" s="958"/>
      <c r="P25" s="958"/>
      <c r="Q25" s="958"/>
      <c r="R25" s="951"/>
    </row>
    <row r="26" spans="1:18" hidden="1">
      <c r="A26" s="1091"/>
      <c r="B26" s="1061" t="s">
        <v>393</v>
      </c>
      <c r="C26" s="935" t="s">
        <v>260</v>
      </c>
      <c r="D26" s="939">
        <v>2.4172300599999998E-2</v>
      </c>
      <c r="E26" s="422" t="s">
        <v>38</v>
      </c>
      <c r="F26" s="423">
        <v>57.916832237599998</v>
      </c>
      <c r="G26" s="424"/>
      <c r="H26" s="425">
        <v>57.916832237599998</v>
      </c>
      <c r="I26" s="428">
        <v>1.5555555555555556</v>
      </c>
      <c r="J26" s="425">
        <v>56.361276682044441</v>
      </c>
      <c r="K26" s="427">
        <v>2.6858436407122391E-2</v>
      </c>
      <c r="L26" s="421" t="s">
        <v>32</v>
      </c>
      <c r="M26" s="1058">
        <v>91.226262464399994</v>
      </c>
      <c r="N26" s="943">
        <v>0</v>
      </c>
      <c r="O26" s="943">
        <v>91.226262464399994</v>
      </c>
      <c r="P26" s="943">
        <v>1.5555555555555556</v>
      </c>
      <c r="Q26" s="943">
        <v>89.670706908844437</v>
      </c>
      <c r="R26" s="933">
        <v>1.7051619934145536E-2</v>
      </c>
    </row>
    <row r="27" spans="1:18" hidden="1">
      <c r="A27" s="1091"/>
      <c r="B27" s="1061"/>
      <c r="C27" s="935"/>
      <c r="D27" s="939"/>
      <c r="E27" s="422" t="s">
        <v>102</v>
      </c>
      <c r="F27" s="423">
        <v>33.309430226799996</v>
      </c>
      <c r="G27" s="424"/>
      <c r="H27" s="425">
        <v>89.670706908844437</v>
      </c>
      <c r="I27" s="426"/>
      <c r="J27" s="425">
        <v>89.670706908844437</v>
      </c>
      <c r="K27" s="427">
        <v>0</v>
      </c>
      <c r="L27" s="421" t="s">
        <v>32</v>
      </c>
      <c r="M27" s="1060"/>
      <c r="N27" s="958"/>
      <c r="O27" s="958"/>
      <c r="P27" s="958"/>
      <c r="Q27" s="958"/>
      <c r="R27" s="951"/>
    </row>
    <row r="28" spans="1:18" hidden="1">
      <c r="A28" s="1091"/>
      <c r="B28" s="1057" t="s">
        <v>415</v>
      </c>
      <c r="C28" s="935" t="s">
        <v>263</v>
      </c>
      <c r="D28" s="939">
        <v>2.4624648E-3</v>
      </c>
      <c r="E28" s="422" t="s">
        <v>38</v>
      </c>
      <c r="F28" s="423">
        <v>5.9000656608000002</v>
      </c>
      <c r="G28" s="424"/>
      <c r="H28" s="425">
        <v>5.9000656608000002</v>
      </c>
      <c r="I28" s="428"/>
      <c r="J28" s="425">
        <v>5.9000656608000002</v>
      </c>
      <c r="K28" s="427">
        <v>0</v>
      </c>
      <c r="L28" s="421" t="s">
        <v>32</v>
      </c>
      <c r="M28" s="1058">
        <v>9.2933421551999995</v>
      </c>
      <c r="N28" s="943">
        <v>0</v>
      </c>
      <c r="O28" s="943">
        <v>9.2933421551999995</v>
      </c>
      <c r="P28" s="943">
        <v>0</v>
      </c>
      <c r="Q28" s="943">
        <v>9.2933421551999995</v>
      </c>
      <c r="R28" s="933">
        <v>0</v>
      </c>
    </row>
    <row r="29" spans="1:18" hidden="1">
      <c r="A29" s="1091"/>
      <c r="B29" s="1057"/>
      <c r="C29" s="935"/>
      <c r="D29" s="939"/>
      <c r="E29" s="422" t="s">
        <v>102</v>
      </c>
      <c r="F29" s="423">
        <v>3.3932764943999998</v>
      </c>
      <c r="G29" s="424"/>
      <c r="H29" s="425">
        <v>9.2933421551999995</v>
      </c>
      <c r="I29" s="426"/>
      <c r="J29" s="425">
        <v>9.2933421551999995</v>
      </c>
      <c r="K29" s="427">
        <v>0</v>
      </c>
      <c r="L29" s="421" t="s">
        <v>32</v>
      </c>
      <c r="M29" s="1060"/>
      <c r="N29" s="958"/>
      <c r="O29" s="958"/>
      <c r="P29" s="958"/>
      <c r="Q29" s="958"/>
      <c r="R29" s="951"/>
    </row>
    <row r="30" spans="1:18" hidden="1">
      <c r="A30" s="1091"/>
      <c r="B30" s="1057" t="s">
        <v>412</v>
      </c>
      <c r="C30" s="935" t="s">
        <v>266</v>
      </c>
      <c r="D30" s="939">
        <v>1.5012192999999999E-3</v>
      </c>
      <c r="E30" s="422" t="s">
        <v>38</v>
      </c>
      <c r="F30" s="423">
        <v>3.5969214427999998</v>
      </c>
      <c r="G30" s="424"/>
      <c r="H30" s="425">
        <v>3.5969214427999998</v>
      </c>
      <c r="I30" s="428"/>
      <c r="J30" s="425">
        <v>3.5969214427999998</v>
      </c>
      <c r="K30" s="427">
        <v>0</v>
      </c>
      <c r="L30" s="421" t="s">
        <v>32</v>
      </c>
      <c r="M30" s="1058">
        <v>5.6656016382000001</v>
      </c>
      <c r="N30" s="943">
        <v>0</v>
      </c>
      <c r="O30" s="943">
        <v>5.6656016382000001</v>
      </c>
      <c r="P30" s="943">
        <v>0</v>
      </c>
      <c r="Q30" s="943">
        <v>5.6656016382000001</v>
      </c>
      <c r="R30" s="933">
        <v>0</v>
      </c>
    </row>
    <row r="31" spans="1:18" hidden="1">
      <c r="A31" s="1091"/>
      <c r="B31" s="1057"/>
      <c r="C31" s="935"/>
      <c r="D31" s="939"/>
      <c r="E31" s="422" t="s">
        <v>102</v>
      </c>
      <c r="F31" s="423">
        <v>2.0686801953999998</v>
      </c>
      <c r="G31" s="424"/>
      <c r="H31" s="425">
        <v>5.6656016382000001</v>
      </c>
      <c r="I31" s="426"/>
      <c r="J31" s="425">
        <v>5.6656016382000001</v>
      </c>
      <c r="K31" s="427">
        <v>0</v>
      </c>
      <c r="L31" s="421" t="s">
        <v>32</v>
      </c>
      <c r="M31" s="1060"/>
      <c r="N31" s="958"/>
      <c r="O31" s="958"/>
      <c r="P31" s="958"/>
      <c r="Q31" s="958"/>
      <c r="R31" s="951"/>
    </row>
    <row r="32" spans="1:18" hidden="1">
      <c r="A32" s="1091"/>
      <c r="B32" s="1057" t="s">
        <v>270</v>
      </c>
      <c r="C32" s="935"/>
      <c r="D32" s="939">
        <v>1.2042085900000001E-2</v>
      </c>
      <c r="E32" s="422" t="s">
        <v>38</v>
      </c>
      <c r="F32" s="423">
        <v>28.852837816400001</v>
      </c>
      <c r="G32" s="424"/>
      <c r="H32" s="425">
        <v>28.852837816400001</v>
      </c>
      <c r="I32" s="428">
        <v>7.87</v>
      </c>
      <c r="J32" s="425">
        <v>20.9828378164</v>
      </c>
      <c r="K32" s="427">
        <v>0.27276346438015464</v>
      </c>
      <c r="L32" s="421" t="s">
        <v>32</v>
      </c>
      <c r="M32" s="1058">
        <v>45.446832186600005</v>
      </c>
      <c r="N32" s="943">
        <v>0</v>
      </c>
      <c r="O32" s="943">
        <v>45.446832186600005</v>
      </c>
      <c r="P32" s="943">
        <v>7.87</v>
      </c>
      <c r="Q32" s="943">
        <v>37.576832186600008</v>
      </c>
      <c r="R32" s="933">
        <v>0.17316938544113683</v>
      </c>
    </row>
    <row r="33" spans="1:18" ht="18.600000000000001" hidden="1" customHeight="1" thickBot="1">
      <c r="A33" s="1092"/>
      <c r="B33" s="1057"/>
      <c r="C33" s="935"/>
      <c r="D33" s="939"/>
      <c r="E33" s="429" t="s">
        <v>102</v>
      </c>
      <c r="F33" s="430">
        <v>16.593994370200001</v>
      </c>
      <c r="G33" s="436"/>
      <c r="H33" s="433">
        <v>37.576832186600001</v>
      </c>
      <c r="I33" s="437"/>
      <c r="J33" s="433">
        <v>37.576832186600001</v>
      </c>
      <c r="K33" s="438">
        <v>0</v>
      </c>
      <c r="L33" s="421" t="s">
        <v>32</v>
      </c>
      <c r="M33" s="1059"/>
      <c r="N33" s="1055"/>
      <c r="O33" s="1055"/>
      <c r="P33" s="1055"/>
      <c r="Q33" s="1055"/>
      <c r="R33" s="1056"/>
    </row>
    <row r="34" spans="1:18">
      <c r="A34" s="1050" t="s">
        <v>272</v>
      </c>
      <c r="B34" s="1053" t="s">
        <v>395</v>
      </c>
      <c r="C34" s="955" t="s">
        <v>273</v>
      </c>
      <c r="D34" s="1054">
        <v>5.9665625999999999E-2</v>
      </c>
      <c r="E34" s="449" t="s">
        <v>38</v>
      </c>
      <c r="F34" s="416">
        <v>142.958839896</v>
      </c>
      <c r="G34" s="453">
        <v>-207.38</v>
      </c>
      <c r="H34" s="418">
        <v>-64.421160103999995</v>
      </c>
      <c r="I34" s="449"/>
      <c r="J34" s="418">
        <v>-64.421160103999995</v>
      </c>
      <c r="K34" s="454">
        <v>0</v>
      </c>
      <c r="L34" s="455">
        <v>43508</v>
      </c>
      <c r="M34" s="1048">
        <v>225.17807252400002</v>
      </c>
      <c r="N34" s="1049">
        <v>-207.38</v>
      </c>
      <c r="O34" s="1049">
        <v>17.79807252400002</v>
      </c>
      <c r="P34" s="1049">
        <v>0</v>
      </c>
      <c r="Q34" s="1049">
        <v>17.79807252400002</v>
      </c>
      <c r="R34" s="1045">
        <v>0</v>
      </c>
    </row>
    <row r="35" spans="1:18">
      <c r="A35" s="1051"/>
      <c r="B35" s="1037"/>
      <c r="C35" s="946"/>
      <c r="D35" s="1035">
        <v>5.9070873500000003E-2</v>
      </c>
      <c r="E35" s="439" t="s">
        <v>102</v>
      </c>
      <c r="F35" s="423">
        <v>82.219232628</v>
      </c>
      <c r="G35" s="424"/>
      <c r="H35" s="425">
        <v>17.798072524000006</v>
      </c>
      <c r="I35" s="439"/>
      <c r="J35" s="425">
        <v>17.798072524000006</v>
      </c>
      <c r="K35" s="427">
        <v>0</v>
      </c>
      <c r="L35" s="455">
        <v>43508</v>
      </c>
      <c r="M35" s="1028"/>
      <c r="N35" s="1024"/>
      <c r="O35" s="1024"/>
      <c r="P35" s="1024"/>
      <c r="Q35" s="1024"/>
      <c r="R35" s="1022"/>
    </row>
    <row r="36" spans="1:18" hidden="1">
      <c r="A36" s="1051"/>
      <c r="B36" s="1025" t="s">
        <v>274</v>
      </c>
      <c r="C36" s="1046">
        <v>4312</v>
      </c>
      <c r="D36" s="1047">
        <v>2.0576755999999999E-3</v>
      </c>
      <c r="E36" s="449" t="s">
        <v>38</v>
      </c>
      <c r="F36" s="416">
        <v>4.9301907375999994</v>
      </c>
      <c r="G36" s="417"/>
      <c r="H36" s="418">
        <v>4.9301907375999994</v>
      </c>
      <c r="I36" s="449">
        <v>1.778</v>
      </c>
      <c r="J36" s="418">
        <v>3.1521907375999993</v>
      </c>
      <c r="K36" s="420">
        <v>0.36063513454765944</v>
      </c>
      <c r="L36" s="456" t="s">
        <v>32</v>
      </c>
      <c r="M36" s="1048">
        <v>7.7656677143999993</v>
      </c>
      <c r="N36" s="1049">
        <v>0</v>
      </c>
      <c r="O36" s="1049">
        <v>7.7656677143999993</v>
      </c>
      <c r="P36" s="1049">
        <v>1.778</v>
      </c>
      <c r="Q36" s="1049">
        <v>5.9876677143999988</v>
      </c>
      <c r="R36" s="1045">
        <v>0.22895648711610808</v>
      </c>
    </row>
    <row r="37" spans="1:18" hidden="1">
      <c r="A37" s="1051"/>
      <c r="B37" s="1031"/>
      <c r="C37" s="937"/>
      <c r="D37" s="1047"/>
      <c r="E37" s="439" t="s">
        <v>102</v>
      </c>
      <c r="F37" s="423">
        <v>2.8354769767999999</v>
      </c>
      <c r="G37" s="424"/>
      <c r="H37" s="425">
        <v>5.9876677143999988</v>
      </c>
      <c r="I37" s="439"/>
      <c r="J37" s="425">
        <v>5.9876677143999988</v>
      </c>
      <c r="K37" s="427">
        <v>0</v>
      </c>
      <c r="L37" s="456" t="s">
        <v>32</v>
      </c>
      <c r="M37" s="1028"/>
      <c r="N37" s="1024"/>
      <c r="O37" s="1024"/>
      <c r="P37" s="1024"/>
      <c r="Q37" s="1024"/>
      <c r="R37" s="1022"/>
    </row>
    <row r="38" spans="1:18" hidden="1">
      <c r="A38" s="1051"/>
      <c r="B38" s="1036" t="s">
        <v>396</v>
      </c>
      <c r="C38" s="946" t="s">
        <v>275</v>
      </c>
      <c r="D38" s="1034">
        <v>1.4061789599999999E-2</v>
      </c>
      <c r="E38" s="439" t="s">
        <v>38</v>
      </c>
      <c r="F38" s="416">
        <v>33.692047881599997</v>
      </c>
      <c r="G38" s="453">
        <v>-13.84</v>
      </c>
      <c r="H38" s="425">
        <v>19.852047881599997</v>
      </c>
      <c r="I38" s="457">
        <v>1.0389999999999999</v>
      </c>
      <c r="J38" s="425">
        <v>18.813047881599996</v>
      </c>
      <c r="K38" s="427">
        <v>5.2337169756829165E-2</v>
      </c>
      <c r="L38" s="456" t="s">
        <v>32</v>
      </c>
      <c r="M38" s="1028">
        <v>53.069193950399992</v>
      </c>
      <c r="N38" s="1024">
        <v>-13.84</v>
      </c>
      <c r="O38" s="1024">
        <v>39.229193950399988</v>
      </c>
      <c r="P38" s="1024">
        <v>1.0389999999999999</v>
      </c>
      <c r="Q38" s="1024">
        <v>38.190193950399987</v>
      </c>
      <c r="R38" s="1022">
        <v>2.648537722476977E-2</v>
      </c>
    </row>
    <row r="39" spans="1:18" hidden="1">
      <c r="A39" s="1051"/>
      <c r="B39" s="1037"/>
      <c r="C39" s="946"/>
      <c r="D39" s="1034">
        <v>1.4061789599999999E-2</v>
      </c>
      <c r="E39" s="439" t="s">
        <v>102</v>
      </c>
      <c r="F39" s="423">
        <v>19.377146068799998</v>
      </c>
      <c r="G39" s="424"/>
      <c r="H39" s="425">
        <v>38.190193950399994</v>
      </c>
      <c r="I39" s="439"/>
      <c r="J39" s="425">
        <v>38.190193950399994</v>
      </c>
      <c r="K39" s="427">
        <v>0</v>
      </c>
      <c r="L39" s="456" t="s">
        <v>32</v>
      </c>
      <c r="M39" s="1028"/>
      <c r="N39" s="1024"/>
      <c r="O39" s="1024"/>
      <c r="P39" s="1024"/>
      <c r="Q39" s="1024"/>
      <c r="R39" s="1022"/>
    </row>
    <row r="40" spans="1:18">
      <c r="A40" s="1051"/>
      <c r="B40" s="1036" t="s">
        <v>436</v>
      </c>
      <c r="C40" s="946" t="s">
        <v>276</v>
      </c>
      <c r="D40" s="1034">
        <v>3.7086950000000001E-3</v>
      </c>
      <c r="E40" s="439" t="s">
        <v>38</v>
      </c>
      <c r="F40" s="416">
        <v>8.8860332199999998</v>
      </c>
      <c r="G40" s="453">
        <v>-13.997</v>
      </c>
      <c r="H40" s="425">
        <v>-5.11096678</v>
      </c>
      <c r="I40" s="439"/>
      <c r="J40" s="425">
        <v>-5.11096678</v>
      </c>
      <c r="K40" s="427">
        <v>0</v>
      </c>
      <c r="L40" s="455">
        <v>43508</v>
      </c>
      <c r="M40" s="1044">
        <v>13.99661493</v>
      </c>
      <c r="N40" s="1042">
        <v>-13.997</v>
      </c>
      <c r="O40" s="1042">
        <v>-3.8507000000009839E-4</v>
      </c>
      <c r="P40" s="1042">
        <v>0</v>
      </c>
      <c r="Q40" s="1042">
        <v>-3.8507000000009839E-4</v>
      </c>
      <c r="R40" s="1043">
        <v>0</v>
      </c>
    </row>
    <row r="41" spans="1:18">
      <c r="A41" s="1051"/>
      <c r="B41" s="1037"/>
      <c r="C41" s="946"/>
      <c r="D41" s="1034">
        <v>3.7086950000000001E-3</v>
      </c>
      <c r="E41" s="439" t="s">
        <v>102</v>
      </c>
      <c r="F41" s="423">
        <v>5.1105817099999999</v>
      </c>
      <c r="G41" s="424"/>
      <c r="H41" s="425">
        <v>-3.8507000000009839E-4</v>
      </c>
      <c r="I41" s="439"/>
      <c r="J41" s="425">
        <v>-3.8507000000009839E-4</v>
      </c>
      <c r="K41" s="427">
        <v>0</v>
      </c>
      <c r="L41" s="455">
        <v>43508</v>
      </c>
      <c r="M41" s="1044"/>
      <c r="N41" s="1042"/>
      <c r="O41" s="1042"/>
      <c r="P41" s="1042"/>
      <c r="Q41" s="1042"/>
      <c r="R41" s="1043"/>
    </row>
    <row r="42" spans="1:18">
      <c r="A42" s="1051"/>
      <c r="B42" s="1041" t="s">
        <v>397</v>
      </c>
      <c r="C42" s="945" t="s">
        <v>277</v>
      </c>
      <c r="D42" s="1034">
        <v>1.09012563E-2</v>
      </c>
      <c r="E42" s="439" t="s">
        <v>38</v>
      </c>
      <c r="F42" s="416">
        <v>26.119410094799999</v>
      </c>
      <c r="G42" s="453">
        <v>-54.293999999999997</v>
      </c>
      <c r="H42" s="425">
        <v>-28.174589905199998</v>
      </c>
      <c r="I42" s="439"/>
      <c r="J42" s="425">
        <v>-28.174589905199998</v>
      </c>
      <c r="K42" s="427">
        <v>0</v>
      </c>
      <c r="L42" s="455">
        <v>43508</v>
      </c>
      <c r="M42" s="1028">
        <v>41.141341276200002</v>
      </c>
      <c r="N42" s="1024">
        <v>-54.293999999999997</v>
      </c>
      <c r="O42" s="1024">
        <v>-13.152658723799995</v>
      </c>
      <c r="P42" s="1024">
        <v>0</v>
      </c>
      <c r="Q42" s="1024">
        <v>-13.152658723799995</v>
      </c>
      <c r="R42" s="1022">
        <v>0</v>
      </c>
    </row>
    <row r="43" spans="1:18">
      <c r="A43" s="1051"/>
      <c r="B43" s="1037"/>
      <c r="C43" s="945"/>
      <c r="D43" s="1034">
        <v>1.14960093E-2</v>
      </c>
      <c r="E43" s="439" t="s">
        <v>102</v>
      </c>
      <c r="F43" s="423">
        <v>15.021931181400001</v>
      </c>
      <c r="G43" s="424"/>
      <c r="H43" s="425">
        <v>-13.152658723799997</v>
      </c>
      <c r="I43" s="439"/>
      <c r="J43" s="425">
        <v>-13.152658723799997</v>
      </c>
      <c r="K43" s="427">
        <v>0</v>
      </c>
      <c r="L43" s="455">
        <v>43508</v>
      </c>
      <c r="M43" s="1028"/>
      <c r="N43" s="1024"/>
      <c r="O43" s="1024"/>
      <c r="P43" s="1024"/>
      <c r="Q43" s="1024"/>
      <c r="R43" s="1022"/>
    </row>
    <row r="44" spans="1:18" hidden="1">
      <c r="A44" s="1051"/>
      <c r="B44" s="973" t="s">
        <v>398</v>
      </c>
      <c r="C44" s="937" t="s">
        <v>278</v>
      </c>
      <c r="D44" s="1035">
        <v>1.9725258700000001E-2</v>
      </c>
      <c r="E44" s="439" t="s">
        <v>279</v>
      </c>
      <c r="F44" s="416">
        <v>47.261719845200005</v>
      </c>
      <c r="G44" s="417"/>
      <c r="H44" s="425">
        <v>47.261719845200005</v>
      </c>
      <c r="I44" s="439"/>
      <c r="J44" s="425">
        <v>47.261719845200005</v>
      </c>
      <c r="K44" s="427">
        <v>0</v>
      </c>
      <c r="L44" s="456" t="s">
        <v>32</v>
      </c>
      <c r="M44" s="1028">
        <v>74.443126333800009</v>
      </c>
      <c r="N44" s="1024">
        <v>0</v>
      </c>
      <c r="O44" s="1024">
        <v>74.443126333800009</v>
      </c>
      <c r="P44" s="1024">
        <v>0</v>
      </c>
      <c r="Q44" s="1024">
        <v>74.443126333800009</v>
      </c>
      <c r="R44" s="1022">
        <v>0</v>
      </c>
    </row>
    <row r="45" spans="1:18" hidden="1">
      <c r="A45" s="1051"/>
      <c r="B45" s="1031"/>
      <c r="C45" s="937"/>
      <c r="D45" s="1035">
        <v>1.9725258700000001E-2</v>
      </c>
      <c r="E45" s="439" t="s">
        <v>280</v>
      </c>
      <c r="F45" s="423">
        <v>27.1814064886</v>
      </c>
      <c r="G45" s="424"/>
      <c r="H45" s="425">
        <v>74.443126333800009</v>
      </c>
      <c r="I45" s="439"/>
      <c r="J45" s="425">
        <v>74.443126333800009</v>
      </c>
      <c r="K45" s="427">
        <v>0</v>
      </c>
      <c r="L45" s="456" t="s">
        <v>32</v>
      </c>
      <c r="M45" s="1028"/>
      <c r="N45" s="1024"/>
      <c r="O45" s="1024"/>
      <c r="P45" s="1024"/>
      <c r="Q45" s="1024"/>
      <c r="R45" s="1022"/>
    </row>
    <row r="46" spans="1:18" hidden="1">
      <c r="A46" s="1051"/>
      <c r="B46" s="1036" t="s">
        <v>281</v>
      </c>
      <c r="C46" s="946" t="s">
        <v>282</v>
      </c>
      <c r="D46" s="1034">
        <v>6.0805267E-3</v>
      </c>
      <c r="E46" s="439" t="s">
        <v>38</v>
      </c>
      <c r="F46" s="416">
        <v>14.568941973199999</v>
      </c>
      <c r="G46" s="453">
        <v>-22.302</v>
      </c>
      <c r="H46" s="425">
        <v>-7.7330580268000002</v>
      </c>
      <c r="I46" s="439"/>
      <c r="J46" s="425">
        <v>-7.7330580268000002</v>
      </c>
      <c r="K46" s="427">
        <v>0</v>
      </c>
      <c r="L46" s="456" t="s">
        <v>32</v>
      </c>
      <c r="M46" s="1028">
        <v>22.9479077658</v>
      </c>
      <c r="N46" s="1024">
        <v>-22.302</v>
      </c>
      <c r="O46" s="1024">
        <v>0.64590776580000053</v>
      </c>
      <c r="P46" s="1024">
        <v>0</v>
      </c>
      <c r="Q46" s="1024">
        <v>0.64590776580000053</v>
      </c>
      <c r="R46" s="1022">
        <v>0</v>
      </c>
    </row>
    <row r="47" spans="1:18" hidden="1">
      <c r="A47" s="1051"/>
      <c r="B47" s="1037"/>
      <c r="C47" s="946"/>
      <c r="D47" s="1034">
        <v>6.0805267E-3</v>
      </c>
      <c r="E47" s="439" t="s">
        <v>102</v>
      </c>
      <c r="F47" s="423">
        <v>8.3789657926000007</v>
      </c>
      <c r="G47" s="424"/>
      <c r="H47" s="425">
        <v>0.64590776580000053</v>
      </c>
      <c r="I47" s="439"/>
      <c r="J47" s="425">
        <v>0.64590776580000053</v>
      </c>
      <c r="K47" s="427">
        <v>0</v>
      </c>
      <c r="L47" s="456" t="s">
        <v>32</v>
      </c>
      <c r="M47" s="1028"/>
      <c r="N47" s="1024"/>
      <c r="O47" s="1024"/>
      <c r="P47" s="1024"/>
      <c r="Q47" s="1024"/>
      <c r="R47" s="1022"/>
    </row>
    <row r="48" spans="1:18" hidden="1">
      <c r="A48" s="1051"/>
      <c r="B48" s="1036" t="s">
        <v>283</v>
      </c>
      <c r="C48" s="946" t="s">
        <v>284</v>
      </c>
      <c r="D48" s="1034">
        <v>1.3716607E-2</v>
      </c>
      <c r="E48" s="439" t="s">
        <v>38</v>
      </c>
      <c r="F48" s="416">
        <v>32.864990372000001</v>
      </c>
      <c r="G48" s="453">
        <v>-67.206999999999994</v>
      </c>
      <c r="H48" s="425">
        <v>-34.342009627999992</v>
      </c>
      <c r="I48" s="439"/>
      <c r="J48" s="425">
        <v>-34.342009627999992</v>
      </c>
      <c r="K48" s="427">
        <v>0</v>
      </c>
      <c r="L48" s="458" t="s">
        <v>32</v>
      </c>
      <c r="M48" s="1028">
        <v>51.766474818000006</v>
      </c>
      <c r="N48" s="1024">
        <v>-67.206999999999994</v>
      </c>
      <c r="O48" s="1024">
        <v>-15.440525181999988</v>
      </c>
      <c r="P48" s="1024">
        <v>0</v>
      </c>
      <c r="Q48" s="1024">
        <v>-15.440525181999988</v>
      </c>
      <c r="R48" s="1022">
        <v>0</v>
      </c>
    </row>
    <row r="49" spans="1:18" hidden="1">
      <c r="A49" s="1051"/>
      <c r="B49" s="1037"/>
      <c r="C49" s="946"/>
      <c r="D49" s="1034">
        <v>1.6815305400000001E-2</v>
      </c>
      <c r="E49" s="439" t="s">
        <v>102</v>
      </c>
      <c r="F49" s="423">
        <v>18.901484446000001</v>
      </c>
      <c r="G49" s="424"/>
      <c r="H49" s="425">
        <v>-15.440525181999991</v>
      </c>
      <c r="I49" s="439"/>
      <c r="J49" s="425">
        <v>-15.440525181999991</v>
      </c>
      <c r="K49" s="427">
        <v>0</v>
      </c>
      <c r="L49" s="458" t="s">
        <v>32</v>
      </c>
      <c r="M49" s="1028"/>
      <c r="N49" s="1024"/>
      <c r="O49" s="1024"/>
      <c r="P49" s="1024"/>
      <c r="Q49" s="1024"/>
      <c r="R49" s="1022"/>
    </row>
    <row r="50" spans="1:18">
      <c r="A50" s="1051"/>
      <c r="B50" s="1041" t="s">
        <v>399</v>
      </c>
      <c r="C50" s="945" t="s">
        <v>285</v>
      </c>
      <c r="D50" s="1034">
        <v>1.7517082E-2</v>
      </c>
      <c r="E50" s="439" t="s">
        <v>38</v>
      </c>
      <c r="F50" s="416">
        <v>41.970928471999997</v>
      </c>
      <c r="G50" s="453">
        <v>-66.11</v>
      </c>
      <c r="H50" s="425">
        <v>-24.139071528000002</v>
      </c>
      <c r="I50" s="439"/>
      <c r="J50" s="425">
        <v>-24.139071528000002</v>
      </c>
      <c r="K50" s="427">
        <v>0</v>
      </c>
      <c r="L50" s="455">
        <v>43508</v>
      </c>
      <c r="M50" s="1028">
        <v>66.109467467999991</v>
      </c>
      <c r="N50" s="1024">
        <v>-66.11</v>
      </c>
      <c r="O50" s="1024">
        <v>-5.3253200000824563E-4</v>
      </c>
      <c r="P50" s="1024">
        <v>0</v>
      </c>
      <c r="Q50" s="1024">
        <v>-5.3253200000824563E-4</v>
      </c>
      <c r="R50" s="1022">
        <v>0</v>
      </c>
    </row>
    <row r="51" spans="1:18">
      <c r="A51" s="1051"/>
      <c r="B51" s="1037"/>
      <c r="C51" s="945"/>
      <c r="D51" s="1034">
        <v>1.7517082E-2</v>
      </c>
      <c r="E51" s="439" t="s">
        <v>102</v>
      </c>
      <c r="F51" s="423">
        <v>24.138538996000001</v>
      </c>
      <c r="G51" s="424"/>
      <c r="H51" s="425">
        <v>-5.325320000011402E-4</v>
      </c>
      <c r="I51" s="439"/>
      <c r="J51" s="425">
        <v>-5.325320000011402E-4</v>
      </c>
      <c r="K51" s="427">
        <v>0</v>
      </c>
      <c r="L51" s="455">
        <v>43508</v>
      </c>
      <c r="M51" s="1028"/>
      <c r="N51" s="1024"/>
      <c r="O51" s="1024"/>
      <c r="P51" s="1024"/>
      <c r="Q51" s="1024"/>
      <c r="R51" s="1022"/>
    </row>
    <row r="52" spans="1:18" hidden="1">
      <c r="A52" s="1051"/>
      <c r="B52" s="973" t="s">
        <v>400</v>
      </c>
      <c r="C52" s="937" t="s">
        <v>286</v>
      </c>
      <c r="D52" s="1035">
        <v>2.3606734099999999E-2</v>
      </c>
      <c r="E52" s="439" t="s">
        <v>38</v>
      </c>
      <c r="F52" s="416">
        <v>56.561734903599998</v>
      </c>
      <c r="G52" s="417"/>
      <c r="H52" s="425">
        <v>56.561734903599998</v>
      </c>
      <c r="I52" s="439">
        <v>5.94</v>
      </c>
      <c r="J52" s="425">
        <v>50.6217349036</v>
      </c>
      <c r="K52" s="427">
        <v>0.10501799511849726</v>
      </c>
      <c r="L52" s="456" t="s">
        <v>32</v>
      </c>
      <c r="M52" s="1028">
        <v>89.091814493399994</v>
      </c>
      <c r="N52" s="1024">
        <v>0</v>
      </c>
      <c r="O52" s="1024">
        <v>89.091814493399994</v>
      </c>
      <c r="P52" s="1024">
        <v>5.94</v>
      </c>
      <c r="Q52" s="1024">
        <v>83.151814493399996</v>
      </c>
      <c r="R52" s="1022">
        <v>6.6672791813439172E-2</v>
      </c>
    </row>
    <row r="53" spans="1:18" hidden="1">
      <c r="A53" s="1051"/>
      <c r="B53" s="1031"/>
      <c r="C53" s="937"/>
      <c r="D53" s="1035">
        <v>2.3606734099999999E-2</v>
      </c>
      <c r="E53" s="439" t="s">
        <v>102</v>
      </c>
      <c r="F53" s="423">
        <v>32.530079589799996</v>
      </c>
      <c r="G53" s="424"/>
      <c r="H53" s="425">
        <v>83.151814493399996</v>
      </c>
      <c r="I53" s="439"/>
      <c r="J53" s="425">
        <v>83.151814493399996</v>
      </c>
      <c r="K53" s="427">
        <v>0</v>
      </c>
      <c r="L53" s="456" t="s">
        <v>32</v>
      </c>
      <c r="M53" s="1028"/>
      <c r="N53" s="1024"/>
      <c r="O53" s="1024"/>
      <c r="P53" s="1024"/>
      <c r="Q53" s="1024"/>
      <c r="R53" s="1022"/>
    </row>
    <row r="54" spans="1:18" hidden="1">
      <c r="A54" s="1051"/>
      <c r="B54" s="1038" t="s">
        <v>401</v>
      </c>
      <c r="C54" s="992" t="s">
        <v>287</v>
      </c>
      <c r="D54" s="1040">
        <v>2.93809311E-2</v>
      </c>
      <c r="E54" s="439" t="s">
        <v>38</v>
      </c>
      <c r="F54" s="416">
        <v>70.396710915599996</v>
      </c>
      <c r="G54" s="459">
        <v>-97.352000000000004</v>
      </c>
      <c r="H54" s="425">
        <v>-26.955289084400007</v>
      </c>
      <c r="I54" s="439">
        <v>1.2</v>
      </c>
      <c r="J54" s="425">
        <v>-28.155289084400007</v>
      </c>
      <c r="K54" s="427">
        <v>-4.4518164737267947E-2</v>
      </c>
      <c r="L54" s="456" t="s">
        <v>32</v>
      </c>
      <c r="M54" s="1028">
        <v>110.8836339714</v>
      </c>
      <c r="N54" s="1024">
        <v>-97.352000000000004</v>
      </c>
      <c r="O54" s="1024">
        <v>13.531633971399998</v>
      </c>
      <c r="P54" s="1024">
        <v>1.2</v>
      </c>
      <c r="Q54" s="1024">
        <v>12.331633971399999</v>
      </c>
      <c r="R54" s="1022">
        <v>8.8681086300167383E-2</v>
      </c>
    </row>
    <row r="55" spans="1:18" hidden="1">
      <c r="A55" s="1051"/>
      <c r="B55" s="1039"/>
      <c r="C55" s="992"/>
      <c r="D55" s="1040">
        <v>2.93809311E-2</v>
      </c>
      <c r="E55" s="439" t="s">
        <v>102</v>
      </c>
      <c r="F55" s="423">
        <v>40.486923055799998</v>
      </c>
      <c r="G55" s="424"/>
      <c r="H55" s="425">
        <v>12.331633971399992</v>
      </c>
      <c r="I55" s="439"/>
      <c r="J55" s="425">
        <v>12.331633971399992</v>
      </c>
      <c r="K55" s="427">
        <v>0</v>
      </c>
      <c r="L55" s="456" t="s">
        <v>32</v>
      </c>
      <c r="M55" s="1028"/>
      <c r="N55" s="1024"/>
      <c r="O55" s="1024"/>
      <c r="P55" s="1024"/>
      <c r="Q55" s="1024"/>
      <c r="R55" s="1022"/>
    </row>
    <row r="56" spans="1:18" hidden="1">
      <c r="A56" s="1051"/>
      <c r="B56" s="1036" t="s">
        <v>437</v>
      </c>
      <c r="C56" s="946" t="s">
        <v>288</v>
      </c>
      <c r="D56" s="1034">
        <v>2.02514905E-2</v>
      </c>
      <c r="E56" s="439" t="s">
        <v>38</v>
      </c>
      <c r="F56" s="416">
        <v>48.522571237999998</v>
      </c>
      <c r="G56" s="453">
        <v>-49.030999999999999</v>
      </c>
      <c r="H56" s="425">
        <v>-0.5084287620000012</v>
      </c>
      <c r="I56" s="439">
        <v>1.778</v>
      </c>
      <c r="J56" s="425">
        <v>-2.2864287620000012</v>
      </c>
      <c r="K56" s="427">
        <v>-3.4970484222920413</v>
      </c>
      <c r="L56" s="456" t="s">
        <v>32</v>
      </c>
      <c r="M56" s="1028">
        <v>76.429125146999993</v>
      </c>
      <c r="N56" s="1024">
        <v>-49.030999999999999</v>
      </c>
      <c r="O56" s="1024">
        <v>27.398125146999995</v>
      </c>
      <c r="P56" s="1024">
        <v>1.778</v>
      </c>
      <c r="Q56" s="1024">
        <v>25.620125146999996</v>
      </c>
      <c r="R56" s="1022">
        <v>6.4894951404902437E-2</v>
      </c>
    </row>
    <row r="57" spans="1:18" hidden="1">
      <c r="A57" s="1051"/>
      <c r="B57" s="1037"/>
      <c r="C57" s="946"/>
      <c r="D57" s="1034">
        <v>2.02514905E-2</v>
      </c>
      <c r="E57" s="439" t="s">
        <v>102</v>
      </c>
      <c r="F57" s="423">
        <v>27.906553908999999</v>
      </c>
      <c r="G57" s="424"/>
      <c r="H57" s="425">
        <v>25.620125147</v>
      </c>
      <c r="I57" s="439"/>
      <c r="J57" s="425">
        <v>25.620125147</v>
      </c>
      <c r="K57" s="427">
        <v>0</v>
      </c>
      <c r="L57" s="456" t="s">
        <v>32</v>
      </c>
      <c r="M57" s="1028"/>
      <c r="N57" s="1024"/>
      <c r="O57" s="1024"/>
      <c r="P57" s="1024"/>
      <c r="Q57" s="1024"/>
      <c r="R57" s="1022"/>
    </row>
    <row r="58" spans="1:18" hidden="1">
      <c r="A58" s="1051"/>
      <c r="B58" s="1036" t="s">
        <v>402</v>
      </c>
      <c r="C58" s="946" t="s">
        <v>289</v>
      </c>
      <c r="D58" s="1034">
        <v>7.8781179999999999E-3</v>
      </c>
      <c r="E58" s="439" t="s">
        <v>38</v>
      </c>
      <c r="F58" s="416">
        <v>18.875970727999999</v>
      </c>
      <c r="G58" s="453">
        <v>-24.238</v>
      </c>
      <c r="H58" s="425">
        <v>-5.3620292720000009</v>
      </c>
      <c r="I58" s="439"/>
      <c r="J58" s="425">
        <v>-5.3620292720000009</v>
      </c>
      <c r="K58" s="427">
        <v>0</v>
      </c>
      <c r="L58" s="456" t="s">
        <v>32</v>
      </c>
      <c r="M58" s="1028">
        <v>29.732017331999998</v>
      </c>
      <c r="N58" s="1024">
        <v>-24.238</v>
      </c>
      <c r="O58" s="1024">
        <v>5.4940173319999985</v>
      </c>
      <c r="P58" s="1024">
        <v>0</v>
      </c>
      <c r="Q58" s="1024">
        <v>5.4940173319999985</v>
      </c>
      <c r="R58" s="1022">
        <v>0</v>
      </c>
    </row>
    <row r="59" spans="1:18" hidden="1">
      <c r="A59" s="1051"/>
      <c r="B59" s="1037"/>
      <c r="C59" s="946"/>
      <c r="D59" s="1034">
        <v>6.5118729999999996E-3</v>
      </c>
      <c r="E59" s="439" t="s">
        <v>102</v>
      </c>
      <c r="F59" s="423">
        <v>10.856046603999999</v>
      </c>
      <c r="G59" s="424"/>
      <c r="H59" s="425">
        <v>5.4940173319999985</v>
      </c>
      <c r="I59" s="439"/>
      <c r="J59" s="425">
        <v>5.4940173319999985</v>
      </c>
      <c r="K59" s="427">
        <v>0</v>
      </c>
      <c r="L59" s="456" t="s">
        <v>32</v>
      </c>
      <c r="M59" s="1028"/>
      <c r="N59" s="1024"/>
      <c r="O59" s="1024"/>
      <c r="P59" s="1024"/>
      <c r="Q59" s="1024"/>
      <c r="R59" s="1022"/>
    </row>
    <row r="60" spans="1:18" hidden="1">
      <c r="A60" s="1051"/>
      <c r="B60" s="973" t="s">
        <v>403</v>
      </c>
      <c r="C60" s="937" t="s">
        <v>290</v>
      </c>
      <c r="D60" s="1035">
        <v>3.7391969000000001E-3</v>
      </c>
      <c r="E60" s="439" t="s">
        <v>38</v>
      </c>
      <c r="F60" s="416">
        <v>8.9591157724000006</v>
      </c>
      <c r="G60" s="417"/>
      <c r="H60" s="425">
        <v>8.9591157724000006</v>
      </c>
      <c r="I60" s="439">
        <v>7.2999999999999995E-2</v>
      </c>
      <c r="J60" s="425">
        <v>8.8861157724000002</v>
      </c>
      <c r="K60" s="427">
        <v>8.1481255354337815E-3</v>
      </c>
      <c r="L60" s="456" t="s">
        <v>32</v>
      </c>
      <c r="M60" s="1028">
        <v>14.111729100600002</v>
      </c>
      <c r="N60" s="1024">
        <v>0</v>
      </c>
      <c r="O60" s="1024">
        <v>14.111729100600002</v>
      </c>
      <c r="P60" s="1024">
        <v>7.2999999999999995E-2</v>
      </c>
      <c r="Q60" s="1024">
        <v>14.038729100600001</v>
      </c>
      <c r="R60" s="1022">
        <v>5.1730017972706254E-3</v>
      </c>
    </row>
    <row r="61" spans="1:18" hidden="1">
      <c r="A61" s="1051"/>
      <c r="B61" s="1031"/>
      <c r="C61" s="937"/>
      <c r="D61" s="1035">
        <v>3.7391969000000001E-3</v>
      </c>
      <c r="E61" s="439" t="s">
        <v>102</v>
      </c>
      <c r="F61" s="423">
        <v>5.1526133282000002</v>
      </c>
      <c r="G61" s="424"/>
      <c r="H61" s="425">
        <v>14.038729100600001</v>
      </c>
      <c r="I61" s="439"/>
      <c r="J61" s="425">
        <v>14.038729100600001</v>
      </c>
      <c r="K61" s="427">
        <v>0</v>
      </c>
      <c r="L61" s="456" t="s">
        <v>32</v>
      </c>
      <c r="M61" s="1028"/>
      <c r="N61" s="1024"/>
      <c r="O61" s="1024"/>
      <c r="P61" s="1024"/>
      <c r="Q61" s="1024"/>
      <c r="R61" s="1022"/>
    </row>
    <row r="62" spans="1:18">
      <c r="A62" s="1051"/>
      <c r="B62" s="1032" t="s">
        <v>404</v>
      </c>
      <c r="C62" s="945" t="s">
        <v>291</v>
      </c>
      <c r="D62" s="1034">
        <v>1.1437660000000001E-3</v>
      </c>
      <c r="E62" s="439" t="s">
        <v>38</v>
      </c>
      <c r="F62" s="416">
        <v>2.7404633359999999</v>
      </c>
      <c r="G62" s="453">
        <v>-4.3159999999999998</v>
      </c>
      <c r="H62" s="425">
        <v>-1.5755366639999999</v>
      </c>
      <c r="I62" s="439"/>
      <c r="J62" s="425">
        <v>-1.5755366639999999</v>
      </c>
      <c r="K62" s="427">
        <v>0</v>
      </c>
      <c r="L62" s="455">
        <v>43508</v>
      </c>
      <c r="M62" s="1028">
        <v>4.3165728840000002</v>
      </c>
      <c r="N62" s="1024">
        <v>-4.3159999999999998</v>
      </c>
      <c r="O62" s="1024">
        <v>5.728840000003288E-4</v>
      </c>
      <c r="P62" s="1024">
        <v>0</v>
      </c>
      <c r="Q62" s="1024">
        <v>5.728840000003288E-4</v>
      </c>
      <c r="R62" s="1022">
        <v>0</v>
      </c>
    </row>
    <row r="63" spans="1:18">
      <c r="A63" s="1051"/>
      <c r="B63" s="1033"/>
      <c r="C63" s="945"/>
      <c r="D63" s="1034">
        <v>1.1437660000000001E-3</v>
      </c>
      <c r="E63" s="439" t="s">
        <v>102</v>
      </c>
      <c r="F63" s="423">
        <v>1.576109548</v>
      </c>
      <c r="G63" s="424"/>
      <c r="H63" s="425">
        <v>5.7288400000010675E-4</v>
      </c>
      <c r="I63" s="439"/>
      <c r="J63" s="425">
        <v>5.7288400000010675E-4</v>
      </c>
      <c r="K63" s="427">
        <v>0</v>
      </c>
      <c r="L63" s="455">
        <v>43508</v>
      </c>
      <c r="M63" s="1028"/>
      <c r="N63" s="1024"/>
      <c r="O63" s="1024"/>
      <c r="P63" s="1024"/>
      <c r="Q63" s="1024"/>
      <c r="R63" s="1022"/>
    </row>
    <row r="64" spans="1:18" hidden="1">
      <c r="A64" s="1051"/>
      <c r="B64" s="973" t="s">
        <v>405</v>
      </c>
      <c r="C64" s="935" t="s">
        <v>292</v>
      </c>
      <c r="D64" s="1026">
        <v>3.0986989999999999E-3</v>
      </c>
      <c r="E64" s="439" t="s">
        <v>38</v>
      </c>
      <c r="F64" s="416">
        <v>7.4244828040000002</v>
      </c>
      <c r="G64" s="417"/>
      <c r="H64" s="425">
        <v>7.4244828040000002</v>
      </c>
      <c r="I64" s="439">
        <v>0.55200000000000005</v>
      </c>
      <c r="J64" s="425">
        <v>6.8724828040000006</v>
      </c>
      <c r="K64" s="427">
        <v>7.4348613172436143E-2</v>
      </c>
      <c r="L64" s="456" t="s">
        <v>32</v>
      </c>
      <c r="M64" s="1028">
        <v>11.694490026</v>
      </c>
      <c r="N64" s="1024">
        <v>0</v>
      </c>
      <c r="O64" s="1024">
        <v>11.694490026</v>
      </c>
      <c r="P64" s="1024">
        <v>0.55200000000000005</v>
      </c>
      <c r="Q64" s="1024">
        <v>11.142490026000001</v>
      </c>
      <c r="R64" s="1022">
        <v>4.7201716258918121E-2</v>
      </c>
    </row>
    <row r="65" spans="1:18" hidden="1">
      <c r="A65" s="1051"/>
      <c r="B65" s="1031"/>
      <c r="C65" s="935"/>
      <c r="D65" s="1026"/>
      <c r="E65" s="439" t="s">
        <v>102</v>
      </c>
      <c r="F65" s="423">
        <v>4.2700072220000003</v>
      </c>
      <c r="G65" s="424"/>
      <c r="H65" s="425">
        <v>11.142490026000001</v>
      </c>
      <c r="I65" s="439"/>
      <c r="J65" s="425">
        <v>11.142490026000001</v>
      </c>
      <c r="K65" s="427">
        <v>0</v>
      </c>
      <c r="L65" s="456" t="s">
        <v>32</v>
      </c>
      <c r="M65" s="1028"/>
      <c r="N65" s="1024"/>
      <c r="O65" s="1024"/>
      <c r="P65" s="1024"/>
      <c r="Q65" s="1024"/>
      <c r="R65" s="1022"/>
    </row>
    <row r="66" spans="1:18" hidden="1">
      <c r="A66" s="1051"/>
      <c r="B66" s="973" t="s">
        <v>293</v>
      </c>
      <c r="C66" s="937"/>
      <c r="D66" s="1026">
        <v>2.1869110000000001E-3</v>
      </c>
      <c r="E66" s="439" t="s">
        <v>38</v>
      </c>
      <c r="F66" s="416">
        <v>5.2398387560000002</v>
      </c>
      <c r="G66" s="417"/>
      <c r="H66" s="425">
        <v>5.2398387560000002</v>
      </c>
      <c r="I66" s="439"/>
      <c r="J66" s="425">
        <v>5.2398387560000002</v>
      </c>
      <c r="K66" s="427">
        <v>0</v>
      </c>
      <c r="L66" s="456" t="s">
        <v>32</v>
      </c>
      <c r="M66" s="1028">
        <v>8.253402114</v>
      </c>
      <c r="N66" s="1024">
        <v>0</v>
      </c>
      <c r="O66" s="1024">
        <v>8.253402114</v>
      </c>
      <c r="P66" s="1024">
        <v>0</v>
      </c>
      <c r="Q66" s="1024">
        <v>8.253402114</v>
      </c>
      <c r="R66" s="1022">
        <v>0</v>
      </c>
    </row>
    <row r="67" spans="1:18" hidden="1">
      <c r="A67" s="1052"/>
      <c r="B67" s="1025"/>
      <c r="C67" s="974"/>
      <c r="D67" s="1027">
        <v>3.5531563000000001E-3</v>
      </c>
      <c r="E67" s="440" t="s">
        <v>102</v>
      </c>
      <c r="F67" s="430">
        <v>3.0135633580000003</v>
      </c>
      <c r="G67" s="436"/>
      <c r="H67" s="433">
        <v>8.253402114</v>
      </c>
      <c r="I67" s="440"/>
      <c r="J67" s="433">
        <v>8.253402114</v>
      </c>
      <c r="K67" s="438">
        <v>0</v>
      </c>
      <c r="L67" s="460" t="s">
        <v>32</v>
      </c>
      <c r="M67" s="1029"/>
      <c r="N67" s="1030"/>
      <c r="O67" s="1030"/>
      <c r="P67" s="1030"/>
      <c r="Q67" s="1030"/>
      <c r="R67" s="1023"/>
    </row>
    <row r="68" spans="1:18" hidden="1">
      <c r="A68" s="1015" t="s">
        <v>295</v>
      </c>
      <c r="B68" s="1018" t="s">
        <v>406</v>
      </c>
      <c r="C68" s="1020" t="s">
        <v>296</v>
      </c>
      <c r="D68" s="1021">
        <v>1.03097412E-2</v>
      </c>
      <c r="E68" s="449" t="s">
        <v>38</v>
      </c>
      <c r="F68" s="416">
        <v>24.7021399152</v>
      </c>
      <c r="G68" s="441">
        <v>-40.853999999999999</v>
      </c>
      <c r="H68" s="418">
        <v>-16.151860084799999</v>
      </c>
      <c r="I68" s="449"/>
      <c r="J68" s="461">
        <v>-16.151860084799999</v>
      </c>
      <c r="K68" s="420">
        <v>0</v>
      </c>
      <c r="L68" s="442">
        <v>43508</v>
      </c>
      <c r="M68" s="998">
        <v>38.908963288800003</v>
      </c>
      <c r="N68" s="999">
        <v>-40.853999999999999</v>
      </c>
      <c r="O68" s="995">
        <v>-1.9450367111999967</v>
      </c>
      <c r="P68" s="997">
        <v>0</v>
      </c>
      <c r="Q68" s="995">
        <v>-1.9450367111999967</v>
      </c>
      <c r="R68" s="996">
        <v>0</v>
      </c>
    </row>
    <row r="69" spans="1:18" hidden="1">
      <c r="A69" s="1016"/>
      <c r="B69" s="1019"/>
      <c r="C69" s="992"/>
      <c r="D69" s="993"/>
      <c r="E69" s="439" t="s">
        <v>102</v>
      </c>
      <c r="F69" s="423">
        <v>14.206823373600001</v>
      </c>
      <c r="G69" s="424"/>
      <c r="H69" s="425">
        <v>-1.9450367111999984</v>
      </c>
      <c r="I69" s="439"/>
      <c r="J69" s="462">
        <v>-1.9450367111999984</v>
      </c>
      <c r="K69" s="427">
        <v>0</v>
      </c>
      <c r="L69" s="442">
        <v>43508</v>
      </c>
      <c r="M69" s="998"/>
      <c r="N69" s="999"/>
      <c r="O69" s="995"/>
      <c r="P69" s="997"/>
      <c r="Q69" s="995"/>
      <c r="R69" s="996"/>
    </row>
    <row r="70" spans="1:18" hidden="1">
      <c r="A70" s="1016"/>
      <c r="B70" s="1012" t="s">
        <v>407</v>
      </c>
      <c r="C70" s="937" t="s">
        <v>297</v>
      </c>
      <c r="D70" s="975">
        <v>4.0591379999999999E-4</v>
      </c>
      <c r="E70" s="439" t="s">
        <v>38</v>
      </c>
      <c r="F70" s="423">
        <v>0.97256946479999995</v>
      </c>
      <c r="G70" s="424"/>
      <c r="H70" s="425">
        <v>0.97256946479999995</v>
      </c>
      <c r="I70" s="439"/>
      <c r="J70" s="462">
        <v>0.97256946479999995</v>
      </c>
      <c r="K70" s="427">
        <v>0</v>
      </c>
      <c r="L70" s="456" t="s">
        <v>32</v>
      </c>
      <c r="M70" s="977">
        <v>1.5319186812000001</v>
      </c>
      <c r="N70" s="979">
        <v>0</v>
      </c>
      <c r="O70" s="968">
        <v>1.5319186812000001</v>
      </c>
      <c r="P70" s="966">
        <v>0</v>
      </c>
      <c r="Q70" s="968">
        <v>1.5319186812000001</v>
      </c>
      <c r="R70" s="970">
        <v>0</v>
      </c>
    </row>
    <row r="71" spans="1:18" hidden="1">
      <c r="A71" s="1016"/>
      <c r="B71" s="1012"/>
      <c r="C71" s="937"/>
      <c r="D71" s="975">
        <v>4.0591379999999999E-4</v>
      </c>
      <c r="E71" s="439" t="s">
        <v>102</v>
      </c>
      <c r="F71" s="423">
        <v>0.55934921640000002</v>
      </c>
      <c r="G71" s="424"/>
      <c r="H71" s="425">
        <v>1.5319186812000001</v>
      </c>
      <c r="I71" s="439"/>
      <c r="J71" s="462">
        <v>1.5319186812000001</v>
      </c>
      <c r="K71" s="427">
        <v>0</v>
      </c>
      <c r="L71" s="456" t="s">
        <v>32</v>
      </c>
      <c r="M71" s="977"/>
      <c r="N71" s="979"/>
      <c r="O71" s="968"/>
      <c r="P71" s="966"/>
      <c r="Q71" s="968"/>
      <c r="R71" s="970"/>
    </row>
    <row r="72" spans="1:18" hidden="1">
      <c r="A72" s="1016"/>
      <c r="B72" s="1012" t="s">
        <v>298</v>
      </c>
      <c r="C72" s="937" t="s">
        <v>299</v>
      </c>
      <c r="D72" s="975">
        <v>6.4659199999999998E-4</v>
      </c>
      <c r="E72" s="439" t="s">
        <v>38</v>
      </c>
      <c r="F72" s="423">
        <v>1.549234432</v>
      </c>
      <c r="G72" s="424"/>
      <c r="H72" s="425">
        <v>1.549234432</v>
      </c>
      <c r="I72" s="439">
        <v>2.3530000000000002</v>
      </c>
      <c r="J72" s="462">
        <v>-0.80376556800000021</v>
      </c>
      <c r="K72" s="427">
        <v>1.5188146812373455</v>
      </c>
      <c r="L72" s="456" t="s">
        <v>32</v>
      </c>
      <c r="M72" s="977">
        <v>2.4402382080000002</v>
      </c>
      <c r="N72" s="979">
        <v>0</v>
      </c>
      <c r="O72" s="968">
        <v>2.4402382080000002</v>
      </c>
      <c r="P72" s="966">
        <v>2.3530000000000002</v>
      </c>
      <c r="Q72" s="968">
        <v>8.7238208000000039E-2</v>
      </c>
      <c r="R72" s="970">
        <v>0.96425012619095918</v>
      </c>
    </row>
    <row r="73" spans="1:18" hidden="1">
      <c r="A73" s="1016"/>
      <c r="B73" s="1012"/>
      <c r="C73" s="937"/>
      <c r="D73" s="975">
        <v>6.4659199999999998E-4</v>
      </c>
      <c r="E73" s="439" t="s">
        <v>102</v>
      </c>
      <c r="F73" s="423">
        <v>0.89100377600000003</v>
      </c>
      <c r="G73" s="424"/>
      <c r="H73" s="425">
        <v>8.7238207999999817E-2</v>
      </c>
      <c r="I73" s="439"/>
      <c r="J73" s="462">
        <v>8.7238207999999817E-2</v>
      </c>
      <c r="K73" s="427">
        <v>0</v>
      </c>
      <c r="L73" s="456" t="s">
        <v>32</v>
      </c>
      <c r="M73" s="977"/>
      <c r="N73" s="979"/>
      <c r="O73" s="968"/>
      <c r="P73" s="966"/>
      <c r="Q73" s="968"/>
      <c r="R73" s="970"/>
    </row>
    <row r="74" spans="1:18" hidden="1">
      <c r="A74" s="1016"/>
      <c r="B74" s="1012" t="s">
        <v>300</v>
      </c>
      <c r="C74" s="937" t="s">
        <v>301</v>
      </c>
      <c r="D74" s="975">
        <v>6.8654809999999997E-4</v>
      </c>
      <c r="E74" s="439" t="s">
        <v>38</v>
      </c>
      <c r="F74" s="423">
        <v>1.6449692476</v>
      </c>
      <c r="G74" s="424"/>
      <c r="H74" s="425">
        <v>1.6449692476</v>
      </c>
      <c r="I74" s="439">
        <v>0.46</v>
      </c>
      <c r="J74" s="462">
        <v>1.1849692476</v>
      </c>
      <c r="K74" s="427">
        <v>0.2796404860888051</v>
      </c>
      <c r="L74" s="456" t="s">
        <v>32</v>
      </c>
      <c r="M74" s="977">
        <v>2.5910325294000001</v>
      </c>
      <c r="N74" s="979">
        <v>0</v>
      </c>
      <c r="O74" s="968">
        <v>2.5910325294000001</v>
      </c>
      <c r="P74" s="966">
        <v>0.46</v>
      </c>
      <c r="Q74" s="968">
        <v>2.1310325294000001</v>
      </c>
      <c r="R74" s="970">
        <v>0.17753540134307819</v>
      </c>
    </row>
    <row r="75" spans="1:18" hidden="1">
      <c r="A75" s="1016"/>
      <c r="B75" s="1012"/>
      <c r="C75" s="937"/>
      <c r="D75" s="975">
        <v>6.8654809999999997E-4</v>
      </c>
      <c r="E75" s="439" t="s">
        <v>102</v>
      </c>
      <c r="F75" s="423">
        <v>0.94606328179999999</v>
      </c>
      <c r="G75" s="424"/>
      <c r="H75" s="425">
        <v>2.1310325294000001</v>
      </c>
      <c r="I75" s="439"/>
      <c r="J75" s="462">
        <v>2.1310325294000001</v>
      </c>
      <c r="K75" s="427">
        <v>0</v>
      </c>
      <c r="L75" s="456" t="s">
        <v>32</v>
      </c>
      <c r="M75" s="977"/>
      <c r="N75" s="979"/>
      <c r="O75" s="968"/>
      <c r="P75" s="966"/>
      <c r="Q75" s="968"/>
      <c r="R75" s="970"/>
    </row>
    <row r="76" spans="1:18" hidden="1">
      <c r="A76" s="1016"/>
      <c r="B76" s="1012" t="s">
        <v>302</v>
      </c>
      <c r="C76" s="937" t="s">
        <v>303</v>
      </c>
      <c r="D76" s="975">
        <v>1.4832458000000001E-3</v>
      </c>
      <c r="E76" s="439" t="s">
        <v>38</v>
      </c>
      <c r="F76" s="423">
        <v>3.5538569368000004</v>
      </c>
      <c r="G76" s="424"/>
      <c r="H76" s="425">
        <v>3.5538569368000004</v>
      </c>
      <c r="I76" s="439"/>
      <c r="J76" s="462">
        <v>3.5538569368000004</v>
      </c>
      <c r="K76" s="427">
        <v>0</v>
      </c>
      <c r="L76" s="456" t="s">
        <v>32</v>
      </c>
      <c r="M76" s="977">
        <v>5.5977696492</v>
      </c>
      <c r="N76" s="979">
        <v>0</v>
      </c>
      <c r="O76" s="968">
        <v>5.5977696492</v>
      </c>
      <c r="P76" s="966">
        <v>0</v>
      </c>
      <c r="Q76" s="968">
        <v>5.5977696492</v>
      </c>
      <c r="R76" s="970">
        <v>0</v>
      </c>
    </row>
    <row r="77" spans="1:18" hidden="1">
      <c r="A77" s="1016"/>
      <c r="B77" s="1012"/>
      <c r="C77" s="937"/>
      <c r="D77" s="975">
        <v>1.4832458000000001E-3</v>
      </c>
      <c r="E77" s="439" t="s">
        <v>102</v>
      </c>
      <c r="F77" s="423">
        <v>2.0439127124000001</v>
      </c>
      <c r="G77" s="424"/>
      <c r="H77" s="425">
        <v>5.5977696492</v>
      </c>
      <c r="I77" s="439"/>
      <c r="J77" s="462">
        <v>5.5977696492</v>
      </c>
      <c r="K77" s="427">
        <v>0</v>
      </c>
      <c r="L77" s="456" t="s">
        <v>32</v>
      </c>
      <c r="M77" s="977"/>
      <c r="N77" s="979"/>
      <c r="O77" s="968"/>
      <c r="P77" s="966"/>
      <c r="Q77" s="968"/>
      <c r="R77" s="970"/>
    </row>
    <row r="78" spans="1:18">
      <c r="A78" s="1016"/>
      <c r="B78" s="1013" t="s">
        <v>304</v>
      </c>
      <c r="C78" s="946" t="s">
        <v>305</v>
      </c>
      <c r="D78" s="989">
        <v>2.0477631999999998E-3</v>
      </c>
      <c r="E78" s="439" t="s">
        <v>38</v>
      </c>
      <c r="F78" s="423">
        <v>4.9064406271999994</v>
      </c>
      <c r="G78" s="453">
        <v>-7.7279999999999998</v>
      </c>
      <c r="H78" s="425">
        <v>-2.8215593728000004</v>
      </c>
      <c r="I78" s="439"/>
      <c r="J78" s="462">
        <v>-2.8215593728000004</v>
      </c>
      <c r="K78" s="427">
        <v>0</v>
      </c>
      <c r="L78" s="455">
        <v>43508</v>
      </c>
      <c r="M78" s="977">
        <v>7.728258316799999</v>
      </c>
      <c r="N78" s="979">
        <v>-7.7279999999999998</v>
      </c>
      <c r="O78" s="968">
        <v>2.583167999992142E-4</v>
      </c>
      <c r="P78" s="966">
        <v>0</v>
      </c>
      <c r="Q78" s="968">
        <v>2.583167999992142E-4</v>
      </c>
      <c r="R78" s="970">
        <v>0</v>
      </c>
    </row>
    <row r="79" spans="1:18">
      <c r="A79" s="1016"/>
      <c r="B79" s="1014"/>
      <c r="C79" s="946"/>
      <c r="D79" s="989">
        <v>2.0477631999999998E-3</v>
      </c>
      <c r="E79" s="439" t="s">
        <v>102</v>
      </c>
      <c r="F79" s="423">
        <v>2.8218176895999996</v>
      </c>
      <c r="G79" s="424"/>
      <c r="H79" s="425">
        <v>2.583167999992142E-4</v>
      </c>
      <c r="I79" s="439"/>
      <c r="J79" s="462">
        <v>2.583167999992142E-4</v>
      </c>
      <c r="K79" s="427">
        <v>0</v>
      </c>
      <c r="L79" s="455">
        <v>43508</v>
      </c>
      <c r="M79" s="977"/>
      <c r="N79" s="979"/>
      <c r="O79" s="968"/>
      <c r="P79" s="966"/>
      <c r="Q79" s="968"/>
      <c r="R79" s="970"/>
    </row>
    <row r="80" spans="1:18" hidden="1">
      <c r="A80" s="1016"/>
      <c r="B80" s="1000" t="s">
        <v>306</v>
      </c>
      <c r="C80" s="946" t="s">
        <v>307</v>
      </c>
      <c r="D80" s="989">
        <v>2.4852228999999999E-3</v>
      </c>
      <c r="E80" s="439" t="s">
        <v>38</v>
      </c>
      <c r="F80" s="423">
        <v>5.9545940683999996</v>
      </c>
      <c r="G80" s="453">
        <v>-5</v>
      </c>
      <c r="H80" s="425">
        <v>0.95459406839999961</v>
      </c>
      <c r="I80" s="439"/>
      <c r="J80" s="462">
        <v>0.95459406839999961</v>
      </c>
      <c r="K80" s="427">
        <v>0</v>
      </c>
      <c r="L80" s="456" t="s">
        <v>32</v>
      </c>
      <c r="M80" s="977">
        <v>9.3792312245999998</v>
      </c>
      <c r="N80" s="979">
        <v>-5</v>
      </c>
      <c r="O80" s="968">
        <v>4.3792312245999998</v>
      </c>
      <c r="P80" s="966">
        <v>0</v>
      </c>
      <c r="Q80" s="968">
        <v>4.3792312245999998</v>
      </c>
      <c r="R80" s="970">
        <v>0</v>
      </c>
    </row>
    <row r="81" spans="1:18" hidden="1">
      <c r="A81" s="1016"/>
      <c r="B81" s="1001"/>
      <c r="C81" s="946"/>
      <c r="D81" s="989">
        <v>2.4852228999999999E-3</v>
      </c>
      <c r="E81" s="439" t="s">
        <v>102</v>
      </c>
      <c r="F81" s="423">
        <v>3.4246371561999998</v>
      </c>
      <c r="G81" s="424"/>
      <c r="H81" s="425">
        <v>4.3792312245999998</v>
      </c>
      <c r="I81" s="439"/>
      <c r="J81" s="462">
        <v>4.3792312245999998</v>
      </c>
      <c r="K81" s="427">
        <v>0</v>
      </c>
      <c r="L81" s="456" t="s">
        <v>32</v>
      </c>
      <c r="M81" s="977"/>
      <c r="N81" s="979"/>
      <c r="O81" s="968"/>
      <c r="P81" s="966"/>
      <c r="Q81" s="968"/>
      <c r="R81" s="970"/>
    </row>
    <row r="82" spans="1:18">
      <c r="A82" s="1016"/>
      <c r="B82" s="1011" t="s">
        <v>308</v>
      </c>
      <c r="C82" s="946" t="s">
        <v>309</v>
      </c>
      <c r="D82" s="989">
        <v>2.4980152000000002E-3</v>
      </c>
      <c r="E82" s="439" t="s">
        <v>38</v>
      </c>
      <c r="F82" s="423">
        <v>5.9852444192000007</v>
      </c>
      <c r="G82" s="453">
        <v>-9.4269999999999996</v>
      </c>
      <c r="H82" s="425">
        <v>-3.4417555807999989</v>
      </c>
      <c r="I82" s="439">
        <v>0.27</v>
      </c>
      <c r="J82" s="462">
        <v>-3.7117555807999989</v>
      </c>
      <c r="K82" s="427">
        <v>-7.8448336513553776E-2</v>
      </c>
      <c r="L82" s="455">
        <v>43508</v>
      </c>
      <c r="M82" s="998">
        <v>9.4275093648000006</v>
      </c>
      <c r="N82" s="999">
        <v>-9.4269999999999996</v>
      </c>
      <c r="O82" s="995">
        <v>5.0936480000096651E-4</v>
      </c>
      <c r="P82" s="997">
        <v>0.27</v>
      </c>
      <c r="Q82" s="995">
        <v>-0.26949063519999905</v>
      </c>
      <c r="R82" s="996">
        <v>530.0719641394295</v>
      </c>
    </row>
    <row r="83" spans="1:18">
      <c r="A83" s="1016"/>
      <c r="B83" s="1005"/>
      <c r="C83" s="946"/>
      <c r="D83" s="989">
        <v>2.4980152000000002E-3</v>
      </c>
      <c r="E83" s="439" t="s">
        <v>102</v>
      </c>
      <c r="F83" s="423">
        <v>3.4422649456000003</v>
      </c>
      <c r="G83" s="424"/>
      <c r="H83" s="425">
        <v>-0.26949063519999861</v>
      </c>
      <c r="I83" s="439"/>
      <c r="J83" s="462">
        <v>-0.26949063519999861</v>
      </c>
      <c r="K83" s="427">
        <v>0</v>
      </c>
      <c r="L83" s="455">
        <v>43508</v>
      </c>
      <c r="M83" s="998"/>
      <c r="N83" s="999"/>
      <c r="O83" s="995"/>
      <c r="P83" s="997"/>
      <c r="Q83" s="995"/>
      <c r="R83" s="996"/>
    </row>
    <row r="84" spans="1:18" hidden="1">
      <c r="A84" s="1016"/>
      <c r="B84" s="1012" t="s">
        <v>310</v>
      </c>
      <c r="C84" s="937" t="s">
        <v>311</v>
      </c>
      <c r="D84" s="975">
        <v>1.4015631E-3</v>
      </c>
      <c r="E84" s="439" t="s">
        <v>38</v>
      </c>
      <c r="F84" s="423">
        <v>3.3581451875999999</v>
      </c>
      <c r="G84" s="424"/>
      <c r="H84" s="425">
        <v>3.3581451875999999</v>
      </c>
      <c r="I84" s="457"/>
      <c r="J84" s="462">
        <v>3.3581451875999999</v>
      </c>
      <c r="K84" s="427">
        <v>0</v>
      </c>
      <c r="L84" s="456" t="s">
        <v>32</v>
      </c>
      <c r="M84" s="977">
        <v>5.2894991394000002</v>
      </c>
      <c r="N84" s="979">
        <v>0</v>
      </c>
      <c r="O84" s="968">
        <v>5.2894991394000002</v>
      </c>
      <c r="P84" s="966">
        <v>0</v>
      </c>
      <c r="Q84" s="968">
        <v>5.2894991394000002</v>
      </c>
      <c r="R84" s="970">
        <v>0</v>
      </c>
    </row>
    <row r="85" spans="1:18" hidden="1">
      <c r="A85" s="1016"/>
      <c r="B85" s="1012"/>
      <c r="C85" s="937"/>
      <c r="D85" s="975">
        <v>1.4015631E-3</v>
      </c>
      <c r="E85" s="439" t="s">
        <v>102</v>
      </c>
      <c r="F85" s="423">
        <v>1.9313539518</v>
      </c>
      <c r="G85" s="424"/>
      <c r="H85" s="425">
        <v>5.2894991394000002</v>
      </c>
      <c r="I85" s="439"/>
      <c r="J85" s="462">
        <v>5.2894991394000002</v>
      </c>
      <c r="K85" s="427">
        <v>0</v>
      </c>
      <c r="L85" s="456" t="s">
        <v>32</v>
      </c>
      <c r="M85" s="977"/>
      <c r="N85" s="979"/>
      <c r="O85" s="968"/>
      <c r="P85" s="966"/>
      <c r="Q85" s="968"/>
      <c r="R85" s="970"/>
    </row>
    <row r="86" spans="1:18" hidden="1">
      <c r="A86" s="1016"/>
      <c r="B86" s="1012" t="s">
        <v>312</v>
      </c>
      <c r="C86" s="937" t="s">
        <v>313</v>
      </c>
      <c r="D86" s="975">
        <v>4.7307310000000002E-3</v>
      </c>
      <c r="E86" s="439" t="s">
        <v>38</v>
      </c>
      <c r="F86" s="423">
        <v>11.334831476</v>
      </c>
      <c r="G86" s="404"/>
      <c r="H86" s="400">
        <v>11.334831476</v>
      </c>
      <c r="I86" s="463"/>
      <c r="J86" s="464">
        <v>11.334831476</v>
      </c>
      <c r="K86" s="427">
        <v>0</v>
      </c>
      <c r="L86" s="456" t="s">
        <v>32</v>
      </c>
      <c r="M86" s="977">
        <v>17.853778794</v>
      </c>
      <c r="N86" s="979">
        <v>0</v>
      </c>
      <c r="O86" s="968">
        <v>17.853778794</v>
      </c>
      <c r="P86" s="966">
        <v>0</v>
      </c>
      <c r="Q86" s="968">
        <v>17.853778794</v>
      </c>
      <c r="R86" s="970">
        <v>0</v>
      </c>
    </row>
    <row r="87" spans="1:18" hidden="1">
      <c r="A87" s="1016"/>
      <c r="B87" s="1012"/>
      <c r="C87" s="937"/>
      <c r="D87" s="975">
        <v>4.7307310000000002E-3</v>
      </c>
      <c r="E87" s="439" t="s">
        <v>102</v>
      </c>
      <c r="F87" s="423">
        <v>6.5189473180000004</v>
      </c>
      <c r="G87" s="404"/>
      <c r="H87" s="400">
        <v>17.853778794</v>
      </c>
      <c r="I87" s="463"/>
      <c r="J87" s="464">
        <v>17.853778794</v>
      </c>
      <c r="K87" s="427">
        <v>0</v>
      </c>
      <c r="L87" s="456" t="s">
        <v>32</v>
      </c>
      <c r="M87" s="977"/>
      <c r="N87" s="979"/>
      <c r="O87" s="968"/>
      <c r="P87" s="966"/>
      <c r="Q87" s="968"/>
      <c r="R87" s="970"/>
    </row>
    <row r="88" spans="1:18" hidden="1">
      <c r="A88" s="1016"/>
      <c r="B88" s="1012" t="s">
        <v>409</v>
      </c>
      <c r="C88" s="937" t="s">
        <v>314</v>
      </c>
      <c r="D88" s="975">
        <v>3.8237229999999998E-3</v>
      </c>
      <c r="E88" s="439" t="s">
        <v>38</v>
      </c>
      <c r="F88" s="423">
        <v>9.1616403079999991</v>
      </c>
      <c r="G88" s="424"/>
      <c r="H88" s="425">
        <v>9.1616403079999991</v>
      </c>
      <c r="I88" s="457"/>
      <c r="J88" s="462">
        <v>9.1616403079999991</v>
      </c>
      <c r="K88" s="427">
        <v>0</v>
      </c>
      <c r="L88" s="456" t="s">
        <v>32</v>
      </c>
      <c r="M88" s="977">
        <v>14.430730601999999</v>
      </c>
      <c r="N88" s="979">
        <v>0</v>
      </c>
      <c r="O88" s="968">
        <v>14.430730601999999</v>
      </c>
      <c r="P88" s="966">
        <v>0</v>
      </c>
      <c r="Q88" s="968">
        <v>14.430730601999999</v>
      </c>
      <c r="R88" s="970">
        <v>0</v>
      </c>
    </row>
    <row r="89" spans="1:18" hidden="1">
      <c r="A89" s="1016"/>
      <c r="B89" s="1012"/>
      <c r="C89" s="937"/>
      <c r="D89" s="975">
        <v>3.8237229999999998E-3</v>
      </c>
      <c r="E89" s="439" t="s">
        <v>102</v>
      </c>
      <c r="F89" s="423">
        <v>5.2690902939999997</v>
      </c>
      <c r="G89" s="424"/>
      <c r="H89" s="425">
        <v>14.430730601999999</v>
      </c>
      <c r="I89" s="439"/>
      <c r="J89" s="462">
        <v>14.430730601999999</v>
      </c>
      <c r="K89" s="427">
        <v>0</v>
      </c>
      <c r="L89" s="456" t="s">
        <v>32</v>
      </c>
      <c r="M89" s="977"/>
      <c r="N89" s="979"/>
      <c r="O89" s="968"/>
      <c r="P89" s="966"/>
      <c r="Q89" s="968"/>
      <c r="R89" s="970"/>
    </row>
    <row r="90" spans="1:18">
      <c r="A90" s="1016"/>
      <c r="B90" s="1013" t="s">
        <v>315</v>
      </c>
      <c r="C90" s="946" t="s">
        <v>316</v>
      </c>
      <c r="D90" s="989">
        <v>1.8094541000000001E-3</v>
      </c>
      <c r="E90" s="439" t="s">
        <v>38</v>
      </c>
      <c r="F90" s="423">
        <v>4.3354520236000003</v>
      </c>
      <c r="G90" s="453">
        <v>-17.853999999999999</v>
      </c>
      <c r="H90" s="425">
        <v>-13.518547976399999</v>
      </c>
      <c r="I90" s="457"/>
      <c r="J90" s="462">
        <v>-13.518547976399999</v>
      </c>
      <c r="K90" s="427">
        <v>0</v>
      </c>
      <c r="L90" s="455">
        <v>43508</v>
      </c>
      <c r="M90" s="977">
        <v>6.8288797734000006</v>
      </c>
      <c r="N90" s="979">
        <v>-17.853999999999999</v>
      </c>
      <c r="O90" s="968">
        <v>-11.025120226599999</v>
      </c>
      <c r="P90" s="966">
        <v>0</v>
      </c>
      <c r="Q90" s="968">
        <v>-11.025120226599999</v>
      </c>
      <c r="R90" s="970">
        <v>0</v>
      </c>
    </row>
    <row r="91" spans="1:18">
      <c r="A91" s="1016"/>
      <c r="B91" s="1014"/>
      <c r="C91" s="946"/>
      <c r="D91" s="989">
        <v>1.8094541000000001E-3</v>
      </c>
      <c r="E91" s="439" t="s">
        <v>102</v>
      </c>
      <c r="F91" s="423">
        <v>2.4934277497999999</v>
      </c>
      <c r="G91" s="424"/>
      <c r="H91" s="425">
        <v>-11.025120226599999</v>
      </c>
      <c r="I91" s="439"/>
      <c r="J91" s="462">
        <v>-11.025120226599999</v>
      </c>
      <c r="K91" s="427">
        <v>0</v>
      </c>
      <c r="L91" s="455">
        <v>43508</v>
      </c>
      <c r="M91" s="977"/>
      <c r="N91" s="979"/>
      <c r="O91" s="968"/>
      <c r="P91" s="966"/>
      <c r="Q91" s="968"/>
      <c r="R91" s="970"/>
    </row>
    <row r="92" spans="1:18" hidden="1">
      <c r="A92" s="1016"/>
      <c r="B92" s="1000" t="s">
        <v>317</v>
      </c>
      <c r="C92" s="946" t="s">
        <v>318</v>
      </c>
      <c r="D92" s="989">
        <v>1.3139868000000001E-2</v>
      </c>
      <c r="E92" s="439" t="s">
        <v>38</v>
      </c>
      <c r="F92" s="423">
        <v>31.483123728000002</v>
      </c>
      <c r="G92" s="453">
        <v>-44.368000000000002</v>
      </c>
      <c r="H92" s="425">
        <v>-12.884876272</v>
      </c>
      <c r="I92" s="439"/>
      <c r="J92" s="462">
        <v>-12.884876272</v>
      </c>
      <c r="K92" s="427">
        <v>0</v>
      </c>
      <c r="L92" s="456" t="s">
        <v>32</v>
      </c>
      <c r="M92" s="977">
        <v>49.589861832000004</v>
      </c>
      <c r="N92" s="979">
        <v>-44.368000000000002</v>
      </c>
      <c r="O92" s="968">
        <v>5.2218618320000019</v>
      </c>
      <c r="P92" s="966">
        <v>0</v>
      </c>
      <c r="Q92" s="968">
        <v>5.2218618320000019</v>
      </c>
      <c r="R92" s="970">
        <v>0</v>
      </c>
    </row>
    <row r="93" spans="1:18" hidden="1">
      <c r="A93" s="1016"/>
      <c r="B93" s="1001"/>
      <c r="C93" s="946"/>
      <c r="D93" s="989">
        <v>1.3139868000000001E-2</v>
      </c>
      <c r="E93" s="439" t="s">
        <v>102</v>
      </c>
      <c r="F93" s="423">
        <v>18.106738104000001</v>
      </c>
      <c r="G93" s="424"/>
      <c r="H93" s="425">
        <v>5.2218618320000019</v>
      </c>
      <c r="I93" s="439"/>
      <c r="J93" s="462">
        <v>5.2218618320000019</v>
      </c>
      <c r="K93" s="427">
        <v>0</v>
      </c>
      <c r="L93" s="456" t="s">
        <v>32</v>
      </c>
      <c r="M93" s="977"/>
      <c r="N93" s="979"/>
      <c r="O93" s="968"/>
      <c r="P93" s="966"/>
      <c r="Q93" s="968"/>
      <c r="R93" s="970"/>
    </row>
    <row r="94" spans="1:18" hidden="1">
      <c r="A94" s="1016"/>
      <c r="B94" s="1006" t="s">
        <v>408</v>
      </c>
      <c r="C94" s="992" t="s">
        <v>319</v>
      </c>
      <c r="D94" s="993">
        <v>9.1363445000000008E-3</v>
      </c>
      <c r="E94" s="439" t="s">
        <v>38</v>
      </c>
      <c r="F94" s="423">
        <v>21.890681422000004</v>
      </c>
      <c r="G94" s="441">
        <v>-34.481000000000002</v>
      </c>
      <c r="H94" s="425">
        <v>-12.590318577999998</v>
      </c>
      <c r="I94" s="439"/>
      <c r="J94" s="462">
        <v>-12.590318577999998</v>
      </c>
      <c r="K94" s="427">
        <v>0</v>
      </c>
      <c r="L94" s="442">
        <v>43508</v>
      </c>
      <c r="M94" s="1008">
        <v>34.480564143000002</v>
      </c>
      <c r="N94" s="1009">
        <v>-34.481000000000002</v>
      </c>
      <c r="O94" s="1003">
        <v>-4.3585699999937333E-4</v>
      </c>
      <c r="P94" s="1010">
        <v>0</v>
      </c>
      <c r="Q94" s="1003">
        <v>-4.3585699999937333E-4</v>
      </c>
      <c r="R94" s="1004">
        <v>0</v>
      </c>
    </row>
    <row r="95" spans="1:18" hidden="1">
      <c r="A95" s="1016"/>
      <c r="B95" s="1007"/>
      <c r="C95" s="992"/>
      <c r="D95" s="993">
        <v>9.1363445000000008E-3</v>
      </c>
      <c r="E95" s="439" t="s">
        <v>102</v>
      </c>
      <c r="F95" s="423">
        <v>12.589882721</v>
      </c>
      <c r="G95" s="424"/>
      <c r="H95" s="425">
        <v>-4.3585699999759697E-4</v>
      </c>
      <c r="I95" s="439"/>
      <c r="J95" s="462">
        <v>-4.3585699999759697E-4</v>
      </c>
      <c r="K95" s="427">
        <v>0</v>
      </c>
      <c r="L95" s="442">
        <v>43508</v>
      </c>
      <c r="M95" s="1008"/>
      <c r="N95" s="1009"/>
      <c r="O95" s="1003"/>
      <c r="P95" s="1010"/>
      <c r="Q95" s="1003"/>
      <c r="R95" s="1004"/>
    </row>
    <row r="96" spans="1:18" hidden="1">
      <c r="A96" s="1016"/>
      <c r="B96" s="1012" t="s">
        <v>320</v>
      </c>
      <c r="C96" s="937" t="s">
        <v>321</v>
      </c>
      <c r="D96" s="975">
        <v>5.9917915000000004E-3</v>
      </c>
      <c r="E96" s="439" t="s">
        <v>38</v>
      </c>
      <c r="F96" s="423">
        <v>14.356332434</v>
      </c>
      <c r="G96" s="424"/>
      <c r="H96" s="425">
        <v>14.356332434</v>
      </c>
      <c r="I96" s="439"/>
      <c r="J96" s="462">
        <v>14.356332434</v>
      </c>
      <c r="K96" s="427">
        <v>0</v>
      </c>
      <c r="L96" s="456" t="s">
        <v>32</v>
      </c>
      <c r="M96" s="977">
        <v>22.613021121000003</v>
      </c>
      <c r="N96" s="979">
        <v>0</v>
      </c>
      <c r="O96" s="968">
        <v>22.613021121000003</v>
      </c>
      <c r="P96" s="966">
        <v>0</v>
      </c>
      <c r="Q96" s="968">
        <v>22.613021121000003</v>
      </c>
      <c r="R96" s="970">
        <v>0</v>
      </c>
    </row>
    <row r="97" spans="1:18" hidden="1">
      <c r="A97" s="1016"/>
      <c r="B97" s="1012"/>
      <c r="C97" s="937"/>
      <c r="D97" s="975">
        <v>5.9917915000000004E-3</v>
      </c>
      <c r="E97" s="439" t="s">
        <v>102</v>
      </c>
      <c r="F97" s="423">
        <v>8.2566886870000005</v>
      </c>
      <c r="G97" s="424"/>
      <c r="H97" s="425">
        <v>22.613021121000003</v>
      </c>
      <c r="I97" s="439"/>
      <c r="J97" s="462">
        <v>22.613021121000003</v>
      </c>
      <c r="K97" s="427">
        <v>0</v>
      </c>
      <c r="L97" s="456" t="s">
        <v>32</v>
      </c>
      <c r="M97" s="977"/>
      <c r="N97" s="979"/>
      <c r="O97" s="968"/>
      <c r="P97" s="966"/>
      <c r="Q97" s="968"/>
      <c r="R97" s="970"/>
    </row>
    <row r="98" spans="1:18">
      <c r="A98" s="1016"/>
      <c r="B98" s="1011" t="s">
        <v>322</v>
      </c>
      <c r="C98" s="946" t="s">
        <v>323</v>
      </c>
      <c r="D98" s="989">
        <v>1.1902403799999999E-2</v>
      </c>
      <c r="E98" s="439" t="s">
        <v>38</v>
      </c>
      <c r="F98" s="423">
        <v>28.518159504799996</v>
      </c>
      <c r="G98" s="453">
        <v>-49.555999999999997</v>
      </c>
      <c r="H98" s="425">
        <v>-21.037840495200001</v>
      </c>
      <c r="I98" s="439"/>
      <c r="J98" s="462">
        <v>-21.037840495200001</v>
      </c>
      <c r="K98" s="427">
        <v>0</v>
      </c>
      <c r="L98" s="455">
        <v>43508</v>
      </c>
      <c r="M98" s="998">
        <v>44.919671941199994</v>
      </c>
      <c r="N98" s="999">
        <v>-49.555999999999997</v>
      </c>
      <c r="O98" s="995">
        <v>-4.6363280588000038</v>
      </c>
      <c r="P98" s="997">
        <v>0</v>
      </c>
      <c r="Q98" s="995">
        <v>-4.6363280588000038</v>
      </c>
      <c r="R98" s="996">
        <v>0</v>
      </c>
    </row>
    <row r="99" spans="1:18">
      <c r="A99" s="1016"/>
      <c r="B99" s="1005"/>
      <c r="C99" s="946"/>
      <c r="D99" s="989">
        <v>1.1902403799999999E-2</v>
      </c>
      <c r="E99" s="439" t="s">
        <v>102</v>
      </c>
      <c r="F99" s="423">
        <v>16.401512436399997</v>
      </c>
      <c r="G99" s="424"/>
      <c r="H99" s="425">
        <v>-4.6363280588000038</v>
      </c>
      <c r="I99" s="439"/>
      <c r="J99" s="462">
        <v>-4.6363280588000038</v>
      </c>
      <c r="K99" s="427">
        <v>0</v>
      </c>
      <c r="L99" s="455">
        <v>43508</v>
      </c>
      <c r="M99" s="998"/>
      <c r="N99" s="999"/>
      <c r="O99" s="995"/>
      <c r="P99" s="997"/>
      <c r="Q99" s="995"/>
      <c r="R99" s="996"/>
    </row>
    <row r="100" spans="1:18" hidden="1">
      <c r="A100" s="1016"/>
      <c r="B100" s="1006" t="s">
        <v>428</v>
      </c>
      <c r="C100" s="992" t="s">
        <v>324</v>
      </c>
      <c r="D100" s="993">
        <v>1.22429215E-2</v>
      </c>
      <c r="E100" s="439" t="s">
        <v>38</v>
      </c>
      <c r="F100" s="423">
        <v>29.334039914000002</v>
      </c>
      <c r="G100" s="441">
        <v>-46.204999999999998</v>
      </c>
      <c r="H100" s="425">
        <v>-16.870960085999997</v>
      </c>
      <c r="I100" s="439"/>
      <c r="J100" s="462">
        <v>-16.870960085999997</v>
      </c>
      <c r="K100" s="427">
        <v>0</v>
      </c>
      <c r="L100" s="442">
        <v>43508</v>
      </c>
      <c r="M100" s="1008">
        <v>46.204785741000002</v>
      </c>
      <c r="N100" s="1009">
        <v>-46.204999999999998</v>
      </c>
      <c r="O100" s="1003">
        <v>-2.1425899999627518E-4</v>
      </c>
      <c r="P100" s="1010">
        <v>0</v>
      </c>
      <c r="Q100" s="1003">
        <v>-2.1425899999627518E-4</v>
      </c>
      <c r="R100" s="1004">
        <v>0</v>
      </c>
    </row>
    <row r="101" spans="1:18" hidden="1">
      <c r="A101" s="1016"/>
      <c r="B101" s="1007"/>
      <c r="C101" s="992"/>
      <c r="D101" s="993">
        <v>1.22429215E-2</v>
      </c>
      <c r="E101" s="439" t="s">
        <v>102</v>
      </c>
      <c r="F101" s="423">
        <v>16.870745827</v>
      </c>
      <c r="G101" s="424"/>
      <c r="H101" s="425">
        <v>-2.1425899999627518E-4</v>
      </c>
      <c r="I101" s="439"/>
      <c r="J101" s="462">
        <v>-2.1425899999627518E-4</v>
      </c>
      <c r="K101" s="427">
        <v>0</v>
      </c>
      <c r="L101" s="442">
        <v>43508</v>
      </c>
      <c r="M101" s="1008"/>
      <c r="N101" s="1009"/>
      <c r="O101" s="1003"/>
      <c r="P101" s="1010"/>
      <c r="Q101" s="1003"/>
      <c r="R101" s="1004"/>
    </row>
    <row r="102" spans="1:18">
      <c r="A102" s="1016"/>
      <c r="B102" s="1005" t="s">
        <v>325</v>
      </c>
      <c r="C102" s="946" t="s">
        <v>326</v>
      </c>
      <c r="D102" s="989">
        <v>2.2524875E-2</v>
      </c>
      <c r="E102" s="439" t="s">
        <v>38</v>
      </c>
      <c r="F102" s="423">
        <v>53.969600499999999</v>
      </c>
      <c r="G102" s="453">
        <v>-86.635000000000005</v>
      </c>
      <c r="H102" s="425">
        <v>-32.665399500000007</v>
      </c>
      <c r="I102" s="439"/>
      <c r="J102" s="462">
        <v>-32.665399500000007</v>
      </c>
      <c r="K102" s="427">
        <v>0</v>
      </c>
      <c r="L102" s="455">
        <v>43508</v>
      </c>
      <c r="M102" s="977">
        <v>85.008878249999995</v>
      </c>
      <c r="N102" s="979">
        <v>-86.635000000000005</v>
      </c>
      <c r="O102" s="968">
        <v>-1.62612175000001</v>
      </c>
      <c r="P102" s="966">
        <v>0</v>
      </c>
      <c r="Q102" s="968">
        <v>-1.62612175000001</v>
      </c>
      <c r="R102" s="970">
        <v>1</v>
      </c>
    </row>
    <row r="103" spans="1:18">
      <c r="A103" s="1016"/>
      <c r="B103" s="1005"/>
      <c r="C103" s="946"/>
      <c r="D103" s="989">
        <v>2.2940783100000001E-2</v>
      </c>
      <c r="E103" s="439" t="s">
        <v>102</v>
      </c>
      <c r="F103" s="423">
        <v>31.03927775</v>
      </c>
      <c r="G103" s="424"/>
      <c r="H103" s="425">
        <v>-1.6261217500000065</v>
      </c>
      <c r="I103" s="439"/>
      <c r="J103" s="462">
        <v>-1.6261217500000065</v>
      </c>
      <c r="K103" s="427">
        <v>0</v>
      </c>
      <c r="L103" s="455">
        <v>43508</v>
      </c>
      <c r="M103" s="977"/>
      <c r="N103" s="979"/>
      <c r="O103" s="968"/>
      <c r="P103" s="966"/>
      <c r="Q103" s="968"/>
      <c r="R103" s="970"/>
    </row>
    <row r="104" spans="1:18">
      <c r="A104" s="1016"/>
      <c r="B104" s="1002" t="s">
        <v>327</v>
      </c>
      <c r="C104" s="946" t="s">
        <v>328</v>
      </c>
      <c r="D104" s="989">
        <v>1.9612607800000001E-2</v>
      </c>
      <c r="E104" s="439" t="s">
        <v>38</v>
      </c>
      <c r="F104" s="423">
        <v>46.991808288800001</v>
      </c>
      <c r="G104" s="453">
        <v>-79.787999999999997</v>
      </c>
      <c r="H104" s="425">
        <v>-32.796191711199995</v>
      </c>
      <c r="I104" s="439"/>
      <c r="J104" s="462">
        <v>-32.796191711199995</v>
      </c>
      <c r="K104" s="427">
        <v>0</v>
      </c>
      <c r="L104" s="455">
        <v>43508</v>
      </c>
      <c r="M104" s="977">
        <v>74.017981837200011</v>
      </c>
      <c r="N104" s="979">
        <v>-79.787999999999997</v>
      </c>
      <c r="O104" s="968">
        <v>-5.7700181627999854</v>
      </c>
      <c r="P104" s="966">
        <v>0</v>
      </c>
      <c r="Q104" s="968">
        <v>-5.7700181627999854</v>
      </c>
      <c r="R104" s="970">
        <v>0</v>
      </c>
    </row>
    <row r="105" spans="1:18">
      <c r="A105" s="1016"/>
      <c r="B105" s="988"/>
      <c r="C105" s="946"/>
      <c r="D105" s="989">
        <v>1.9612607800000001E-2</v>
      </c>
      <c r="E105" s="439" t="s">
        <v>102</v>
      </c>
      <c r="F105" s="423">
        <v>27.026173548400003</v>
      </c>
      <c r="G105" s="424"/>
      <c r="H105" s="425">
        <v>-5.7700181627999925</v>
      </c>
      <c r="I105" s="439"/>
      <c r="J105" s="462">
        <v>-5.7700181627999925</v>
      </c>
      <c r="K105" s="427">
        <v>0</v>
      </c>
      <c r="L105" s="455">
        <v>43508</v>
      </c>
      <c r="M105" s="977"/>
      <c r="N105" s="979"/>
      <c r="O105" s="968"/>
      <c r="P105" s="966"/>
      <c r="Q105" s="968"/>
      <c r="R105" s="970"/>
    </row>
    <row r="106" spans="1:18" hidden="1">
      <c r="A106" s="1016"/>
      <c r="B106" s="981" t="s">
        <v>329</v>
      </c>
      <c r="C106" s="982" t="s">
        <v>330</v>
      </c>
      <c r="D106" s="983">
        <v>1.30862228E-2</v>
      </c>
      <c r="E106" s="439" t="s">
        <v>38</v>
      </c>
      <c r="F106" s="423">
        <v>31.354589828800002</v>
      </c>
      <c r="G106" s="465">
        <v>-46.652000000000001</v>
      </c>
      <c r="H106" s="425">
        <v>-15.297410171199999</v>
      </c>
      <c r="I106" s="439"/>
      <c r="J106" s="462">
        <v>-15.297410171199999</v>
      </c>
      <c r="K106" s="427">
        <v>0</v>
      </c>
      <c r="L106" s="456" t="s">
        <v>32</v>
      </c>
      <c r="M106" s="977">
        <v>49.387404847200003</v>
      </c>
      <c r="N106" s="979">
        <v>-46.652000000000001</v>
      </c>
      <c r="O106" s="968">
        <v>2.7354048472000017</v>
      </c>
      <c r="P106" s="966">
        <v>0</v>
      </c>
      <c r="Q106" s="968">
        <v>2.7354048472000017</v>
      </c>
      <c r="R106" s="970">
        <v>0</v>
      </c>
    </row>
    <row r="107" spans="1:18" hidden="1">
      <c r="A107" s="1016"/>
      <c r="B107" s="981"/>
      <c r="C107" s="982"/>
      <c r="D107" s="983">
        <v>1.30862228E-2</v>
      </c>
      <c r="E107" s="439" t="s">
        <v>102</v>
      </c>
      <c r="F107" s="423">
        <v>18.032815018400001</v>
      </c>
      <c r="G107" s="424"/>
      <c r="H107" s="425">
        <v>2.7354048472000017</v>
      </c>
      <c r="I107" s="439"/>
      <c r="J107" s="462">
        <v>2.7354048472000017</v>
      </c>
      <c r="K107" s="427">
        <v>0</v>
      </c>
      <c r="L107" s="456" t="s">
        <v>32</v>
      </c>
      <c r="M107" s="977"/>
      <c r="N107" s="979"/>
      <c r="O107" s="968"/>
      <c r="P107" s="966"/>
      <c r="Q107" s="968"/>
      <c r="R107" s="970"/>
    </row>
    <row r="108" spans="1:18" hidden="1">
      <c r="A108" s="1016"/>
      <c r="B108" s="988" t="s">
        <v>331</v>
      </c>
      <c r="C108" s="946" t="s">
        <v>332</v>
      </c>
      <c r="D108" s="989">
        <v>1.41230929E-2</v>
      </c>
      <c r="E108" s="439" t="s">
        <v>38</v>
      </c>
      <c r="F108" s="423">
        <v>33.838930588400004</v>
      </c>
      <c r="G108" s="453">
        <v>-49.481000000000002</v>
      </c>
      <c r="H108" s="425">
        <v>-15.642069411599998</v>
      </c>
      <c r="I108" s="439">
        <v>0.111</v>
      </c>
      <c r="J108" s="462">
        <v>-15.753069411599999</v>
      </c>
      <c r="K108" s="427">
        <v>-7.0962477584764804E-3</v>
      </c>
      <c r="L108" s="456" t="s">
        <v>32</v>
      </c>
      <c r="M108" s="977">
        <v>53.3005526046</v>
      </c>
      <c r="N108" s="979">
        <v>-49.481000000000002</v>
      </c>
      <c r="O108" s="968">
        <v>3.8195526045999983</v>
      </c>
      <c r="P108" s="966">
        <v>0.111</v>
      </c>
      <c r="Q108" s="968">
        <v>3.7085526045999981</v>
      </c>
      <c r="R108" s="970">
        <v>2.9060995223974522E-2</v>
      </c>
    </row>
    <row r="109" spans="1:18" hidden="1">
      <c r="A109" s="1016"/>
      <c r="B109" s="988"/>
      <c r="C109" s="946"/>
      <c r="D109" s="989">
        <v>1.3707184799999999E-2</v>
      </c>
      <c r="E109" s="439" t="s">
        <v>102</v>
      </c>
      <c r="F109" s="423">
        <v>19.4616220162</v>
      </c>
      <c r="G109" s="424"/>
      <c r="H109" s="425">
        <v>3.7085526046000012</v>
      </c>
      <c r="I109" s="439"/>
      <c r="J109" s="462">
        <v>3.7085526046000012</v>
      </c>
      <c r="K109" s="427">
        <v>0</v>
      </c>
      <c r="L109" s="456" t="s">
        <v>32</v>
      </c>
      <c r="M109" s="977"/>
      <c r="N109" s="979"/>
      <c r="O109" s="968"/>
      <c r="P109" s="966"/>
      <c r="Q109" s="968"/>
      <c r="R109" s="970"/>
    </row>
    <row r="110" spans="1:18">
      <c r="A110" s="1016"/>
      <c r="B110" s="1000" t="s">
        <v>333</v>
      </c>
      <c r="C110" s="946" t="s">
        <v>334</v>
      </c>
      <c r="D110" s="989">
        <v>2.0106202E-2</v>
      </c>
      <c r="E110" s="439" t="s">
        <v>38</v>
      </c>
      <c r="F110" s="423">
        <v>48.174459992000003</v>
      </c>
      <c r="G110" s="453">
        <v>-75.88</v>
      </c>
      <c r="H110" s="425">
        <v>-27.705540007999993</v>
      </c>
      <c r="I110" s="439"/>
      <c r="J110" s="462">
        <v>-27.705540007999993</v>
      </c>
      <c r="K110" s="427">
        <v>0</v>
      </c>
      <c r="L110" s="455">
        <v>43508</v>
      </c>
      <c r="M110" s="977">
        <v>75.880806348000007</v>
      </c>
      <c r="N110" s="979">
        <v>-75.88</v>
      </c>
      <c r="O110" s="968">
        <v>8.0634800001178064E-4</v>
      </c>
      <c r="P110" s="966">
        <v>0</v>
      </c>
      <c r="Q110" s="968">
        <v>8.0634800001178064E-4</v>
      </c>
      <c r="R110" s="970">
        <v>0</v>
      </c>
    </row>
    <row r="111" spans="1:18">
      <c r="A111" s="1016"/>
      <c r="B111" s="1001"/>
      <c r="C111" s="946"/>
      <c r="D111" s="989">
        <v>2.0106202E-2</v>
      </c>
      <c r="E111" s="439" t="s">
        <v>102</v>
      </c>
      <c r="F111" s="423">
        <v>27.706346356000001</v>
      </c>
      <c r="G111" s="424"/>
      <c r="H111" s="425">
        <v>8.0634800000822793E-4</v>
      </c>
      <c r="I111" s="439"/>
      <c r="J111" s="462">
        <v>8.0634800000822793E-4</v>
      </c>
      <c r="K111" s="427">
        <v>0</v>
      </c>
      <c r="L111" s="455">
        <v>43508</v>
      </c>
      <c r="M111" s="977"/>
      <c r="N111" s="979"/>
      <c r="O111" s="968"/>
      <c r="P111" s="966"/>
      <c r="Q111" s="968"/>
      <c r="R111" s="970"/>
    </row>
    <row r="112" spans="1:18" hidden="1">
      <c r="A112" s="1016"/>
      <c r="B112" s="972" t="s">
        <v>335</v>
      </c>
      <c r="C112" s="937" t="s">
        <v>336</v>
      </c>
      <c r="D112" s="975">
        <v>1.7566709999999999E-2</v>
      </c>
      <c r="E112" s="439" t="s">
        <v>38</v>
      </c>
      <c r="F112" s="423">
        <v>42.089837159999995</v>
      </c>
      <c r="G112" s="424"/>
      <c r="H112" s="425">
        <v>42.089837159999995</v>
      </c>
      <c r="I112" s="439"/>
      <c r="J112" s="462">
        <v>42.089837159999995</v>
      </c>
      <c r="K112" s="427">
        <v>0</v>
      </c>
      <c r="L112" s="456" t="s">
        <v>32</v>
      </c>
      <c r="M112" s="977">
        <v>66.296763540000001</v>
      </c>
      <c r="N112" s="979">
        <v>0</v>
      </c>
      <c r="O112" s="968">
        <v>66.296763540000001</v>
      </c>
      <c r="P112" s="966">
        <v>0</v>
      </c>
      <c r="Q112" s="968">
        <v>66.296763540000001</v>
      </c>
      <c r="R112" s="970">
        <v>0</v>
      </c>
    </row>
    <row r="113" spans="1:18" hidden="1">
      <c r="A113" s="1016"/>
      <c r="B113" s="972"/>
      <c r="C113" s="937"/>
      <c r="D113" s="975">
        <v>1.92966044E-2</v>
      </c>
      <c r="E113" s="439" t="s">
        <v>102</v>
      </c>
      <c r="F113" s="423">
        <v>24.206926379999999</v>
      </c>
      <c r="G113" s="424"/>
      <c r="H113" s="425">
        <v>66.296763540000001</v>
      </c>
      <c r="I113" s="439"/>
      <c r="J113" s="462">
        <v>66.296763540000001</v>
      </c>
      <c r="K113" s="427">
        <v>0</v>
      </c>
      <c r="L113" s="456" t="s">
        <v>32</v>
      </c>
      <c r="M113" s="977"/>
      <c r="N113" s="979"/>
      <c r="O113" s="968"/>
      <c r="P113" s="966"/>
      <c r="Q113" s="968"/>
      <c r="R113" s="970"/>
    </row>
    <row r="114" spans="1:18" hidden="1">
      <c r="A114" s="1016"/>
      <c r="B114" s="991" t="s">
        <v>337</v>
      </c>
      <c r="C114" s="992" t="s">
        <v>338</v>
      </c>
      <c r="D114" s="993">
        <v>1.7914275600000001E-2</v>
      </c>
      <c r="E114" s="439" t="s">
        <v>38</v>
      </c>
      <c r="F114" s="423">
        <v>42.922604337600006</v>
      </c>
      <c r="G114" s="441">
        <v>-73.206000000000003</v>
      </c>
      <c r="H114" s="425">
        <v>-30.283395662399997</v>
      </c>
      <c r="I114" s="439"/>
      <c r="J114" s="462">
        <v>-30.283395662399997</v>
      </c>
      <c r="K114" s="427">
        <v>0</v>
      </c>
      <c r="L114" s="442">
        <v>43508</v>
      </c>
      <c r="M114" s="998">
        <v>67.608476114400005</v>
      </c>
      <c r="N114" s="999">
        <v>-73.206000000000003</v>
      </c>
      <c r="O114" s="995">
        <v>-5.5975238855999976</v>
      </c>
      <c r="P114" s="997">
        <v>0</v>
      </c>
      <c r="Q114" s="995">
        <v>-5.5975238855999976</v>
      </c>
      <c r="R114" s="996">
        <v>0</v>
      </c>
    </row>
    <row r="115" spans="1:18" hidden="1">
      <c r="A115" s="1016"/>
      <c r="B115" s="991"/>
      <c r="C115" s="992"/>
      <c r="D115" s="993">
        <v>1.7914275600000001E-2</v>
      </c>
      <c r="E115" s="439" t="s">
        <v>102</v>
      </c>
      <c r="F115" s="423">
        <v>24.685871776800003</v>
      </c>
      <c r="G115" s="424"/>
      <c r="H115" s="425">
        <v>-5.597523885599994</v>
      </c>
      <c r="I115" s="439"/>
      <c r="J115" s="462">
        <v>-5.597523885599994</v>
      </c>
      <c r="K115" s="427">
        <v>0</v>
      </c>
      <c r="L115" s="442">
        <v>43508</v>
      </c>
      <c r="M115" s="998"/>
      <c r="N115" s="999"/>
      <c r="O115" s="995"/>
      <c r="P115" s="997"/>
      <c r="Q115" s="995"/>
      <c r="R115" s="996"/>
    </row>
    <row r="116" spans="1:18" hidden="1">
      <c r="A116" s="1016"/>
      <c r="B116" s="981" t="s">
        <v>424</v>
      </c>
      <c r="C116" s="982" t="s">
        <v>339</v>
      </c>
      <c r="D116" s="983">
        <v>2.8822000399999999E-2</v>
      </c>
      <c r="E116" s="439" t="s">
        <v>38</v>
      </c>
      <c r="F116" s="423">
        <v>69.057512958399997</v>
      </c>
      <c r="G116" s="465">
        <v>-108.84</v>
      </c>
      <c r="H116" s="425">
        <v>-39.782487041600007</v>
      </c>
      <c r="I116" s="439"/>
      <c r="J116" s="462">
        <v>-39.782487041600007</v>
      </c>
      <c r="K116" s="427">
        <v>0</v>
      </c>
      <c r="L116" s="456" t="s">
        <v>32</v>
      </c>
      <c r="M116" s="998">
        <v>108.77422950959999</v>
      </c>
      <c r="N116" s="999">
        <v>-108.84</v>
      </c>
      <c r="O116" s="995">
        <v>-6.5770490400012704E-2</v>
      </c>
      <c r="P116" s="997">
        <v>0</v>
      </c>
      <c r="Q116" s="995">
        <v>-6.5770490400012704E-2</v>
      </c>
      <c r="R116" s="996">
        <v>0</v>
      </c>
    </row>
    <row r="117" spans="1:18" hidden="1">
      <c r="A117" s="1016"/>
      <c r="B117" s="981"/>
      <c r="C117" s="982"/>
      <c r="D117" s="983">
        <v>2.8822000399999999E-2</v>
      </c>
      <c r="E117" s="439" t="s">
        <v>102</v>
      </c>
      <c r="F117" s="423">
        <v>39.716716551200001</v>
      </c>
      <c r="G117" s="424"/>
      <c r="H117" s="425">
        <v>-6.5770490400005599E-2</v>
      </c>
      <c r="I117" s="439"/>
      <c r="J117" s="462">
        <v>-6.5770490400005599E-2</v>
      </c>
      <c r="K117" s="427">
        <v>0</v>
      </c>
      <c r="L117" s="456" t="s">
        <v>32</v>
      </c>
      <c r="M117" s="998"/>
      <c r="N117" s="999"/>
      <c r="O117" s="995"/>
      <c r="P117" s="997"/>
      <c r="Q117" s="995"/>
      <c r="R117" s="996"/>
    </row>
    <row r="118" spans="1:18" hidden="1">
      <c r="A118" s="1016"/>
      <c r="B118" s="991" t="s">
        <v>340</v>
      </c>
      <c r="C118" s="992" t="s">
        <v>341</v>
      </c>
      <c r="D118" s="993">
        <v>2.7236206400000001E-2</v>
      </c>
      <c r="E118" s="439" t="s">
        <v>38</v>
      </c>
      <c r="F118" s="423">
        <v>65.257950534399995</v>
      </c>
      <c r="G118" s="441">
        <v>-93.686999999999998</v>
      </c>
      <c r="H118" s="425">
        <v>-28.429049465600002</v>
      </c>
      <c r="I118" s="439"/>
      <c r="J118" s="462">
        <v>-28.429049465600002</v>
      </c>
      <c r="K118" s="427">
        <v>0</v>
      </c>
      <c r="L118" s="456" t="s">
        <v>32</v>
      </c>
      <c r="M118" s="977">
        <v>102.7894429536</v>
      </c>
      <c r="N118" s="979">
        <v>-93.686999999999998</v>
      </c>
      <c r="O118" s="968">
        <v>9.1024429536000042</v>
      </c>
      <c r="P118" s="966">
        <v>0</v>
      </c>
      <c r="Q118" s="968">
        <v>9.1024429536000042</v>
      </c>
      <c r="R118" s="970">
        <v>0</v>
      </c>
    </row>
    <row r="119" spans="1:18" hidden="1">
      <c r="A119" s="1016"/>
      <c r="B119" s="991"/>
      <c r="C119" s="992"/>
      <c r="D119" s="993">
        <v>2.7236206400000001E-2</v>
      </c>
      <c r="E119" s="439" t="s">
        <v>102</v>
      </c>
      <c r="F119" s="423">
        <v>37.531492419199999</v>
      </c>
      <c r="G119" s="424"/>
      <c r="H119" s="425">
        <v>9.1024429535999971</v>
      </c>
      <c r="I119" s="439"/>
      <c r="J119" s="462">
        <v>9.1024429535999971</v>
      </c>
      <c r="K119" s="427">
        <v>0</v>
      </c>
      <c r="L119" s="456" t="s">
        <v>32</v>
      </c>
      <c r="M119" s="977"/>
      <c r="N119" s="979"/>
      <c r="O119" s="968"/>
      <c r="P119" s="966"/>
      <c r="Q119" s="968"/>
      <c r="R119" s="970"/>
    </row>
    <row r="120" spans="1:18" hidden="1">
      <c r="A120" s="1016"/>
      <c r="B120" s="972" t="s">
        <v>342</v>
      </c>
      <c r="C120" s="937" t="s">
        <v>343</v>
      </c>
      <c r="D120" s="975">
        <v>3.3778456999999998E-3</v>
      </c>
      <c r="E120" s="439" t="s">
        <v>38</v>
      </c>
      <c r="F120" s="423">
        <v>8.0933182971999997</v>
      </c>
      <c r="G120" s="424"/>
      <c r="H120" s="425">
        <v>8.0933182971999997</v>
      </c>
      <c r="I120" s="439"/>
      <c r="J120" s="462">
        <v>8.0933182971999997</v>
      </c>
      <c r="K120" s="427">
        <v>0</v>
      </c>
      <c r="L120" s="456" t="s">
        <v>32</v>
      </c>
      <c r="M120" s="977">
        <v>12.747989671799999</v>
      </c>
      <c r="N120" s="979">
        <v>0</v>
      </c>
      <c r="O120" s="968">
        <v>12.747989671799999</v>
      </c>
      <c r="P120" s="966">
        <v>0</v>
      </c>
      <c r="Q120" s="968">
        <v>12.747989671799999</v>
      </c>
      <c r="R120" s="970">
        <v>0</v>
      </c>
    </row>
    <row r="121" spans="1:18" hidden="1">
      <c r="A121" s="1016"/>
      <c r="B121" s="972"/>
      <c r="C121" s="937"/>
      <c r="D121" s="975">
        <v>3.3778456999999998E-3</v>
      </c>
      <c r="E121" s="439" t="s">
        <v>102</v>
      </c>
      <c r="F121" s="423">
        <v>4.6546713745999995</v>
      </c>
      <c r="G121" s="424"/>
      <c r="H121" s="425">
        <v>12.747989671799999</v>
      </c>
      <c r="I121" s="439"/>
      <c r="J121" s="462">
        <v>12.747989671799999</v>
      </c>
      <c r="K121" s="427">
        <v>0</v>
      </c>
      <c r="L121" s="456" t="s">
        <v>32</v>
      </c>
      <c r="M121" s="977"/>
      <c r="N121" s="979"/>
      <c r="O121" s="968"/>
      <c r="P121" s="966"/>
      <c r="Q121" s="968"/>
      <c r="R121" s="970"/>
    </row>
    <row r="122" spans="1:18" hidden="1">
      <c r="A122" s="1016"/>
      <c r="B122" s="991" t="s">
        <v>344</v>
      </c>
      <c r="C122" s="992" t="s">
        <v>345</v>
      </c>
      <c r="D122" s="993">
        <v>6.1819585999999998E-3</v>
      </c>
      <c r="E122" s="439" t="s">
        <v>38</v>
      </c>
      <c r="F122" s="423">
        <v>14.8119728056</v>
      </c>
      <c r="G122" s="441">
        <v>-23.331</v>
      </c>
      <c r="H122" s="425">
        <v>-8.5190271943999996</v>
      </c>
      <c r="I122" s="439"/>
      <c r="J122" s="462">
        <v>-8.5190271943999996</v>
      </c>
      <c r="K122" s="427">
        <v>0</v>
      </c>
      <c r="L122" s="442">
        <v>43508</v>
      </c>
      <c r="M122" s="984">
        <v>23.3307117564</v>
      </c>
      <c r="N122" s="994">
        <v>-23.331</v>
      </c>
      <c r="O122" s="985">
        <v>-2.8824360000001548E-4</v>
      </c>
      <c r="P122" s="990">
        <v>0</v>
      </c>
      <c r="Q122" s="985">
        <v>-2.8824360000001548E-4</v>
      </c>
      <c r="R122" s="986">
        <v>0</v>
      </c>
    </row>
    <row r="123" spans="1:18" hidden="1">
      <c r="A123" s="1016"/>
      <c r="B123" s="991"/>
      <c r="C123" s="992"/>
      <c r="D123" s="993">
        <v>6.1819585999999998E-3</v>
      </c>
      <c r="E123" s="439" t="s">
        <v>102</v>
      </c>
      <c r="F123" s="423">
        <v>8.5187389507999995</v>
      </c>
      <c r="G123" s="424"/>
      <c r="H123" s="425">
        <v>-2.8824360000001548E-4</v>
      </c>
      <c r="I123" s="439"/>
      <c r="J123" s="462">
        <v>-2.8824360000001548E-4</v>
      </c>
      <c r="K123" s="427">
        <v>0</v>
      </c>
      <c r="L123" s="442">
        <v>43508</v>
      </c>
      <c r="M123" s="984"/>
      <c r="N123" s="994"/>
      <c r="O123" s="985"/>
      <c r="P123" s="990"/>
      <c r="Q123" s="985"/>
      <c r="R123" s="986"/>
    </row>
    <row r="124" spans="1:18" hidden="1">
      <c r="A124" s="1016"/>
      <c r="B124" s="991" t="s">
        <v>346</v>
      </c>
      <c r="C124" s="992" t="s">
        <v>347</v>
      </c>
      <c r="D124" s="993">
        <v>5.6303055000000001E-3</v>
      </c>
      <c r="E124" s="439" t="s">
        <v>38</v>
      </c>
      <c r="F124" s="423">
        <v>13.490211978</v>
      </c>
      <c r="G124" s="441">
        <v>-21.248999999999999</v>
      </c>
      <c r="H124" s="425">
        <v>-7.7587880219999992</v>
      </c>
      <c r="I124" s="439"/>
      <c r="J124" s="462">
        <v>-7.7587880219999992</v>
      </c>
      <c r="K124" s="427">
        <v>0</v>
      </c>
      <c r="L124" s="442">
        <v>43508</v>
      </c>
      <c r="M124" s="984">
        <v>21.248772957</v>
      </c>
      <c r="N124" s="994">
        <v>-21.248999999999999</v>
      </c>
      <c r="O124" s="985">
        <v>-2.2704299999887212E-4</v>
      </c>
      <c r="P124" s="990">
        <v>0</v>
      </c>
      <c r="Q124" s="985">
        <v>-2.2704299999887212E-4</v>
      </c>
      <c r="R124" s="986">
        <v>0</v>
      </c>
    </row>
    <row r="125" spans="1:18" hidden="1">
      <c r="A125" s="1016"/>
      <c r="B125" s="991"/>
      <c r="C125" s="992"/>
      <c r="D125" s="993">
        <v>5.6303055000000001E-3</v>
      </c>
      <c r="E125" s="439" t="s">
        <v>102</v>
      </c>
      <c r="F125" s="423">
        <v>7.7585609790000003</v>
      </c>
      <c r="G125" s="424"/>
      <c r="H125" s="425">
        <v>-2.2704299999887212E-4</v>
      </c>
      <c r="I125" s="439"/>
      <c r="J125" s="462">
        <v>-2.2704299999887212E-4</v>
      </c>
      <c r="K125" s="427">
        <v>0</v>
      </c>
      <c r="L125" s="442">
        <v>43508</v>
      </c>
      <c r="M125" s="984"/>
      <c r="N125" s="994"/>
      <c r="O125" s="985"/>
      <c r="P125" s="990"/>
      <c r="Q125" s="985"/>
      <c r="R125" s="986"/>
    </row>
    <row r="126" spans="1:18">
      <c r="A126" s="1016"/>
      <c r="B126" s="987" t="s">
        <v>348</v>
      </c>
      <c r="C126" s="946" t="s">
        <v>349</v>
      </c>
      <c r="D126" s="989">
        <v>1.3602421E-3</v>
      </c>
      <c r="E126" s="439" t="s">
        <v>38</v>
      </c>
      <c r="F126" s="423">
        <v>3.2591400716000001</v>
      </c>
      <c r="G126" s="453">
        <v>-5.133</v>
      </c>
      <c r="H126" s="425">
        <v>-1.8738599283999999</v>
      </c>
      <c r="I126" s="439"/>
      <c r="J126" s="462">
        <v>-1.8738599283999999</v>
      </c>
      <c r="K126" s="427">
        <v>0</v>
      </c>
      <c r="L126" s="455">
        <v>43508</v>
      </c>
      <c r="M126" s="977">
        <v>5.1335536853999999</v>
      </c>
      <c r="N126" s="979">
        <v>-5.133</v>
      </c>
      <c r="O126" s="968">
        <v>5.5368539999989252E-4</v>
      </c>
      <c r="P126" s="966">
        <v>0</v>
      </c>
      <c r="Q126" s="968">
        <v>5.5368539999989252E-4</v>
      </c>
      <c r="R126" s="970">
        <v>0</v>
      </c>
    </row>
    <row r="127" spans="1:18">
      <c r="A127" s="1016"/>
      <c r="B127" s="988"/>
      <c r="C127" s="946"/>
      <c r="D127" s="989">
        <v>1.3602421E-3</v>
      </c>
      <c r="E127" s="439" t="s">
        <v>102</v>
      </c>
      <c r="F127" s="423">
        <v>1.8744136138</v>
      </c>
      <c r="G127" s="424"/>
      <c r="H127" s="425">
        <v>5.5368540000011457E-4</v>
      </c>
      <c r="I127" s="439"/>
      <c r="J127" s="462">
        <v>5.5368540000011457E-4</v>
      </c>
      <c r="K127" s="427">
        <v>0</v>
      </c>
      <c r="L127" s="455">
        <v>43508</v>
      </c>
      <c r="M127" s="977"/>
      <c r="N127" s="979"/>
      <c r="O127" s="968"/>
      <c r="P127" s="966"/>
      <c r="Q127" s="968"/>
      <c r="R127" s="970"/>
    </row>
    <row r="128" spans="1:18" hidden="1">
      <c r="A128" s="1016"/>
      <c r="B128" s="972" t="s">
        <v>350</v>
      </c>
      <c r="C128" s="937" t="s">
        <v>351</v>
      </c>
      <c r="D128" s="975">
        <v>1.7838174E-3</v>
      </c>
      <c r="E128" s="439" t="s">
        <v>38</v>
      </c>
      <c r="F128" s="423">
        <v>4.2740264903999998</v>
      </c>
      <c r="G128" s="445"/>
      <c r="H128" s="425">
        <v>4.2740264903999998</v>
      </c>
      <c r="I128" s="439"/>
      <c r="J128" s="462">
        <v>4.2740264903999998</v>
      </c>
      <c r="K128" s="427">
        <v>0</v>
      </c>
      <c r="L128" s="456" t="s">
        <v>32</v>
      </c>
      <c r="M128" s="977">
        <v>6.7321268675999999</v>
      </c>
      <c r="N128" s="979">
        <v>0</v>
      </c>
      <c r="O128" s="968">
        <v>6.7321268675999999</v>
      </c>
      <c r="P128" s="966">
        <v>0</v>
      </c>
      <c r="Q128" s="968">
        <v>6.7321268675999999</v>
      </c>
      <c r="R128" s="970">
        <v>0</v>
      </c>
    </row>
    <row r="129" spans="1:18" hidden="1">
      <c r="A129" s="1016"/>
      <c r="B129" s="972"/>
      <c r="C129" s="937"/>
      <c r="D129" s="975">
        <v>1.7838174E-3</v>
      </c>
      <c r="E129" s="439" t="s">
        <v>102</v>
      </c>
      <c r="F129" s="423">
        <v>2.4581003772000001</v>
      </c>
      <c r="G129" s="445"/>
      <c r="H129" s="425">
        <v>6.7321268675999999</v>
      </c>
      <c r="I129" s="439"/>
      <c r="J129" s="462">
        <v>6.7321268675999999</v>
      </c>
      <c r="K129" s="427">
        <v>0</v>
      </c>
      <c r="L129" s="456" t="s">
        <v>32</v>
      </c>
      <c r="M129" s="977"/>
      <c r="N129" s="979"/>
      <c r="O129" s="968"/>
      <c r="P129" s="966"/>
      <c r="Q129" s="968"/>
      <c r="R129" s="970"/>
    </row>
    <row r="130" spans="1:18" hidden="1">
      <c r="A130" s="1016"/>
      <c r="B130" s="972" t="s">
        <v>352</v>
      </c>
      <c r="C130" s="937" t="s">
        <v>353</v>
      </c>
      <c r="D130" s="975">
        <v>4.2194629999999997E-3</v>
      </c>
      <c r="E130" s="439" t="s">
        <v>38</v>
      </c>
      <c r="F130" s="423">
        <v>10.109833347999999</v>
      </c>
      <c r="G130" s="424"/>
      <c r="H130" s="425">
        <v>10.109833347999999</v>
      </c>
      <c r="I130" s="439"/>
      <c r="J130" s="462">
        <v>10.109833347999999</v>
      </c>
      <c r="K130" s="427">
        <v>0</v>
      </c>
      <c r="L130" s="456" t="s">
        <v>32</v>
      </c>
      <c r="M130" s="977">
        <v>15.924253361999998</v>
      </c>
      <c r="N130" s="979">
        <v>0</v>
      </c>
      <c r="O130" s="968">
        <v>15.924253361999998</v>
      </c>
      <c r="P130" s="966">
        <v>0</v>
      </c>
      <c r="Q130" s="968">
        <v>15.924253361999998</v>
      </c>
      <c r="R130" s="970">
        <v>0</v>
      </c>
    </row>
    <row r="131" spans="1:18" hidden="1">
      <c r="A131" s="1016"/>
      <c r="B131" s="972"/>
      <c r="C131" s="937"/>
      <c r="D131" s="975">
        <v>4.2194629999999997E-3</v>
      </c>
      <c r="E131" s="439" t="s">
        <v>102</v>
      </c>
      <c r="F131" s="423">
        <v>5.8144200139999995</v>
      </c>
      <c r="G131" s="424"/>
      <c r="H131" s="425">
        <v>15.924253361999998</v>
      </c>
      <c r="I131" s="439"/>
      <c r="J131" s="462">
        <v>15.924253361999998</v>
      </c>
      <c r="K131" s="427">
        <v>0</v>
      </c>
      <c r="L131" s="456" t="s">
        <v>32</v>
      </c>
      <c r="M131" s="977"/>
      <c r="N131" s="979"/>
      <c r="O131" s="968"/>
      <c r="P131" s="966"/>
      <c r="Q131" s="968"/>
      <c r="R131" s="970"/>
    </row>
    <row r="132" spans="1:18" hidden="1">
      <c r="A132" s="1016"/>
      <c r="B132" s="981" t="s">
        <v>354</v>
      </c>
      <c r="C132" s="982" t="s">
        <v>423</v>
      </c>
      <c r="D132" s="983">
        <v>9.70231E-4</v>
      </c>
      <c r="E132" s="439" t="s">
        <v>38</v>
      </c>
      <c r="F132" s="423">
        <v>2.3246734760000001</v>
      </c>
      <c r="G132" s="465">
        <v>-3.6619999999999999</v>
      </c>
      <c r="H132" s="425">
        <v>-1.3373265239999998</v>
      </c>
      <c r="I132" s="439"/>
      <c r="J132" s="462">
        <v>-1.3373265239999998</v>
      </c>
      <c r="K132" s="427">
        <v>0</v>
      </c>
      <c r="L132" s="456" t="s">
        <v>32</v>
      </c>
      <c r="M132" s="984">
        <v>3.661651794</v>
      </c>
      <c r="N132" s="979">
        <v>-3.6619999999999999</v>
      </c>
      <c r="O132" s="968">
        <v>-3.4820599999996205E-4</v>
      </c>
      <c r="P132" s="966">
        <v>0</v>
      </c>
      <c r="Q132" s="968">
        <v>-3.4820599999996205E-4</v>
      </c>
      <c r="R132" s="970">
        <v>0</v>
      </c>
    </row>
    <row r="133" spans="1:18" hidden="1">
      <c r="A133" s="1016"/>
      <c r="B133" s="981"/>
      <c r="C133" s="982"/>
      <c r="D133" s="983">
        <v>9.70231E-4</v>
      </c>
      <c r="E133" s="439" t="s">
        <v>102</v>
      </c>
      <c r="F133" s="423">
        <v>1.3369783180000001</v>
      </c>
      <c r="G133" s="424"/>
      <c r="H133" s="425">
        <v>-3.4820599999974E-4</v>
      </c>
      <c r="I133" s="439"/>
      <c r="J133" s="462">
        <v>-3.4820599999974E-4</v>
      </c>
      <c r="K133" s="427">
        <v>0</v>
      </c>
      <c r="L133" s="456" t="s">
        <v>32</v>
      </c>
      <c r="M133" s="984"/>
      <c r="N133" s="979"/>
      <c r="O133" s="968"/>
      <c r="P133" s="966"/>
      <c r="Q133" s="968"/>
      <c r="R133" s="970"/>
    </row>
    <row r="134" spans="1:18" hidden="1">
      <c r="A134" s="1016"/>
      <c r="B134" s="972" t="s">
        <v>355</v>
      </c>
      <c r="C134" s="937"/>
      <c r="D134" s="975">
        <v>1.729895E-3</v>
      </c>
      <c r="E134" s="439" t="s">
        <v>38</v>
      </c>
      <c r="F134" s="423">
        <v>4.1448284199999996</v>
      </c>
      <c r="G134" s="424"/>
      <c r="H134" s="425">
        <v>4.1448284199999996</v>
      </c>
      <c r="I134" s="466">
        <v>1.308888888888889</v>
      </c>
      <c r="J134" s="462">
        <v>2.8359395311111104</v>
      </c>
      <c r="K134" s="427">
        <v>0.3157884371215755</v>
      </c>
      <c r="L134" s="456" t="s">
        <v>32</v>
      </c>
      <c r="M134" s="977">
        <v>6.5286237299999996</v>
      </c>
      <c r="N134" s="979">
        <v>0</v>
      </c>
      <c r="O134" s="968">
        <v>6.5286237299999996</v>
      </c>
      <c r="P134" s="966">
        <v>1.308888888888889</v>
      </c>
      <c r="Q134" s="968">
        <v>5.2197348411111104</v>
      </c>
      <c r="R134" s="970">
        <v>0.20048465695370823</v>
      </c>
    </row>
    <row r="135" spans="1:18" hidden="1">
      <c r="A135" s="1016"/>
      <c r="B135" s="972"/>
      <c r="C135" s="937"/>
      <c r="D135" s="975">
        <v>1.729895E-3</v>
      </c>
      <c r="E135" s="439" t="s">
        <v>102</v>
      </c>
      <c r="F135" s="423">
        <v>2.38379531</v>
      </c>
      <c r="G135" s="424"/>
      <c r="H135" s="425">
        <v>5.2197348411111104</v>
      </c>
      <c r="I135" s="467"/>
      <c r="J135" s="462">
        <v>5.2197348411111104</v>
      </c>
      <c r="K135" s="427">
        <v>0</v>
      </c>
      <c r="L135" s="456" t="s">
        <v>32</v>
      </c>
      <c r="M135" s="977"/>
      <c r="N135" s="979"/>
      <c r="O135" s="968"/>
      <c r="P135" s="966"/>
      <c r="Q135" s="968"/>
      <c r="R135" s="970"/>
    </row>
    <row r="136" spans="1:18" hidden="1">
      <c r="A136" s="1016"/>
      <c r="B136" s="972" t="s">
        <v>356</v>
      </c>
      <c r="C136" s="937"/>
      <c r="D136" s="975">
        <v>1.1470409999999999E-3</v>
      </c>
      <c r="E136" s="439" t="s">
        <v>38</v>
      </c>
      <c r="F136" s="423">
        <v>2.7483102359999996</v>
      </c>
      <c r="G136" s="424"/>
      <c r="H136" s="425">
        <v>2.7483102359999996</v>
      </c>
      <c r="I136" s="466">
        <v>0.27</v>
      </c>
      <c r="J136" s="462">
        <v>2.4783102359999996</v>
      </c>
      <c r="K136" s="427">
        <v>9.8242184038498062E-2</v>
      </c>
      <c r="L136" s="456" t="s">
        <v>32</v>
      </c>
      <c r="M136" s="977">
        <v>4.3289327339999994</v>
      </c>
      <c r="N136" s="979">
        <v>0</v>
      </c>
      <c r="O136" s="968">
        <v>4.3289327339999994</v>
      </c>
      <c r="P136" s="966">
        <v>0.27</v>
      </c>
      <c r="Q136" s="968">
        <v>4.058932733999999</v>
      </c>
      <c r="R136" s="970">
        <v>6.2371031519936768E-2</v>
      </c>
    </row>
    <row r="137" spans="1:18" hidden="1">
      <c r="A137" s="1016"/>
      <c r="B137" s="972"/>
      <c r="C137" s="937"/>
      <c r="D137" s="975">
        <v>1.729895E-3</v>
      </c>
      <c r="E137" s="439" t="s">
        <v>102</v>
      </c>
      <c r="F137" s="423">
        <v>1.5806224979999999</v>
      </c>
      <c r="G137" s="424"/>
      <c r="H137" s="425">
        <v>4.058932733999999</v>
      </c>
      <c r="I137" s="467"/>
      <c r="J137" s="462">
        <v>4.058932733999999</v>
      </c>
      <c r="K137" s="427">
        <v>0</v>
      </c>
      <c r="L137" s="456" t="s">
        <v>32</v>
      </c>
      <c r="M137" s="977"/>
      <c r="N137" s="979"/>
      <c r="O137" s="968"/>
      <c r="P137" s="966"/>
      <c r="Q137" s="968"/>
      <c r="R137" s="970"/>
    </row>
    <row r="138" spans="1:18" hidden="1">
      <c r="A138" s="1016"/>
      <c r="B138" s="972" t="s">
        <v>357</v>
      </c>
      <c r="C138" s="937"/>
      <c r="D138" s="975">
        <v>8.2242600000000002E-4</v>
      </c>
      <c r="E138" s="439" t="s">
        <v>38</v>
      </c>
      <c r="F138" s="423">
        <v>1.970532696</v>
      </c>
      <c r="G138" s="424"/>
      <c r="H138" s="425">
        <v>1.970532696</v>
      </c>
      <c r="I138" s="467">
        <v>1.111</v>
      </c>
      <c r="J138" s="462">
        <v>0.85953269600000004</v>
      </c>
      <c r="K138" s="427">
        <v>0.56380693517810065</v>
      </c>
      <c r="L138" s="456" t="s">
        <v>32</v>
      </c>
      <c r="M138" s="977">
        <v>3.1038357240000001</v>
      </c>
      <c r="N138" s="979">
        <v>0</v>
      </c>
      <c r="O138" s="968">
        <v>3.1038357240000001</v>
      </c>
      <c r="P138" s="966">
        <v>1.111</v>
      </c>
      <c r="Q138" s="968">
        <v>1.9928357240000001</v>
      </c>
      <c r="R138" s="970">
        <v>0.35794420155981166</v>
      </c>
    </row>
    <row r="139" spans="1:18" hidden="1">
      <c r="A139" s="1017"/>
      <c r="B139" s="973"/>
      <c r="C139" s="974"/>
      <c r="D139" s="976">
        <v>8.2242600000000002E-4</v>
      </c>
      <c r="E139" s="440" t="s">
        <v>102</v>
      </c>
      <c r="F139" s="430">
        <v>1.133303028</v>
      </c>
      <c r="G139" s="436"/>
      <c r="H139" s="433">
        <v>1.9928357240000001</v>
      </c>
      <c r="I139" s="468"/>
      <c r="J139" s="469">
        <v>1.9928357240000001</v>
      </c>
      <c r="K139" s="438">
        <v>0</v>
      </c>
      <c r="L139" s="456" t="s">
        <v>32</v>
      </c>
      <c r="M139" s="978"/>
      <c r="N139" s="980"/>
      <c r="O139" s="969"/>
      <c r="P139" s="967"/>
      <c r="Q139" s="969"/>
      <c r="R139" s="971"/>
    </row>
    <row r="140" spans="1:18" hidden="1">
      <c r="A140" s="961" t="s">
        <v>359</v>
      </c>
      <c r="B140" s="964" t="s">
        <v>360</v>
      </c>
      <c r="C140" s="964">
        <v>4313</v>
      </c>
      <c r="D140" s="965">
        <v>8.0575730999999998E-3</v>
      </c>
      <c r="E140" s="449" t="s">
        <v>38</v>
      </c>
      <c r="F140" s="470">
        <v>19.305945147599999</v>
      </c>
      <c r="G140" s="417"/>
      <c r="H140" s="418">
        <v>19.305945147599999</v>
      </c>
      <c r="I140" s="449"/>
      <c r="J140" s="461">
        <v>19.305945147599999</v>
      </c>
      <c r="K140" s="471">
        <v>0</v>
      </c>
      <c r="L140" s="472" t="s">
        <v>32</v>
      </c>
      <c r="M140" s="941">
        <v>30.409280879400001</v>
      </c>
      <c r="N140" s="934">
        <v>0</v>
      </c>
      <c r="O140" s="934">
        <v>30.409280879400001</v>
      </c>
      <c r="P140" s="934">
        <v>0</v>
      </c>
      <c r="Q140" s="934">
        <v>30.409280879400001</v>
      </c>
      <c r="R140" s="932">
        <v>0</v>
      </c>
    </row>
    <row r="141" spans="1:18" hidden="1">
      <c r="A141" s="962"/>
      <c r="B141" s="935"/>
      <c r="C141" s="935"/>
      <c r="D141" s="939">
        <v>8.0575730999999998E-3</v>
      </c>
      <c r="E141" s="439" t="s">
        <v>102</v>
      </c>
      <c r="F141" s="473">
        <v>11.1033357318</v>
      </c>
      <c r="G141" s="424"/>
      <c r="H141" s="425">
        <v>30.409280879400001</v>
      </c>
      <c r="I141" s="439"/>
      <c r="J141" s="462">
        <v>30.409280879400001</v>
      </c>
      <c r="K141" s="474">
        <v>0</v>
      </c>
      <c r="L141" s="456" t="s">
        <v>32</v>
      </c>
      <c r="M141" s="941"/>
      <c r="N141" s="934"/>
      <c r="O141" s="934"/>
      <c r="P141" s="934"/>
      <c r="Q141" s="934"/>
      <c r="R141" s="932"/>
    </row>
    <row r="142" spans="1:18" hidden="1">
      <c r="A142" s="962"/>
      <c r="B142" s="935" t="s">
        <v>361</v>
      </c>
      <c r="C142" s="935">
        <v>4410</v>
      </c>
      <c r="D142" s="939">
        <v>9.2118057000000007E-3</v>
      </c>
      <c r="E142" s="439" t="s">
        <v>38</v>
      </c>
      <c r="F142" s="473">
        <v>22.071486457200002</v>
      </c>
      <c r="G142" s="424"/>
      <c r="H142" s="425">
        <v>22.071486457200002</v>
      </c>
      <c r="I142" s="439"/>
      <c r="J142" s="462">
        <v>22.071486457200002</v>
      </c>
      <c r="K142" s="474">
        <v>0</v>
      </c>
      <c r="L142" s="456" t="s">
        <v>32</v>
      </c>
      <c r="M142" s="941">
        <v>34.765354711800001</v>
      </c>
      <c r="N142" s="934">
        <v>0</v>
      </c>
      <c r="O142" s="934">
        <v>34.765354711800001</v>
      </c>
      <c r="P142" s="934">
        <v>0</v>
      </c>
      <c r="Q142" s="934">
        <v>34.765354711800001</v>
      </c>
      <c r="R142" s="932">
        <v>0</v>
      </c>
    </row>
    <row r="143" spans="1:18" hidden="1">
      <c r="A143" s="962"/>
      <c r="B143" s="935"/>
      <c r="C143" s="935"/>
      <c r="D143" s="939">
        <v>9.2118057000000007E-3</v>
      </c>
      <c r="E143" s="439" t="s">
        <v>102</v>
      </c>
      <c r="F143" s="473">
        <v>12.693868254600002</v>
      </c>
      <c r="G143" s="424"/>
      <c r="H143" s="425">
        <v>34.765354711800001</v>
      </c>
      <c r="I143" s="439"/>
      <c r="J143" s="462">
        <v>34.765354711800001</v>
      </c>
      <c r="K143" s="474">
        <v>0</v>
      </c>
      <c r="L143" s="456" t="s">
        <v>32</v>
      </c>
      <c r="M143" s="941"/>
      <c r="N143" s="934"/>
      <c r="O143" s="934"/>
      <c r="P143" s="934"/>
      <c r="Q143" s="934"/>
      <c r="R143" s="932"/>
    </row>
    <row r="144" spans="1:18" hidden="1">
      <c r="A144" s="962"/>
      <c r="B144" s="935" t="s">
        <v>362</v>
      </c>
      <c r="C144" s="935" t="s">
        <v>363</v>
      </c>
      <c r="D144" s="939">
        <v>2.52421127E-2</v>
      </c>
      <c r="E144" s="439" t="s">
        <v>38</v>
      </c>
      <c r="F144" s="473">
        <v>60.480102029199998</v>
      </c>
      <c r="G144" s="424"/>
      <c r="H144" s="425">
        <v>60.480102029199998</v>
      </c>
      <c r="I144" s="439">
        <v>1.7310000000000001</v>
      </c>
      <c r="J144" s="462">
        <v>58.749102029199996</v>
      </c>
      <c r="K144" s="474">
        <v>2.8620983462697657E-2</v>
      </c>
      <c r="L144" s="456" t="s">
        <v>32</v>
      </c>
      <c r="M144" s="941">
        <v>95.263733329800004</v>
      </c>
      <c r="N144" s="934">
        <v>0</v>
      </c>
      <c r="O144" s="934">
        <v>95.263733329800004</v>
      </c>
      <c r="P144" s="934">
        <v>1.7310000000000001</v>
      </c>
      <c r="Q144" s="934">
        <v>93.53273332980001</v>
      </c>
      <c r="R144" s="932">
        <v>1.8170608472873231E-2</v>
      </c>
    </row>
    <row r="145" spans="1:18" hidden="1">
      <c r="A145" s="962"/>
      <c r="B145" s="935"/>
      <c r="C145" s="935"/>
      <c r="D145" s="939">
        <v>2.52421127E-2</v>
      </c>
      <c r="E145" s="439" t="s">
        <v>102</v>
      </c>
      <c r="F145" s="473">
        <v>34.7836313006</v>
      </c>
      <c r="G145" s="424"/>
      <c r="H145" s="425">
        <v>93.532733329799996</v>
      </c>
      <c r="I145" s="439"/>
      <c r="J145" s="462">
        <v>93.532733329799996</v>
      </c>
      <c r="K145" s="474">
        <v>0</v>
      </c>
      <c r="L145" s="456" t="s">
        <v>32</v>
      </c>
      <c r="M145" s="941"/>
      <c r="N145" s="934"/>
      <c r="O145" s="934"/>
      <c r="P145" s="934"/>
      <c r="Q145" s="934"/>
      <c r="R145" s="932"/>
    </row>
    <row r="146" spans="1:18" hidden="1">
      <c r="A146" s="962"/>
      <c r="B146" s="959" t="s">
        <v>425</v>
      </c>
      <c r="C146" s="959" t="s">
        <v>364</v>
      </c>
      <c r="D146" s="960">
        <v>9.2013249999999998E-3</v>
      </c>
      <c r="E146" s="439" t="s">
        <v>38</v>
      </c>
      <c r="F146" s="473">
        <v>22.046374700000001</v>
      </c>
      <c r="G146" s="465">
        <v>-34.725000000000001</v>
      </c>
      <c r="H146" s="425">
        <v>-12.6786253</v>
      </c>
      <c r="I146" s="439"/>
      <c r="J146" s="462">
        <v>-12.6786253</v>
      </c>
      <c r="K146" s="474">
        <v>0</v>
      </c>
      <c r="L146" s="456" t="s">
        <v>32</v>
      </c>
      <c r="M146" s="941">
        <v>34.725800550000002</v>
      </c>
      <c r="N146" s="934">
        <v>-34.725000000000001</v>
      </c>
      <c r="O146" s="934">
        <v>8.0055000000101018E-4</v>
      </c>
      <c r="P146" s="934">
        <v>0</v>
      </c>
      <c r="Q146" s="934">
        <v>8.0055000000101018E-4</v>
      </c>
      <c r="R146" s="932">
        <v>0</v>
      </c>
    </row>
    <row r="147" spans="1:18" hidden="1">
      <c r="A147" s="962"/>
      <c r="B147" s="959"/>
      <c r="C147" s="959"/>
      <c r="D147" s="960">
        <v>9.2013249999999998E-3</v>
      </c>
      <c r="E147" s="439" t="s">
        <v>102</v>
      </c>
      <c r="F147" s="473">
        <v>12.679425849999999</v>
      </c>
      <c r="G147" s="424"/>
      <c r="H147" s="425">
        <v>8.0054999999923382E-4</v>
      </c>
      <c r="I147" s="439"/>
      <c r="J147" s="462">
        <v>8.0054999999923382E-4</v>
      </c>
      <c r="K147" s="474">
        <v>0</v>
      </c>
      <c r="L147" s="456" t="s">
        <v>32</v>
      </c>
      <c r="M147" s="941"/>
      <c r="N147" s="934"/>
      <c r="O147" s="934"/>
      <c r="P147" s="934"/>
      <c r="Q147" s="934"/>
      <c r="R147" s="932"/>
    </row>
    <row r="148" spans="1:18" hidden="1">
      <c r="A148" s="962"/>
      <c r="B148" s="954" t="s">
        <v>435</v>
      </c>
      <c r="C148" s="955" t="s">
        <v>365</v>
      </c>
      <c r="D148" s="956">
        <v>2.11414194E-2</v>
      </c>
      <c r="E148" s="439" t="s">
        <v>38</v>
      </c>
      <c r="F148" s="470">
        <v>50.654840882400002</v>
      </c>
      <c r="G148" s="453">
        <v>-61.341999999999999</v>
      </c>
      <c r="H148" s="418">
        <v>-10.687159117599997</v>
      </c>
      <c r="I148" s="449"/>
      <c r="J148" s="461">
        <v>-10.687159117599997</v>
      </c>
      <c r="K148" s="471">
        <v>0</v>
      </c>
      <c r="L148" s="456" t="s">
        <v>32</v>
      </c>
      <c r="M148" s="957">
        <v>79.787716815600007</v>
      </c>
      <c r="N148" s="958">
        <v>-61.341999999999999</v>
      </c>
      <c r="O148" s="958">
        <v>18.445716815600008</v>
      </c>
      <c r="P148" s="958">
        <v>0</v>
      </c>
      <c r="Q148" s="958">
        <v>18.445716815600008</v>
      </c>
      <c r="R148" s="951">
        <v>0</v>
      </c>
    </row>
    <row r="149" spans="1:18" hidden="1">
      <c r="A149" s="962"/>
      <c r="B149" s="945"/>
      <c r="C149" s="946"/>
      <c r="D149" s="947"/>
      <c r="E149" s="439" t="s">
        <v>102</v>
      </c>
      <c r="F149" s="473">
        <v>29.132875933200001</v>
      </c>
      <c r="G149" s="424"/>
      <c r="H149" s="425">
        <v>18.445716815600004</v>
      </c>
      <c r="I149" s="439"/>
      <c r="J149" s="462">
        <v>18.445716815600004</v>
      </c>
      <c r="K149" s="474">
        <v>0</v>
      </c>
      <c r="L149" s="456" t="s">
        <v>32</v>
      </c>
      <c r="M149" s="941"/>
      <c r="N149" s="934"/>
      <c r="O149" s="934"/>
      <c r="P149" s="934"/>
      <c r="Q149" s="934"/>
      <c r="R149" s="932"/>
    </row>
    <row r="150" spans="1:18" hidden="1">
      <c r="A150" s="962"/>
      <c r="B150" s="952" t="s">
        <v>434</v>
      </c>
      <c r="C150" s="952" t="s">
        <v>366</v>
      </c>
      <c r="D150" s="953">
        <v>3.1669227299999998E-2</v>
      </c>
      <c r="E150" s="439" t="s">
        <v>38</v>
      </c>
      <c r="F150" s="473">
        <v>75.879468610799989</v>
      </c>
      <c r="G150" s="441">
        <v>-119.51900000000001</v>
      </c>
      <c r="H150" s="425">
        <v>-43.639531389200016</v>
      </c>
      <c r="I150" s="439"/>
      <c r="J150" s="462">
        <v>-43.639531389200016</v>
      </c>
      <c r="K150" s="474">
        <v>0</v>
      </c>
      <c r="L150" s="442">
        <v>43508</v>
      </c>
      <c r="M150" s="941">
        <v>119.51966383019999</v>
      </c>
      <c r="N150" s="934">
        <v>-119.51900000000001</v>
      </c>
      <c r="O150" s="934">
        <v>6.6383019998283999E-4</v>
      </c>
      <c r="P150" s="934">
        <v>0</v>
      </c>
      <c r="Q150" s="934">
        <v>6.6383019998283999E-4</v>
      </c>
      <c r="R150" s="932">
        <v>0</v>
      </c>
    </row>
    <row r="151" spans="1:18" hidden="1">
      <c r="A151" s="962"/>
      <c r="B151" s="952"/>
      <c r="C151" s="952"/>
      <c r="D151" s="953">
        <v>3.1669227299999998E-2</v>
      </c>
      <c r="E151" s="439" t="s">
        <v>102</v>
      </c>
      <c r="F151" s="473">
        <v>43.640195219399999</v>
      </c>
      <c r="G151" s="424"/>
      <c r="H151" s="425">
        <v>6.6383019998283999E-4</v>
      </c>
      <c r="I151" s="439"/>
      <c r="J151" s="462">
        <v>6.6383019998283999E-4</v>
      </c>
      <c r="K151" s="474">
        <v>0</v>
      </c>
      <c r="L151" s="442">
        <v>43508</v>
      </c>
      <c r="M151" s="941"/>
      <c r="N151" s="934"/>
      <c r="O151" s="934"/>
      <c r="P151" s="934"/>
      <c r="Q151" s="934"/>
      <c r="R151" s="932"/>
    </row>
    <row r="152" spans="1:18">
      <c r="A152" s="962"/>
      <c r="B152" s="944" t="s">
        <v>385</v>
      </c>
      <c r="C152" s="945" t="s">
        <v>367</v>
      </c>
      <c r="D152" s="947">
        <v>6.9147745E-3</v>
      </c>
      <c r="E152" s="439" t="s">
        <v>38</v>
      </c>
      <c r="F152" s="473">
        <v>16.567799701999999</v>
      </c>
      <c r="G152" s="453">
        <v>-26.097000000000001</v>
      </c>
      <c r="H152" s="425">
        <v>-9.5292002980000028</v>
      </c>
      <c r="I152" s="439"/>
      <c r="J152" s="462">
        <v>-9.5292002980000028</v>
      </c>
      <c r="K152" s="474">
        <v>0</v>
      </c>
      <c r="L152" s="455">
        <v>43508</v>
      </c>
      <c r="M152" s="949">
        <v>26.096358963</v>
      </c>
      <c r="N152" s="950">
        <v>-26.097000000000001</v>
      </c>
      <c r="O152" s="950">
        <v>-6.4103700000117669E-4</v>
      </c>
      <c r="P152" s="950">
        <v>0</v>
      </c>
      <c r="Q152" s="950">
        <v>-6.4103700000117669E-4</v>
      </c>
      <c r="R152" s="948">
        <v>0</v>
      </c>
    </row>
    <row r="153" spans="1:18">
      <c r="A153" s="962"/>
      <c r="B153" s="944"/>
      <c r="C153" s="945"/>
      <c r="D153" s="947">
        <v>6.9147745E-3</v>
      </c>
      <c r="E153" s="439" t="s">
        <v>102</v>
      </c>
      <c r="F153" s="473">
        <v>9.5285592609999998</v>
      </c>
      <c r="G153" s="424"/>
      <c r="H153" s="425">
        <v>-6.4103700000295305E-4</v>
      </c>
      <c r="I153" s="439"/>
      <c r="J153" s="462">
        <v>-6.4103700000295305E-4</v>
      </c>
      <c r="K153" s="474">
        <v>0</v>
      </c>
      <c r="L153" s="455">
        <v>43508</v>
      </c>
      <c r="M153" s="949"/>
      <c r="N153" s="950"/>
      <c r="O153" s="950"/>
      <c r="P153" s="950"/>
      <c r="Q153" s="950"/>
      <c r="R153" s="948"/>
    </row>
    <row r="154" spans="1:18">
      <c r="A154" s="962"/>
      <c r="B154" s="945" t="s">
        <v>386</v>
      </c>
      <c r="C154" s="946" t="s">
        <v>368</v>
      </c>
      <c r="D154" s="947">
        <v>1.83231378E-2</v>
      </c>
      <c r="E154" s="439" t="s">
        <v>38</v>
      </c>
      <c r="F154" s="473">
        <v>43.902238168799997</v>
      </c>
      <c r="G154" s="453">
        <v>-69.150999999999996</v>
      </c>
      <c r="H154" s="425">
        <v>-25.2487618312</v>
      </c>
      <c r="I154" s="439"/>
      <c r="J154" s="462">
        <v>-25.2487618312</v>
      </c>
      <c r="K154" s="474">
        <v>0</v>
      </c>
      <c r="L154" s="455">
        <v>43508</v>
      </c>
      <c r="M154" s="941">
        <v>69.151522057199998</v>
      </c>
      <c r="N154" s="934">
        <v>-69.150999999999996</v>
      </c>
      <c r="O154" s="934">
        <v>5.220572000013135E-4</v>
      </c>
      <c r="P154" s="934">
        <v>0</v>
      </c>
      <c r="Q154" s="934">
        <v>5.220572000013135E-4</v>
      </c>
      <c r="R154" s="932">
        <v>0</v>
      </c>
    </row>
    <row r="155" spans="1:18">
      <c r="A155" s="962"/>
      <c r="B155" s="945"/>
      <c r="C155" s="946"/>
      <c r="D155" s="947">
        <v>1.83231378E-2</v>
      </c>
      <c r="E155" s="439" t="s">
        <v>102</v>
      </c>
      <c r="F155" s="473">
        <v>25.249283888400001</v>
      </c>
      <c r="G155" s="424"/>
      <c r="H155" s="425">
        <v>5.220572000013135E-4</v>
      </c>
      <c r="I155" s="439"/>
      <c r="J155" s="462">
        <v>5.220572000013135E-4</v>
      </c>
      <c r="K155" s="474">
        <v>0</v>
      </c>
      <c r="L155" s="455">
        <v>43508</v>
      </c>
      <c r="M155" s="941"/>
      <c r="N155" s="934"/>
      <c r="O155" s="934"/>
      <c r="P155" s="934"/>
      <c r="Q155" s="934"/>
      <c r="R155" s="932"/>
    </row>
    <row r="156" spans="1:18">
      <c r="A156" s="962"/>
      <c r="B156" s="944" t="s">
        <v>387</v>
      </c>
      <c r="C156" s="946" t="s">
        <v>369</v>
      </c>
      <c r="D156" s="947">
        <v>2.39364964E-2</v>
      </c>
      <c r="E156" s="439" t="s">
        <v>38</v>
      </c>
      <c r="F156" s="473">
        <v>57.3518453744</v>
      </c>
      <c r="G156" s="453">
        <v>-90.335999999999999</v>
      </c>
      <c r="H156" s="425">
        <v>-32.984154625599999</v>
      </c>
      <c r="I156" s="439"/>
      <c r="J156" s="462">
        <v>-32.984154625599999</v>
      </c>
      <c r="K156" s="474">
        <v>0</v>
      </c>
      <c r="L156" s="455">
        <v>43508</v>
      </c>
      <c r="M156" s="941">
        <v>90.336337413600006</v>
      </c>
      <c r="N156" s="934">
        <v>-90.335999999999999</v>
      </c>
      <c r="O156" s="934">
        <v>3.3741360000760778E-4</v>
      </c>
      <c r="P156" s="934">
        <v>0</v>
      </c>
      <c r="Q156" s="934">
        <v>3.3741360000760778E-4</v>
      </c>
      <c r="R156" s="932">
        <v>0</v>
      </c>
    </row>
    <row r="157" spans="1:18">
      <c r="A157" s="962"/>
      <c r="B157" s="944"/>
      <c r="C157" s="946"/>
      <c r="D157" s="947">
        <v>2.39364964E-2</v>
      </c>
      <c r="E157" s="439" t="s">
        <v>102</v>
      </c>
      <c r="F157" s="473">
        <v>32.984492039199999</v>
      </c>
      <c r="G157" s="424"/>
      <c r="H157" s="425">
        <v>3.3741360000050236E-4</v>
      </c>
      <c r="I157" s="439"/>
      <c r="J157" s="462">
        <v>3.3741360000050236E-4</v>
      </c>
      <c r="K157" s="474">
        <v>0</v>
      </c>
      <c r="L157" s="455">
        <v>43508</v>
      </c>
      <c r="M157" s="941"/>
      <c r="N157" s="934"/>
      <c r="O157" s="934"/>
      <c r="P157" s="934"/>
      <c r="Q157" s="934"/>
      <c r="R157" s="932"/>
    </row>
    <row r="158" spans="1:18" hidden="1">
      <c r="A158" s="962"/>
      <c r="B158" s="935" t="s">
        <v>388</v>
      </c>
      <c r="C158" s="935" t="s">
        <v>370</v>
      </c>
      <c r="D158" s="939">
        <v>1.6824903700000001E-2</v>
      </c>
      <c r="E158" s="439" t="s">
        <v>38</v>
      </c>
      <c r="F158" s="473">
        <v>40.312469265200001</v>
      </c>
      <c r="G158" s="424"/>
      <c r="H158" s="425">
        <v>40.312469265200001</v>
      </c>
      <c r="I158" s="439"/>
      <c r="J158" s="462">
        <v>40.312469265200001</v>
      </c>
      <c r="K158" s="474">
        <v>0</v>
      </c>
      <c r="L158" s="456" t="s">
        <v>32</v>
      </c>
      <c r="M158" s="941">
        <v>63.4971865638</v>
      </c>
      <c r="N158" s="934">
        <v>0</v>
      </c>
      <c r="O158" s="934">
        <v>63.4971865638</v>
      </c>
      <c r="P158" s="934">
        <v>0</v>
      </c>
      <c r="Q158" s="934">
        <v>63.4971865638</v>
      </c>
      <c r="R158" s="932">
        <v>0</v>
      </c>
    </row>
    <row r="159" spans="1:18" hidden="1">
      <c r="A159" s="962"/>
      <c r="B159" s="935"/>
      <c r="C159" s="935"/>
      <c r="D159" s="939">
        <v>1.6824903700000001E-2</v>
      </c>
      <c r="E159" s="439" t="s">
        <v>102</v>
      </c>
      <c r="F159" s="473">
        <v>23.184717298600003</v>
      </c>
      <c r="G159" s="424"/>
      <c r="H159" s="425">
        <v>63.4971865638</v>
      </c>
      <c r="I159" s="439"/>
      <c r="J159" s="462">
        <v>63.4971865638</v>
      </c>
      <c r="K159" s="474">
        <v>0</v>
      </c>
      <c r="L159" s="456" t="s">
        <v>32</v>
      </c>
      <c r="M159" s="941"/>
      <c r="N159" s="934"/>
      <c r="O159" s="934"/>
      <c r="P159" s="934"/>
      <c r="Q159" s="934"/>
      <c r="R159" s="932"/>
    </row>
    <row r="160" spans="1:18" hidden="1">
      <c r="A160" s="962"/>
      <c r="B160" s="945" t="s">
        <v>389</v>
      </c>
      <c r="C160" s="945" t="s">
        <v>371</v>
      </c>
      <c r="D160" s="947">
        <v>1.0717428899999999E-2</v>
      </c>
      <c r="E160" s="439" t="s">
        <v>38</v>
      </c>
      <c r="F160" s="473">
        <v>25.678959644399999</v>
      </c>
      <c r="G160" s="453">
        <v>-37.067999999999998</v>
      </c>
      <c r="H160" s="425">
        <v>-11.389040355599999</v>
      </c>
      <c r="I160" s="439"/>
      <c r="J160" s="462">
        <v>-11.389040355599999</v>
      </c>
      <c r="K160" s="474">
        <v>0</v>
      </c>
      <c r="L160" s="456" t="s">
        <v>32</v>
      </c>
      <c r="M160" s="941">
        <v>40.4475766686</v>
      </c>
      <c r="N160" s="934">
        <v>-37.067999999999998</v>
      </c>
      <c r="O160" s="934">
        <v>3.3795766686000022</v>
      </c>
      <c r="P160" s="934">
        <v>0</v>
      </c>
      <c r="Q160" s="934">
        <v>3.3795766686000022</v>
      </c>
      <c r="R160" s="932">
        <v>0</v>
      </c>
    </row>
    <row r="161" spans="1:18" hidden="1">
      <c r="A161" s="962"/>
      <c r="B161" s="945"/>
      <c r="C161" s="945"/>
      <c r="D161" s="947">
        <v>1.0717428899999999E-2</v>
      </c>
      <c r="E161" s="439" t="s">
        <v>102</v>
      </c>
      <c r="F161" s="473">
        <v>14.768617024199999</v>
      </c>
      <c r="G161" s="424"/>
      <c r="H161" s="425">
        <v>3.3795766686000004</v>
      </c>
      <c r="I161" s="439"/>
      <c r="J161" s="462">
        <v>3.3795766686000004</v>
      </c>
      <c r="K161" s="474">
        <v>0</v>
      </c>
      <c r="L161" s="456" t="s">
        <v>32</v>
      </c>
      <c r="M161" s="941"/>
      <c r="N161" s="934"/>
      <c r="O161" s="934"/>
      <c r="P161" s="934"/>
      <c r="Q161" s="934"/>
      <c r="R161" s="932"/>
    </row>
    <row r="162" spans="1:18">
      <c r="A162" s="962"/>
      <c r="B162" s="944" t="s">
        <v>390</v>
      </c>
      <c r="C162" s="945" t="s">
        <v>372</v>
      </c>
      <c r="D162" s="947">
        <v>1.2828120599999999E-2</v>
      </c>
      <c r="E162" s="439" t="s">
        <v>38</v>
      </c>
      <c r="F162" s="473">
        <v>30.736176957599998</v>
      </c>
      <c r="G162" s="453">
        <v>-48.412999999999997</v>
      </c>
      <c r="H162" s="425">
        <v>-17.676823042399999</v>
      </c>
      <c r="I162" s="439"/>
      <c r="J162" s="462">
        <v>-17.676823042399999</v>
      </c>
      <c r="K162" s="474">
        <v>0</v>
      </c>
      <c r="L162" s="455">
        <v>43508</v>
      </c>
      <c r="M162" s="941">
        <v>48.4133271444</v>
      </c>
      <c r="N162" s="934">
        <v>-48.412999999999997</v>
      </c>
      <c r="O162" s="934">
        <v>3.2714440000347622E-4</v>
      </c>
      <c r="P162" s="934">
        <v>0</v>
      </c>
      <c r="Q162" s="934">
        <v>3.2714440000347622E-4</v>
      </c>
      <c r="R162" s="932">
        <v>0</v>
      </c>
    </row>
    <row r="163" spans="1:18">
      <c r="A163" s="962"/>
      <c r="B163" s="945"/>
      <c r="C163" s="945"/>
      <c r="D163" s="947">
        <v>1.2828120599999999E-2</v>
      </c>
      <c r="E163" s="439" t="s">
        <v>102</v>
      </c>
      <c r="F163" s="473">
        <v>17.677150186799999</v>
      </c>
      <c r="G163" s="424"/>
      <c r="H163" s="425">
        <v>3.2714439999992351E-4</v>
      </c>
      <c r="I163" s="439"/>
      <c r="J163" s="462">
        <v>3.2714439999992351E-4</v>
      </c>
      <c r="K163" s="474">
        <v>0</v>
      </c>
      <c r="L163" s="455">
        <v>43508</v>
      </c>
      <c r="M163" s="941"/>
      <c r="N163" s="934"/>
      <c r="O163" s="934"/>
      <c r="P163" s="934"/>
      <c r="Q163" s="934"/>
      <c r="R163" s="932"/>
    </row>
    <row r="164" spans="1:18">
      <c r="A164" s="962"/>
      <c r="B164" s="944" t="s">
        <v>432</v>
      </c>
      <c r="C164" s="945" t="s">
        <v>373</v>
      </c>
      <c r="D164" s="947">
        <v>9.5119834E-3</v>
      </c>
      <c r="E164" s="439" t="s">
        <v>38</v>
      </c>
      <c r="F164" s="473">
        <v>22.7907122264</v>
      </c>
      <c r="G164" s="453">
        <v>-35.898000000000003</v>
      </c>
      <c r="H164" s="425">
        <v>-13.107287773600003</v>
      </c>
      <c r="I164" s="439"/>
      <c r="J164" s="462">
        <v>-13.107287773600003</v>
      </c>
      <c r="K164" s="474">
        <v>0</v>
      </c>
      <c r="L164" s="455">
        <v>43508</v>
      </c>
      <c r="M164" s="949">
        <v>35.898225351600004</v>
      </c>
      <c r="N164" s="950">
        <v>-35.898000000000003</v>
      </c>
      <c r="O164" s="950">
        <v>2.253516000010336E-4</v>
      </c>
      <c r="P164" s="950">
        <v>0</v>
      </c>
      <c r="Q164" s="950">
        <v>2.253516000010336E-4</v>
      </c>
      <c r="R164" s="948">
        <v>0</v>
      </c>
    </row>
    <row r="165" spans="1:18">
      <c r="A165" s="962"/>
      <c r="B165" s="945"/>
      <c r="C165" s="945"/>
      <c r="D165" s="947">
        <v>9.5119834E-3</v>
      </c>
      <c r="E165" s="439" t="s">
        <v>102</v>
      </c>
      <c r="F165" s="473">
        <v>13.107513125200001</v>
      </c>
      <c r="G165" s="424"/>
      <c r="H165" s="425">
        <v>2.2535159999748089E-4</v>
      </c>
      <c r="I165" s="439"/>
      <c r="J165" s="462">
        <v>2.2535159999748089E-4</v>
      </c>
      <c r="K165" s="474">
        <v>0</v>
      </c>
      <c r="L165" s="455">
        <v>43508</v>
      </c>
      <c r="M165" s="949"/>
      <c r="N165" s="950"/>
      <c r="O165" s="950"/>
      <c r="P165" s="950"/>
      <c r="Q165" s="950"/>
      <c r="R165" s="948"/>
    </row>
    <row r="166" spans="1:18">
      <c r="A166" s="962"/>
      <c r="B166" s="945" t="s">
        <v>391</v>
      </c>
      <c r="C166" s="945" t="s">
        <v>374</v>
      </c>
      <c r="D166" s="947">
        <v>5.5353395999999996E-3</v>
      </c>
      <c r="E166" s="439" t="s">
        <v>38</v>
      </c>
      <c r="F166" s="473">
        <v>13.262673681599999</v>
      </c>
      <c r="G166" s="453">
        <v>-20.89</v>
      </c>
      <c r="H166" s="425">
        <v>-7.6273263184000015</v>
      </c>
      <c r="I166" s="439"/>
      <c r="J166" s="462">
        <v>-7.6273263184000015</v>
      </c>
      <c r="K166" s="474">
        <v>0</v>
      </c>
      <c r="L166" s="455">
        <v>43508</v>
      </c>
      <c r="M166" s="949">
        <v>20.890371650399999</v>
      </c>
      <c r="N166" s="950">
        <v>-20.89</v>
      </c>
      <c r="O166" s="950">
        <v>3.7165039999820237E-4</v>
      </c>
      <c r="P166" s="950">
        <v>0</v>
      </c>
      <c r="Q166" s="950">
        <v>3.7165039999820237E-4</v>
      </c>
      <c r="R166" s="948">
        <v>0</v>
      </c>
    </row>
    <row r="167" spans="1:18">
      <c r="A167" s="962"/>
      <c r="B167" s="945"/>
      <c r="C167" s="945"/>
      <c r="D167" s="947">
        <v>5.5353395999999996E-3</v>
      </c>
      <c r="E167" s="439" t="s">
        <v>102</v>
      </c>
      <c r="F167" s="473">
        <v>7.6276979687999997</v>
      </c>
      <c r="G167" s="424"/>
      <c r="H167" s="425">
        <v>3.7165039999820237E-4</v>
      </c>
      <c r="I167" s="439"/>
      <c r="J167" s="462">
        <v>3.7165039999820237E-4</v>
      </c>
      <c r="K167" s="474">
        <v>0</v>
      </c>
      <c r="L167" s="455">
        <v>43508</v>
      </c>
      <c r="M167" s="949"/>
      <c r="N167" s="950"/>
      <c r="O167" s="950"/>
      <c r="P167" s="950"/>
      <c r="Q167" s="950"/>
      <c r="R167" s="948"/>
    </row>
    <row r="168" spans="1:18">
      <c r="A168" s="962"/>
      <c r="B168" s="945" t="s">
        <v>392</v>
      </c>
      <c r="C168" s="946" t="s">
        <v>375</v>
      </c>
      <c r="D168" s="947">
        <v>1.521573E-2</v>
      </c>
      <c r="E168" s="439" t="s">
        <v>38</v>
      </c>
      <c r="F168" s="473">
        <v>36.456889080000003</v>
      </c>
      <c r="G168" s="453">
        <v>-57.423999999999999</v>
      </c>
      <c r="H168" s="425">
        <v>-20.967110919999996</v>
      </c>
      <c r="I168" s="439"/>
      <c r="J168" s="462">
        <v>-20.967110919999996</v>
      </c>
      <c r="K168" s="474">
        <v>0</v>
      </c>
      <c r="L168" s="455">
        <v>43508</v>
      </c>
      <c r="M168" s="941">
        <v>57.424165020000004</v>
      </c>
      <c r="N168" s="934">
        <v>-57.423999999999999</v>
      </c>
      <c r="O168" s="934">
        <v>1.6502000000429007E-4</v>
      </c>
      <c r="P168" s="934">
        <v>0</v>
      </c>
      <c r="Q168" s="934">
        <v>1.6502000000429007E-4</v>
      </c>
      <c r="R168" s="932">
        <v>0</v>
      </c>
    </row>
    <row r="169" spans="1:18">
      <c r="A169" s="962"/>
      <c r="B169" s="945"/>
      <c r="C169" s="946"/>
      <c r="D169" s="947">
        <v>1.521573E-2</v>
      </c>
      <c r="E169" s="439" t="s">
        <v>102</v>
      </c>
      <c r="F169" s="473">
        <v>20.96727594</v>
      </c>
      <c r="G169" s="424"/>
      <c r="H169" s="425">
        <v>1.6502000000429007E-4</v>
      </c>
      <c r="I169" s="439"/>
      <c r="J169" s="462">
        <v>1.6502000000429007E-4</v>
      </c>
      <c r="K169" s="474">
        <v>0</v>
      </c>
      <c r="L169" s="455">
        <v>43508</v>
      </c>
      <c r="M169" s="941"/>
      <c r="N169" s="934"/>
      <c r="O169" s="934"/>
      <c r="P169" s="934"/>
      <c r="Q169" s="934"/>
      <c r="R169" s="932"/>
    </row>
    <row r="170" spans="1:18">
      <c r="A170" s="962"/>
      <c r="B170" s="944" t="s">
        <v>433</v>
      </c>
      <c r="C170" s="946" t="s">
        <v>376</v>
      </c>
      <c r="D170" s="947">
        <v>6.7761519999999997E-4</v>
      </c>
      <c r="E170" s="439" t="s">
        <v>38</v>
      </c>
      <c r="F170" s="473">
        <v>1.6235660191999999</v>
      </c>
      <c r="G170" s="453">
        <v>-2.5569999999999999</v>
      </c>
      <c r="H170" s="425">
        <v>-0.93343398080000006</v>
      </c>
      <c r="I170" s="439"/>
      <c r="J170" s="462">
        <v>-0.93343398080000006</v>
      </c>
      <c r="K170" s="474">
        <v>0</v>
      </c>
      <c r="L170" s="455">
        <v>43508</v>
      </c>
      <c r="M170" s="941">
        <v>2.5573197647999999</v>
      </c>
      <c r="N170" s="934">
        <v>-2.5569999999999999</v>
      </c>
      <c r="O170" s="934">
        <v>3.1976479999995533E-4</v>
      </c>
      <c r="P170" s="934">
        <v>0</v>
      </c>
      <c r="Q170" s="934">
        <v>3.1976479999995533E-4</v>
      </c>
      <c r="R170" s="932">
        <v>0</v>
      </c>
    </row>
    <row r="171" spans="1:18">
      <c r="A171" s="962"/>
      <c r="B171" s="945"/>
      <c r="C171" s="946"/>
      <c r="D171" s="947">
        <v>6.7761519999999997E-4</v>
      </c>
      <c r="E171" s="439" t="s">
        <v>102</v>
      </c>
      <c r="F171" s="473">
        <v>0.93375374559999991</v>
      </c>
      <c r="G171" s="424"/>
      <c r="H171" s="425">
        <v>3.1976479999984431E-4</v>
      </c>
      <c r="I171" s="439"/>
      <c r="J171" s="462">
        <v>3.1976479999984431E-4</v>
      </c>
      <c r="K171" s="474">
        <v>0</v>
      </c>
      <c r="L171" s="455">
        <v>43508</v>
      </c>
      <c r="M171" s="941"/>
      <c r="N171" s="934"/>
      <c r="O171" s="934"/>
      <c r="P171" s="934"/>
      <c r="Q171" s="934"/>
      <c r="R171" s="932"/>
    </row>
    <row r="172" spans="1:18" hidden="1">
      <c r="A172" s="962"/>
      <c r="B172" s="935" t="s">
        <v>377</v>
      </c>
      <c r="C172" s="937"/>
      <c r="D172" s="939">
        <v>4.3170543000000004E-3</v>
      </c>
      <c r="E172" s="439" t="s">
        <v>38</v>
      </c>
      <c r="F172" s="473">
        <v>10.343662102800002</v>
      </c>
      <c r="G172" s="424"/>
      <c r="H172" s="425">
        <v>10.343662102800002</v>
      </c>
      <c r="I172" s="439">
        <v>0.98699999999999999</v>
      </c>
      <c r="J172" s="462">
        <v>9.3566621028000014</v>
      </c>
      <c r="K172" s="474">
        <v>9.5420750425791817E-2</v>
      </c>
      <c r="L172" s="456" t="s">
        <v>32</v>
      </c>
      <c r="M172" s="941">
        <v>16.292562928200002</v>
      </c>
      <c r="N172" s="934">
        <v>0</v>
      </c>
      <c r="O172" s="934">
        <v>16.292562928200002</v>
      </c>
      <c r="P172" s="934">
        <v>0.98699999999999999</v>
      </c>
      <c r="Q172" s="934">
        <v>15.305562928200002</v>
      </c>
      <c r="R172" s="932">
        <v>6.0579787498727403E-2</v>
      </c>
    </row>
    <row r="173" spans="1:18" hidden="1">
      <c r="A173" s="963"/>
      <c r="B173" s="936"/>
      <c r="C173" s="938"/>
      <c r="D173" s="940">
        <v>4.3170543000000004E-3</v>
      </c>
      <c r="E173" s="475" t="s">
        <v>102</v>
      </c>
      <c r="F173" s="476">
        <v>5.9489008254000009</v>
      </c>
      <c r="G173" s="431"/>
      <c r="H173" s="432">
        <v>15.305562928200002</v>
      </c>
      <c r="I173" s="475"/>
      <c r="J173" s="477">
        <v>15.305562928200002</v>
      </c>
      <c r="K173" s="478">
        <v>0</v>
      </c>
      <c r="L173" s="456" t="s">
        <v>32</v>
      </c>
      <c r="M173" s="942"/>
      <c r="N173" s="943"/>
      <c r="O173" s="943"/>
      <c r="P173" s="943"/>
      <c r="Q173" s="943"/>
      <c r="R173" s="933"/>
    </row>
  </sheetData>
  <autoFilter ref="A1:L173">
    <filterColumn colId="11">
      <colorFilter dxfId="2"/>
    </filterColumn>
  </autoFilter>
  <mergeCells count="778">
    <mergeCell ref="A2:A33"/>
    <mergeCell ref="B2:B3"/>
    <mergeCell ref="C2:C3"/>
    <mergeCell ref="D2:D3"/>
    <mergeCell ref="M2:M3"/>
    <mergeCell ref="N2:N3"/>
    <mergeCell ref="B12:B13"/>
    <mergeCell ref="C12:C13"/>
    <mergeCell ref="D12:D13"/>
    <mergeCell ref="M12:M13"/>
    <mergeCell ref="O2:O3"/>
    <mergeCell ref="P2:P3"/>
    <mergeCell ref="Q2:Q3"/>
    <mergeCell ref="R2:R3"/>
    <mergeCell ref="B4:B5"/>
    <mergeCell ref="C4:C5"/>
    <mergeCell ref="D4:D5"/>
    <mergeCell ref="M4:M5"/>
    <mergeCell ref="N4:N5"/>
    <mergeCell ref="O4:O5"/>
    <mergeCell ref="P4:P5"/>
    <mergeCell ref="Q4:Q5"/>
    <mergeCell ref="R4:R5"/>
    <mergeCell ref="B6:B7"/>
    <mergeCell ref="C6:C7"/>
    <mergeCell ref="D6:D7"/>
    <mergeCell ref="M6:M7"/>
    <mergeCell ref="N6:N7"/>
    <mergeCell ref="O6:O7"/>
    <mergeCell ref="P6:P7"/>
    <mergeCell ref="Q6:Q7"/>
    <mergeCell ref="R6:R7"/>
    <mergeCell ref="B8:B9"/>
    <mergeCell ref="C8:C9"/>
    <mergeCell ref="D8:D9"/>
    <mergeCell ref="M8:M9"/>
    <mergeCell ref="N8:N9"/>
    <mergeCell ref="O8:O9"/>
    <mergeCell ref="P8:P9"/>
    <mergeCell ref="Q8:Q9"/>
    <mergeCell ref="R8:R9"/>
    <mergeCell ref="B10:B11"/>
    <mergeCell ref="C10:C11"/>
    <mergeCell ref="D10:D11"/>
    <mergeCell ref="M10:M11"/>
    <mergeCell ref="N10:N11"/>
    <mergeCell ref="O10:O11"/>
    <mergeCell ref="P10:P11"/>
    <mergeCell ref="Q10:Q11"/>
    <mergeCell ref="R10:R11"/>
    <mergeCell ref="N12:N13"/>
    <mergeCell ref="O12:O13"/>
    <mergeCell ref="P12:P13"/>
    <mergeCell ref="Q12:Q13"/>
    <mergeCell ref="R12:R13"/>
    <mergeCell ref="B14:B15"/>
    <mergeCell ref="C14:C15"/>
    <mergeCell ref="D14:D15"/>
    <mergeCell ref="M14:M15"/>
    <mergeCell ref="N14:N15"/>
    <mergeCell ref="O14:O15"/>
    <mergeCell ref="P14:P15"/>
    <mergeCell ref="Q14:Q15"/>
    <mergeCell ref="R14:R15"/>
    <mergeCell ref="B16:B17"/>
    <mergeCell ref="C16:C17"/>
    <mergeCell ref="D16:D17"/>
    <mergeCell ref="M16:M17"/>
    <mergeCell ref="N16:N17"/>
    <mergeCell ref="O16:O17"/>
    <mergeCell ref="P16:P17"/>
    <mergeCell ref="Q16:Q17"/>
    <mergeCell ref="R16:R17"/>
    <mergeCell ref="B18:B19"/>
    <mergeCell ref="C18:C19"/>
    <mergeCell ref="D18:D19"/>
    <mergeCell ref="M18:M19"/>
    <mergeCell ref="N18:N19"/>
    <mergeCell ref="O18:O19"/>
    <mergeCell ref="P18:P19"/>
    <mergeCell ref="Q18:Q19"/>
    <mergeCell ref="R18:R19"/>
    <mergeCell ref="B20:B21"/>
    <mergeCell ref="C20:C21"/>
    <mergeCell ref="D20:D21"/>
    <mergeCell ref="M20:M21"/>
    <mergeCell ref="N20:N21"/>
    <mergeCell ref="O20:O21"/>
    <mergeCell ref="P20:P21"/>
    <mergeCell ref="Q20:Q21"/>
    <mergeCell ref="R20:R21"/>
    <mergeCell ref="B22:B23"/>
    <mergeCell ref="C22:C23"/>
    <mergeCell ref="D22:D23"/>
    <mergeCell ref="M22:M23"/>
    <mergeCell ref="N22:N23"/>
    <mergeCell ref="O22:O23"/>
    <mergeCell ref="P22:P23"/>
    <mergeCell ref="Q22:Q23"/>
    <mergeCell ref="R22:R23"/>
    <mergeCell ref="P24:P25"/>
    <mergeCell ref="Q24:Q25"/>
    <mergeCell ref="R24:R25"/>
    <mergeCell ref="B26:B27"/>
    <mergeCell ref="C26:C27"/>
    <mergeCell ref="D26:D27"/>
    <mergeCell ref="M26:M27"/>
    <mergeCell ref="N26:N27"/>
    <mergeCell ref="O26:O27"/>
    <mergeCell ref="P26:P27"/>
    <mergeCell ref="B24:B25"/>
    <mergeCell ref="C24:C25"/>
    <mergeCell ref="D24:D25"/>
    <mergeCell ref="M24:M25"/>
    <mergeCell ref="N24:N25"/>
    <mergeCell ref="O24:O25"/>
    <mergeCell ref="Q26:Q27"/>
    <mergeCell ref="R26:R27"/>
    <mergeCell ref="B28:B29"/>
    <mergeCell ref="C28:C29"/>
    <mergeCell ref="D28:D29"/>
    <mergeCell ref="M28:M29"/>
    <mergeCell ref="N28:N29"/>
    <mergeCell ref="O28:O29"/>
    <mergeCell ref="P28:P29"/>
    <mergeCell ref="Q28:Q29"/>
    <mergeCell ref="R28:R29"/>
    <mergeCell ref="B30:B31"/>
    <mergeCell ref="C30:C31"/>
    <mergeCell ref="D30:D31"/>
    <mergeCell ref="M30:M31"/>
    <mergeCell ref="N30:N31"/>
    <mergeCell ref="O30:O31"/>
    <mergeCell ref="P30:P31"/>
    <mergeCell ref="Q30:Q31"/>
    <mergeCell ref="R30:R31"/>
    <mergeCell ref="P32:P33"/>
    <mergeCell ref="Q32:Q33"/>
    <mergeCell ref="R32:R33"/>
    <mergeCell ref="B32:B33"/>
    <mergeCell ref="C32:C33"/>
    <mergeCell ref="D32:D33"/>
    <mergeCell ref="M32:M33"/>
    <mergeCell ref="N32:N33"/>
    <mergeCell ref="O32:O33"/>
    <mergeCell ref="A34:A67"/>
    <mergeCell ref="B34:B35"/>
    <mergeCell ref="C34:C35"/>
    <mergeCell ref="D34:D35"/>
    <mergeCell ref="M34:M35"/>
    <mergeCell ref="N34:N35"/>
    <mergeCell ref="O34:O35"/>
    <mergeCell ref="P34:P35"/>
    <mergeCell ref="Q34:Q35"/>
    <mergeCell ref="R34:R35"/>
    <mergeCell ref="B36:B37"/>
    <mergeCell ref="C36:C37"/>
    <mergeCell ref="D36:D37"/>
    <mergeCell ref="M36:M37"/>
    <mergeCell ref="N36:N37"/>
    <mergeCell ref="O36:O37"/>
    <mergeCell ref="P36:P37"/>
    <mergeCell ref="Q36:Q37"/>
    <mergeCell ref="R36:R37"/>
    <mergeCell ref="P38:P39"/>
    <mergeCell ref="Q38:Q39"/>
    <mergeCell ref="R38:R39"/>
    <mergeCell ref="B40:B41"/>
    <mergeCell ref="C40:C41"/>
    <mergeCell ref="D40:D41"/>
    <mergeCell ref="M40:M41"/>
    <mergeCell ref="N40:N41"/>
    <mergeCell ref="O40:O41"/>
    <mergeCell ref="P40:P41"/>
    <mergeCell ref="B38:B39"/>
    <mergeCell ref="C38:C39"/>
    <mergeCell ref="D38:D39"/>
    <mergeCell ref="M38:M39"/>
    <mergeCell ref="N38:N39"/>
    <mergeCell ref="O38:O39"/>
    <mergeCell ref="Q40:Q41"/>
    <mergeCell ref="R40:R41"/>
    <mergeCell ref="B42:B43"/>
    <mergeCell ref="C42:C43"/>
    <mergeCell ref="D42:D43"/>
    <mergeCell ref="M42:M43"/>
    <mergeCell ref="N42:N43"/>
    <mergeCell ref="O42:O43"/>
    <mergeCell ref="P42:P43"/>
    <mergeCell ref="Q42:Q43"/>
    <mergeCell ref="R42:R43"/>
    <mergeCell ref="B44:B45"/>
    <mergeCell ref="C44:C45"/>
    <mergeCell ref="D44:D45"/>
    <mergeCell ref="M44:M45"/>
    <mergeCell ref="N44:N45"/>
    <mergeCell ref="O44:O45"/>
    <mergeCell ref="P44:P45"/>
    <mergeCell ref="Q44:Q45"/>
    <mergeCell ref="R44:R45"/>
    <mergeCell ref="P46:P47"/>
    <mergeCell ref="Q46:Q47"/>
    <mergeCell ref="R46:R47"/>
    <mergeCell ref="B48:B49"/>
    <mergeCell ref="C48:C49"/>
    <mergeCell ref="D48:D49"/>
    <mergeCell ref="M48:M49"/>
    <mergeCell ref="N48:N49"/>
    <mergeCell ref="O48:O49"/>
    <mergeCell ref="P48:P49"/>
    <mergeCell ref="B46:B47"/>
    <mergeCell ref="C46:C47"/>
    <mergeCell ref="D46:D47"/>
    <mergeCell ref="M46:M47"/>
    <mergeCell ref="N46:N47"/>
    <mergeCell ref="O46:O47"/>
    <mergeCell ref="Q48:Q49"/>
    <mergeCell ref="R48:R49"/>
    <mergeCell ref="B50:B51"/>
    <mergeCell ref="C50:C51"/>
    <mergeCell ref="D50:D51"/>
    <mergeCell ref="M50:M51"/>
    <mergeCell ref="N50:N51"/>
    <mergeCell ref="O50:O51"/>
    <mergeCell ref="P50:P51"/>
    <mergeCell ref="Q50:Q51"/>
    <mergeCell ref="R50:R51"/>
    <mergeCell ref="B52:B53"/>
    <mergeCell ref="C52:C53"/>
    <mergeCell ref="D52:D53"/>
    <mergeCell ref="M52:M53"/>
    <mergeCell ref="N52:N53"/>
    <mergeCell ref="O52:O53"/>
    <mergeCell ref="P52:P53"/>
    <mergeCell ref="Q52:Q53"/>
    <mergeCell ref="R52:R53"/>
    <mergeCell ref="P54:P55"/>
    <mergeCell ref="Q54:Q55"/>
    <mergeCell ref="R54:R55"/>
    <mergeCell ref="B56:B57"/>
    <mergeCell ref="C56:C57"/>
    <mergeCell ref="D56:D57"/>
    <mergeCell ref="M56:M57"/>
    <mergeCell ref="N56:N57"/>
    <mergeCell ref="O56:O57"/>
    <mergeCell ref="P56:P57"/>
    <mergeCell ref="B54:B55"/>
    <mergeCell ref="C54:C55"/>
    <mergeCell ref="D54:D55"/>
    <mergeCell ref="M54:M55"/>
    <mergeCell ref="N54:N55"/>
    <mergeCell ref="O54:O55"/>
    <mergeCell ref="Q56:Q57"/>
    <mergeCell ref="R56:R57"/>
    <mergeCell ref="B58:B59"/>
    <mergeCell ref="C58:C59"/>
    <mergeCell ref="D58:D59"/>
    <mergeCell ref="M58:M59"/>
    <mergeCell ref="N58:N59"/>
    <mergeCell ref="O58:O59"/>
    <mergeCell ref="P58:P59"/>
    <mergeCell ref="Q58:Q59"/>
    <mergeCell ref="R58:R59"/>
    <mergeCell ref="B60:B61"/>
    <mergeCell ref="C60:C61"/>
    <mergeCell ref="D60:D61"/>
    <mergeCell ref="M60:M61"/>
    <mergeCell ref="N60:N61"/>
    <mergeCell ref="O60:O61"/>
    <mergeCell ref="P60:P61"/>
    <mergeCell ref="Q60:Q61"/>
    <mergeCell ref="R60:R61"/>
    <mergeCell ref="P62:P63"/>
    <mergeCell ref="Q62:Q63"/>
    <mergeCell ref="R62:R63"/>
    <mergeCell ref="B64:B65"/>
    <mergeCell ref="C64:C65"/>
    <mergeCell ref="D64:D65"/>
    <mergeCell ref="M64:M65"/>
    <mergeCell ref="N64:N65"/>
    <mergeCell ref="O64:O65"/>
    <mergeCell ref="P64:P65"/>
    <mergeCell ref="B62:B63"/>
    <mergeCell ref="C62:C63"/>
    <mergeCell ref="D62:D63"/>
    <mergeCell ref="M62:M63"/>
    <mergeCell ref="N62:N63"/>
    <mergeCell ref="O62:O63"/>
    <mergeCell ref="R66:R67"/>
    <mergeCell ref="Q64:Q65"/>
    <mergeCell ref="R64:R65"/>
    <mergeCell ref="B66:B67"/>
    <mergeCell ref="C66:C67"/>
    <mergeCell ref="D66:D67"/>
    <mergeCell ref="M66:M67"/>
    <mergeCell ref="N66:N67"/>
    <mergeCell ref="O66:O67"/>
    <mergeCell ref="P66:P67"/>
    <mergeCell ref="Q66:Q67"/>
    <mergeCell ref="A68:A139"/>
    <mergeCell ref="B68:B69"/>
    <mergeCell ref="C68:C69"/>
    <mergeCell ref="D68:D69"/>
    <mergeCell ref="M68:M69"/>
    <mergeCell ref="N68:N69"/>
    <mergeCell ref="B78:B79"/>
    <mergeCell ref="C78:C79"/>
    <mergeCell ref="D78:D79"/>
    <mergeCell ref="M78:M79"/>
    <mergeCell ref="O68:O69"/>
    <mergeCell ref="P68:P69"/>
    <mergeCell ref="Q68:Q69"/>
    <mergeCell ref="R68:R69"/>
    <mergeCell ref="B70:B71"/>
    <mergeCell ref="C70:C71"/>
    <mergeCell ref="D70:D71"/>
    <mergeCell ref="M70:M71"/>
    <mergeCell ref="N70:N71"/>
    <mergeCell ref="O70:O71"/>
    <mergeCell ref="P70:P71"/>
    <mergeCell ref="Q70:Q71"/>
    <mergeCell ref="R70:R71"/>
    <mergeCell ref="B72:B73"/>
    <mergeCell ref="C72:C73"/>
    <mergeCell ref="D72:D73"/>
    <mergeCell ref="M72:M73"/>
    <mergeCell ref="N72:N73"/>
    <mergeCell ref="O72:O73"/>
    <mergeCell ref="P72:P73"/>
    <mergeCell ref="Q72:Q73"/>
    <mergeCell ref="R72:R73"/>
    <mergeCell ref="B74:B75"/>
    <mergeCell ref="C74:C75"/>
    <mergeCell ref="D74:D75"/>
    <mergeCell ref="M74:M75"/>
    <mergeCell ref="N74:N75"/>
    <mergeCell ref="O74:O75"/>
    <mergeCell ref="P74:P75"/>
    <mergeCell ref="Q74:Q75"/>
    <mergeCell ref="R74:R75"/>
    <mergeCell ref="B76:B77"/>
    <mergeCell ref="C76:C77"/>
    <mergeCell ref="D76:D77"/>
    <mergeCell ref="M76:M77"/>
    <mergeCell ref="N76:N77"/>
    <mergeCell ref="O76:O77"/>
    <mergeCell ref="P76:P77"/>
    <mergeCell ref="Q76:Q77"/>
    <mergeCell ref="R76:R77"/>
    <mergeCell ref="N78:N79"/>
    <mergeCell ref="O78:O79"/>
    <mergeCell ref="P78:P79"/>
    <mergeCell ref="Q78:Q79"/>
    <mergeCell ref="R78:R79"/>
    <mergeCell ref="B80:B81"/>
    <mergeCell ref="C80:C81"/>
    <mergeCell ref="D80:D81"/>
    <mergeCell ref="M80:M81"/>
    <mergeCell ref="N80:N81"/>
    <mergeCell ref="O80:O81"/>
    <mergeCell ref="P80:P81"/>
    <mergeCell ref="Q80:Q81"/>
    <mergeCell ref="R80:R81"/>
    <mergeCell ref="B82:B83"/>
    <mergeCell ref="C82:C83"/>
    <mergeCell ref="D82:D83"/>
    <mergeCell ref="M82:M83"/>
    <mergeCell ref="N82:N83"/>
    <mergeCell ref="O82:O83"/>
    <mergeCell ref="P82:P83"/>
    <mergeCell ref="Q82:Q83"/>
    <mergeCell ref="R82:R83"/>
    <mergeCell ref="B84:B85"/>
    <mergeCell ref="C84:C85"/>
    <mergeCell ref="D84:D85"/>
    <mergeCell ref="M84:M85"/>
    <mergeCell ref="N84:N85"/>
    <mergeCell ref="O84:O85"/>
    <mergeCell ref="P84:P85"/>
    <mergeCell ref="Q84:Q85"/>
    <mergeCell ref="R84:R85"/>
    <mergeCell ref="B86:B87"/>
    <mergeCell ref="C86:C87"/>
    <mergeCell ref="D86:D87"/>
    <mergeCell ref="M86:M87"/>
    <mergeCell ref="N86:N87"/>
    <mergeCell ref="O86:O87"/>
    <mergeCell ref="P86:P87"/>
    <mergeCell ref="Q86:Q87"/>
    <mergeCell ref="R86:R87"/>
    <mergeCell ref="B88:B89"/>
    <mergeCell ref="C88:C89"/>
    <mergeCell ref="D88:D89"/>
    <mergeCell ref="M88:M89"/>
    <mergeCell ref="N88:N89"/>
    <mergeCell ref="O88:O89"/>
    <mergeCell ref="P88:P89"/>
    <mergeCell ref="Q88:Q89"/>
    <mergeCell ref="R88:R89"/>
    <mergeCell ref="P90:P91"/>
    <mergeCell ref="Q90:Q91"/>
    <mergeCell ref="R90:R91"/>
    <mergeCell ref="B92:B93"/>
    <mergeCell ref="C92:C93"/>
    <mergeCell ref="D92:D93"/>
    <mergeCell ref="M92:M93"/>
    <mergeCell ref="N92:N93"/>
    <mergeCell ref="O92:O93"/>
    <mergeCell ref="P92:P93"/>
    <mergeCell ref="B90:B91"/>
    <mergeCell ref="C90:C91"/>
    <mergeCell ref="D90:D91"/>
    <mergeCell ref="M90:M91"/>
    <mergeCell ref="N90:N91"/>
    <mergeCell ref="O90:O91"/>
    <mergeCell ref="Q92:Q93"/>
    <mergeCell ref="R92:R93"/>
    <mergeCell ref="B94:B95"/>
    <mergeCell ref="C94:C95"/>
    <mergeCell ref="D94:D95"/>
    <mergeCell ref="M94:M95"/>
    <mergeCell ref="N94:N95"/>
    <mergeCell ref="O94:O95"/>
    <mergeCell ref="P94:P95"/>
    <mergeCell ref="Q94:Q95"/>
    <mergeCell ref="R94:R95"/>
    <mergeCell ref="B96:B97"/>
    <mergeCell ref="C96:C97"/>
    <mergeCell ref="D96:D97"/>
    <mergeCell ref="M96:M97"/>
    <mergeCell ref="N96:N97"/>
    <mergeCell ref="O96:O97"/>
    <mergeCell ref="P96:P97"/>
    <mergeCell ref="Q96:Q97"/>
    <mergeCell ref="R96:R97"/>
    <mergeCell ref="P98:P99"/>
    <mergeCell ref="Q98:Q99"/>
    <mergeCell ref="R98:R99"/>
    <mergeCell ref="B100:B101"/>
    <mergeCell ref="C100:C101"/>
    <mergeCell ref="D100:D101"/>
    <mergeCell ref="M100:M101"/>
    <mergeCell ref="N100:N101"/>
    <mergeCell ref="O100:O101"/>
    <mergeCell ref="P100:P101"/>
    <mergeCell ref="B98:B99"/>
    <mergeCell ref="C98:C99"/>
    <mergeCell ref="D98:D99"/>
    <mergeCell ref="M98:M99"/>
    <mergeCell ref="N98:N99"/>
    <mergeCell ref="O98:O99"/>
    <mergeCell ref="Q100:Q101"/>
    <mergeCell ref="R100:R101"/>
    <mergeCell ref="B102:B103"/>
    <mergeCell ref="C102:C103"/>
    <mergeCell ref="D102:D103"/>
    <mergeCell ref="M102:M103"/>
    <mergeCell ref="N102:N103"/>
    <mergeCell ref="O102:O103"/>
    <mergeCell ref="P102:P103"/>
    <mergeCell ref="Q102:Q103"/>
    <mergeCell ref="R102:R103"/>
    <mergeCell ref="B104:B105"/>
    <mergeCell ref="C104:C105"/>
    <mergeCell ref="D104:D105"/>
    <mergeCell ref="M104:M105"/>
    <mergeCell ref="N104:N105"/>
    <mergeCell ref="O104:O105"/>
    <mergeCell ref="P104:P105"/>
    <mergeCell ref="Q104:Q105"/>
    <mergeCell ref="R104:R105"/>
    <mergeCell ref="P106:P107"/>
    <mergeCell ref="Q106:Q107"/>
    <mergeCell ref="R106:R107"/>
    <mergeCell ref="B108:B109"/>
    <mergeCell ref="C108:C109"/>
    <mergeCell ref="D108:D109"/>
    <mergeCell ref="M108:M109"/>
    <mergeCell ref="N108:N109"/>
    <mergeCell ref="O108:O109"/>
    <mergeCell ref="P108:P109"/>
    <mergeCell ref="B106:B107"/>
    <mergeCell ref="C106:C107"/>
    <mergeCell ref="D106:D107"/>
    <mergeCell ref="M106:M107"/>
    <mergeCell ref="N106:N107"/>
    <mergeCell ref="O106:O107"/>
    <mergeCell ref="Q108:Q109"/>
    <mergeCell ref="R108:R109"/>
    <mergeCell ref="B110:B111"/>
    <mergeCell ref="C110:C111"/>
    <mergeCell ref="D110:D111"/>
    <mergeCell ref="M110:M111"/>
    <mergeCell ref="N110:N111"/>
    <mergeCell ref="O110:O111"/>
    <mergeCell ref="P110:P111"/>
    <mergeCell ref="Q110:Q111"/>
    <mergeCell ref="R110:R111"/>
    <mergeCell ref="B112:B113"/>
    <mergeCell ref="C112:C113"/>
    <mergeCell ref="D112:D113"/>
    <mergeCell ref="M112:M113"/>
    <mergeCell ref="N112:N113"/>
    <mergeCell ref="O112:O113"/>
    <mergeCell ref="P112:P113"/>
    <mergeCell ref="Q112:Q113"/>
    <mergeCell ref="R112:R113"/>
    <mergeCell ref="P114:P115"/>
    <mergeCell ref="Q114:Q115"/>
    <mergeCell ref="R114:R115"/>
    <mergeCell ref="B116:B117"/>
    <mergeCell ref="C116:C117"/>
    <mergeCell ref="D116:D117"/>
    <mergeCell ref="M116:M117"/>
    <mergeCell ref="N116:N117"/>
    <mergeCell ref="O116:O117"/>
    <mergeCell ref="P116:P117"/>
    <mergeCell ref="B114:B115"/>
    <mergeCell ref="C114:C115"/>
    <mergeCell ref="D114:D115"/>
    <mergeCell ref="M114:M115"/>
    <mergeCell ref="N114:N115"/>
    <mergeCell ref="O114:O115"/>
    <mergeCell ref="Q116:Q117"/>
    <mergeCell ref="R116:R117"/>
    <mergeCell ref="B118:B119"/>
    <mergeCell ref="C118:C119"/>
    <mergeCell ref="D118:D119"/>
    <mergeCell ref="M118:M119"/>
    <mergeCell ref="N118:N119"/>
    <mergeCell ref="O118:O119"/>
    <mergeCell ref="P118:P119"/>
    <mergeCell ref="Q118:Q119"/>
    <mergeCell ref="R118:R119"/>
    <mergeCell ref="B120:B121"/>
    <mergeCell ref="C120:C121"/>
    <mergeCell ref="D120:D121"/>
    <mergeCell ref="M120:M121"/>
    <mergeCell ref="N120:N121"/>
    <mergeCell ref="O120:O121"/>
    <mergeCell ref="P120:P121"/>
    <mergeCell ref="Q120:Q121"/>
    <mergeCell ref="R120:R121"/>
    <mergeCell ref="P122:P123"/>
    <mergeCell ref="Q122:Q123"/>
    <mergeCell ref="R122:R123"/>
    <mergeCell ref="B124:B125"/>
    <mergeCell ref="C124:C125"/>
    <mergeCell ref="D124:D125"/>
    <mergeCell ref="M124:M125"/>
    <mergeCell ref="N124:N125"/>
    <mergeCell ref="O124:O125"/>
    <mergeCell ref="P124:P125"/>
    <mergeCell ref="B122:B123"/>
    <mergeCell ref="C122:C123"/>
    <mergeCell ref="D122:D123"/>
    <mergeCell ref="M122:M123"/>
    <mergeCell ref="N122:N123"/>
    <mergeCell ref="O122:O123"/>
    <mergeCell ref="Q124:Q125"/>
    <mergeCell ref="R124:R125"/>
    <mergeCell ref="B126:B127"/>
    <mergeCell ref="C126:C127"/>
    <mergeCell ref="D126:D127"/>
    <mergeCell ref="M126:M127"/>
    <mergeCell ref="N126:N127"/>
    <mergeCell ref="O126:O127"/>
    <mergeCell ref="P126:P127"/>
    <mergeCell ref="Q126:Q127"/>
    <mergeCell ref="R126:R127"/>
    <mergeCell ref="B128:B129"/>
    <mergeCell ref="C128:C129"/>
    <mergeCell ref="D128:D129"/>
    <mergeCell ref="M128:M129"/>
    <mergeCell ref="N128:N129"/>
    <mergeCell ref="O128:O129"/>
    <mergeCell ref="P128:P129"/>
    <mergeCell ref="Q128:Q129"/>
    <mergeCell ref="R128:R129"/>
    <mergeCell ref="P130:P131"/>
    <mergeCell ref="Q130:Q131"/>
    <mergeCell ref="R130:R131"/>
    <mergeCell ref="B132:B133"/>
    <mergeCell ref="C132:C133"/>
    <mergeCell ref="D132:D133"/>
    <mergeCell ref="M132:M133"/>
    <mergeCell ref="N132:N133"/>
    <mergeCell ref="O132:O133"/>
    <mergeCell ref="P132:P133"/>
    <mergeCell ref="B130:B131"/>
    <mergeCell ref="C130:C131"/>
    <mergeCell ref="D130:D131"/>
    <mergeCell ref="M130:M131"/>
    <mergeCell ref="N130:N131"/>
    <mergeCell ref="O130:O131"/>
    <mergeCell ref="Q132:Q133"/>
    <mergeCell ref="R132:R133"/>
    <mergeCell ref="B134:B135"/>
    <mergeCell ref="C134:C135"/>
    <mergeCell ref="D134:D135"/>
    <mergeCell ref="M134:M135"/>
    <mergeCell ref="N134:N135"/>
    <mergeCell ref="O134:O135"/>
    <mergeCell ref="P134:P135"/>
    <mergeCell ref="Q134:Q135"/>
    <mergeCell ref="R134:R135"/>
    <mergeCell ref="B136:B137"/>
    <mergeCell ref="C136:C137"/>
    <mergeCell ref="D136:D137"/>
    <mergeCell ref="M136:M137"/>
    <mergeCell ref="N136:N137"/>
    <mergeCell ref="O136:O137"/>
    <mergeCell ref="P136:P137"/>
    <mergeCell ref="Q136:Q137"/>
    <mergeCell ref="R136:R137"/>
    <mergeCell ref="P138:P139"/>
    <mergeCell ref="Q138:Q139"/>
    <mergeCell ref="R138:R139"/>
    <mergeCell ref="B138:B139"/>
    <mergeCell ref="C138:C139"/>
    <mergeCell ref="D138:D139"/>
    <mergeCell ref="M138:M139"/>
    <mergeCell ref="N138:N139"/>
    <mergeCell ref="O138:O139"/>
    <mergeCell ref="A140:A173"/>
    <mergeCell ref="B140:B141"/>
    <mergeCell ref="C140:C141"/>
    <mergeCell ref="D140:D141"/>
    <mergeCell ref="M140:M141"/>
    <mergeCell ref="N140:N141"/>
    <mergeCell ref="O140:O141"/>
    <mergeCell ref="P140:P141"/>
    <mergeCell ref="Q140:Q141"/>
    <mergeCell ref="R140:R141"/>
    <mergeCell ref="B142:B143"/>
    <mergeCell ref="C142:C143"/>
    <mergeCell ref="D142:D143"/>
    <mergeCell ref="M142:M143"/>
    <mergeCell ref="N142:N143"/>
    <mergeCell ref="O142:O143"/>
    <mergeCell ref="P142:P143"/>
    <mergeCell ref="Q142:Q143"/>
    <mergeCell ref="R142:R143"/>
    <mergeCell ref="P144:P145"/>
    <mergeCell ref="Q144:Q145"/>
    <mergeCell ref="R144:R145"/>
    <mergeCell ref="B146:B147"/>
    <mergeCell ref="C146:C147"/>
    <mergeCell ref="D146:D147"/>
    <mergeCell ref="M146:M147"/>
    <mergeCell ref="N146:N147"/>
    <mergeCell ref="O146:O147"/>
    <mergeCell ref="P146:P147"/>
    <mergeCell ref="B144:B145"/>
    <mergeCell ref="C144:C145"/>
    <mergeCell ref="D144:D145"/>
    <mergeCell ref="M144:M145"/>
    <mergeCell ref="N144:N145"/>
    <mergeCell ref="O144:O145"/>
    <mergeCell ref="Q146:Q147"/>
    <mergeCell ref="R146:R147"/>
    <mergeCell ref="B148:B149"/>
    <mergeCell ref="C148:C149"/>
    <mergeCell ref="D148:D149"/>
    <mergeCell ref="M148:M149"/>
    <mergeCell ref="N148:N149"/>
    <mergeCell ref="O148:O149"/>
    <mergeCell ref="P148:P149"/>
    <mergeCell ref="Q148:Q149"/>
    <mergeCell ref="R148:R149"/>
    <mergeCell ref="B150:B151"/>
    <mergeCell ref="C150:C151"/>
    <mergeCell ref="D150:D151"/>
    <mergeCell ref="M150:M151"/>
    <mergeCell ref="N150:N151"/>
    <mergeCell ref="O150:O151"/>
    <mergeCell ref="P150:P151"/>
    <mergeCell ref="Q150:Q151"/>
    <mergeCell ref="R150:R151"/>
    <mergeCell ref="P152:P153"/>
    <mergeCell ref="Q152:Q153"/>
    <mergeCell ref="R152:R153"/>
    <mergeCell ref="B154:B155"/>
    <mergeCell ref="C154:C155"/>
    <mergeCell ref="D154:D155"/>
    <mergeCell ref="M154:M155"/>
    <mergeCell ref="N154:N155"/>
    <mergeCell ref="O154:O155"/>
    <mergeCell ref="P154:P155"/>
    <mergeCell ref="B152:B153"/>
    <mergeCell ref="C152:C153"/>
    <mergeCell ref="D152:D153"/>
    <mergeCell ref="M152:M153"/>
    <mergeCell ref="N152:N153"/>
    <mergeCell ref="O152:O153"/>
    <mergeCell ref="Q154:Q155"/>
    <mergeCell ref="R154:R155"/>
    <mergeCell ref="B156:B157"/>
    <mergeCell ref="C156:C157"/>
    <mergeCell ref="D156:D157"/>
    <mergeCell ref="M156:M157"/>
    <mergeCell ref="N156:N157"/>
    <mergeCell ref="O156:O157"/>
    <mergeCell ref="P156:P157"/>
    <mergeCell ref="Q156:Q157"/>
    <mergeCell ref="R156:R157"/>
    <mergeCell ref="B158:B159"/>
    <mergeCell ref="C158:C159"/>
    <mergeCell ref="D158:D159"/>
    <mergeCell ref="M158:M159"/>
    <mergeCell ref="N158:N159"/>
    <mergeCell ref="O158:O159"/>
    <mergeCell ref="P158:P159"/>
    <mergeCell ref="Q158:Q159"/>
    <mergeCell ref="R158:R159"/>
    <mergeCell ref="P160:P161"/>
    <mergeCell ref="Q160:Q161"/>
    <mergeCell ref="R160:R161"/>
    <mergeCell ref="B162:B163"/>
    <mergeCell ref="C162:C163"/>
    <mergeCell ref="D162:D163"/>
    <mergeCell ref="M162:M163"/>
    <mergeCell ref="N162:N163"/>
    <mergeCell ref="O162:O163"/>
    <mergeCell ref="P162:P163"/>
    <mergeCell ref="B160:B161"/>
    <mergeCell ref="C160:C161"/>
    <mergeCell ref="D160:D161"/>
    <mergeCell ref="M160:M161"/>
    <mergeCell ref="N160:N161"/>
    <mergeCell ref="O160:O161"/>
    <mergeCell ref="Q162:Q163"/>
    <mergeCell ref="R162:R163"/>
    <mergeCell ref="B164:B165"/>
    <mergeCell ref="C164:C165"/>
    <mergeCell ref="D164:D165"/>
    <mergeCell ref="M164:M165"/>
    <mergeCell ref="N164:N165"/>
    <mergeCell ref="O164:O165"/>
    <mergeCell ref="P164:P165"/>
    <mergeCell ref="Q164:Q165"/>
    <mergeCell ref="R164:R165"/>
    <mergeCell ref="B166:B167"/>
    <mergeCell ref="C166:C167"/>
    <mergeCell ref="D166:D167"/>
    <mergeCell ref="M166:M167"/>
    <mergeCell ref="N166:N167"/>
    <mergeCell ref="O166:O167"/>
    <mergeCell ref="P166:P167"/>
    <mergeCell ref="Q166:Q167"/>
    <mergeCell ref="R166:R167"/>
    <mergeCell ref="P168:P169"/>
    <mergeCell ref="Q168:Q169"/>
    <mergeCell ref="R168:R169"/>
    <mergeCell ref="B170:B171"/>
    <mergeCell ref="C170:C171"/>
    <mergeCell ref="D170:D171"/>
    <mergeCell ref="M170:M171"/>
    <mergeCell ref="N170:N171"/>
    <mergeCell ref="O170:O171"/>
    <mergeCell ref="P170:P171"/>
    <mergeCell ref="B168:B169"/>
    <mergeCell ref="C168:C169"/>
    <mergeCell ref="D168:D169"/>
    <mergeCell ref="M168:M169"/>
    <mergeCell ref="N168:N169"/>
    <mergeCell ref="O168:O169"/>
    <mergeCell ref="R172:R173"/>
    <mergeCell ref="Q170:Q171"/>
    <mergeCell ref="R170:R171"/>
    <mergeCell ref="B172:B173"/>
    <mergeCell ref="C172:C173"/>
    <mergeCell ref="D172:D173"/>
    <mergeCell ref="M172:M173"/>
    <mergeCell ref="N172:N173"/>
    <mergeCell ref="O172:O173"/>
    <mergeCell ref="P172:P173"/>
    <mergeCell ref="Q172:Q173"/>
  </mergeCells>
  <conditionalFormatting sqref="I26 I24 I28 I30 I20 I22 I32 I16 I18 I12 I2 I4 I6 I8 I10 I14">
    <cfRule type="cellIs" dxfId="1" priority="2" operator="equal">
      <formula>0</formula>
    </cfRule>
  </conditionalFormatting>
  <conditionalFormatting sqref="I26">
    <cfRule type="aboveAverage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Cuota Global</vt:lpstr>
      <vt:lpstr>Merluza sur Industrial</vt:lpstr>
      <vt:lpstr>Merluza sur Artesanal X</vt:lpstr>
      <vt:lpstr>Merluza sur Artesanal XI</vt:lpstr>
      <vt:lpstr>Merluza sur Artesanal XII</vt:lpstr>
      <vt:lpstr>Hoja1</vt:lpstr>
      <vt:lpstr>Hoja5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2019-02-14T20:11:43Z</dcterms:modified>
</cp:coreProperties>
</file>